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codeName="ThisWorkbook" defaultThemeVersion="166925"/>
  <mc:AlternateContent xmlns:mc="http://schemas.openxmlformats.org/markup-compatibility/2006">
    <mc:Choice Requires="x15">
      <x15ac:absPath xmlns:x15ac="http://schemas.microsoft.com/office/spreadsheetml/2010/11/ac" url="S:\OPS\DISTR\NMSTH\SSEN Website\Donald Preston - Charging statements 202021\SHEPD\"/>
    </mc:Choice>
  </mc:AlternateContent>
  <workbookProtection lockStructure="1"/>
  <bookViews>
    <workbookView xWindow="0" yWindow="0" windowWidth="30720" windowHeight="13320" tabRatio="933"/>
  </bookViews>
  <sheets>
    <sheet name="Cover" sheetId="27" r:id="rId1"/>
    <sheet name="Version control" sheetId="55" r:id="rId2"/>
    <sheet name="Model map" sheetId="28" r:id="rId3"/>
    <sheet name="Index" sheetId="85" r:id="rId4"/>
    <sheet name="Named ranges" sheetId="84" r:id="rId5"/>
    <sheet name="Fixed inputs" sheetId="90" r:id="rId6"/>
    <sheet name="Inputs by customer type" sheetId="87" r:id="rId7"/>
    <sheet name="Inputs by network level" sheetId="86" r:id="rId8"/>
    <sheet name="General inputs" sheetId="89" r:id="rId9"/>
    <sheet name="Standing charge factors" sheetId="70" r:id="rId10"/>
    <sheet name="Load &amp; loss characteristics" sheetId="31" r:id="rId11"/>
    <sheet name="Customer contributions" sheetId="23" r:id="rId12"/>
    <sheet name="Volume adjustments" sheetId="22" r:id="rId13"/>
    <sheet name="Pseudo-load coefficients" sheetId="53" r:id="rId14"/>
    <sheet name="System peak demand" sheetId="80" r:id="rId15"/>
    <sheet name="Service model assets" sheetId="111" r:id="rId16"/>
    <sheet name="Unit costs" sheetId="81" r:id="rId17"/>
    <sheet name="Initial unit rates" sheetId="83" r:id="rId18"/>
    <sheet name="Service model charges" sheetId="76" r:id="rId19"/>
    <sheet name="Unit rate charges" sheetId="71" r:id="rId20"/>
    <sheet name="Reactive power charges" sheetId="72" r:id="rId21"/>
    <sheet name="Capacity charges" sheetId="73" r:id="rId22"/>
    <sheet name="Fixed charges" sheetId="74" r:id="rId23"/>
    <sheet name="Revenue matching" sheetId="41" r:id="rId24"/>
    <sheet name="Rounding" sheetId="65" r:id="rId25"/>
    <sheet name="Net revenue summary" sheetId="105" r:id="rId26"/>
    <sheet name="Tariff summary" sheetId="106" r:id="rId27"/>
    <sheet name="Output to other models" sheetId="82" r:id="rId28"/>
  </sheets>
  <definedNames>
    <definedName name="charging_year" comment="Year for which charges are being calculated">Cover!$D$19</definedName>
    <definedName name="check_decimals" comment="Number of decimal places of precision for in-built model checks">'Fixed inputs'!$H$159</definedName>
    <definedName name="days_in_year" comment="Days in the charging year">'General inputs'!$H$90</definedName>
    <definedName name="DNO_name" comment="Name of DNO">Cover!$D$21</definedName>
    <definedName name="hours_in_day" comment="Hours per day">'Fixed inputs'!$H$15</definedName>
    <definedName name="hours_in_year" comment="Hours in the charging year">'General inputs'!$H$91</definedName>
    <definedName name="HTML_CodePage" hidden="1">1252</definedName>
    <definedName name="HTML_Control" localSheetId="21" hidden="1">{"'Sheet1'!$A$1:$G$85"}</definedName>
    <definedName name="HTML_Control" localSheetId="0" hidden="1">{"'Sheet1'!$A$1:$G$85"}</definedName>
    <definedName name="HTML_Control" localSheetId="22" hidden="1">{"'Sheet1'!$A$1:$G$85"}</definedName>
    <definedName name="HTML_Control" localSheetId="2" hidden="1">{"'Sheet1'!$A$1:$G$85"}</definedName>
    <definedName name="HTML_Control" localSheetId="27" hidden="1">{"'Sheet1'!$A$1:$G$85"}</definedName>
    <definedName name="HTML_Control" localSheetId="13" hidden="1">{"'Sheet1'!$A$1:$G$85"}</definedName>
    <definedName name="HTML_Control" localSheetId="20" hidden="1">{"'Sheet1'!$A$1:$G$85"}</definedName>
    <definedName name="HTML_Control" localSheetId="23" hidden="1">{"'Sheet1'!$A$1:$G$85"}</definedName>
    <definedName name="HTML_Control" localSheetId="24" hidden="1">{"'Sheet1'!$A$1:$G$85"}</definedName>
    <definedName name="HTML_Control" localSheetId="18" hidden="1">{"'Sheet1'!$A$1:$G$85"}</definedName>
    <definedName name="HTML_Control" localSheetId="9" hidden="1">{"'Sheet1'!$A$1:$G$85"}</definedName>
    <definedName name="HTML_Control" localSheetId="26" hidden="1">{"'Sheet1'!$A$1:$G$85"}</definedName>
    <definedName name="HTML_Control" localSheetId="19" hidden="1">{"'Sheet1'!$A$1:$G$85"}</definedName>
    <definedName name="HTML_Control" localSheetId="1" hidden="1">{"'Sheet1'!$A$1:$G$85"}</definedName>
    <definedName name="HTML_Control" hidden="1">{"'Sheet1'!$A$1:$G$85"}</definedName>
    <definedName name="HTML_Description" hidden="1">""</definedName>
    <definedName name="HTML_Email" hidden="1">""</definedName>
    <definedName name="HTML_Header" hidden="1">"Sheet1"</definedName>
    <definedName name="HTML_LastUpdate" hidden="1">"2/24/99"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HD:HomePageStuff:New_Home_Page:datafile:histret.html"</definedName>
    <definedName name="HTML_Title" hidden="1">"Historical Returns on Stocks, Bonds and Bills"</definedName>
    <definedName name="HTML1_1" hidden="1">"[ReturnsHistorical]Sheet1!$A$1:$D$77"</definedName>
    <definedName name="HTML1_10" hidden="1">""</definedName>
    <definedName name="HTML1_11" hidden="1">1</definedName>
    <definedName name="HTML1_12" hidden="1">"Zip 100:New_Home_Page:datafile:histret.html"</definedName>
    <definedName name="HTML1_2" hidden="1">1</definedName>
    <definedName name="HTML1_3" hidden="1">"ReturnsHistorical"</definedName>
    <definedName name="HTML1_4" hidden="1">"Historical Returns on Stocks, Bonds and Bills"</definedName>
    <definedName name="HTML1_5" hidden="1">"Ibbotson Data"</definedName>
    <definedName name="HTML1_6" hidden="1">-4146</definedName>
    <definedName name="HTML1_7" hidden="1">-4146</definedName>
    <definedName name="HTML1_8" hidden="1">"3/17/97"</definedName>
    <definedName name="HTML1_9" hidden="1">"Aswath Damodaran"</definedName>
    <definedName name="HTML2_1" hidden="1">"[histret.xls]Sheet1!$A$1:$G$85"</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Count" hidden="1">2</definedName>
    <definedName name="hundred" comment="Equal to 100">'Fixed inputs'!$H$17</definedName>
    <definedName name="live_results_tariffs" comment="Tariffs for selected charging year">'Tariff summary'!$J$16:$P$118</definedName>
    <definedName name="PowerFactor" comment="Power factor, equal to 0.95">'Fixed inputs'!$H$37</definedName>
    <definedName name="ten" comment="Equal to 10">'Fixed inputs'!$H$16</definedName>
    <definedName name="thousand" comment="Equal to 1000">'Fixed inputs'!$H$18</definedName>
  </definedNames>
  <calcPr calcId="171027"/>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65" i="85" l="1"/>
  <c r="G64" i="85"/>
  <c r="G63" i="85"/>
  <c r="G62" i="85"/>
  <c r="G61" i="85"/>
  <c r="G60" i="85"/>
  <c r="G59" i="85"/>
  <c r="G58" i="85"/>
  <c r="G57" i="85"/>
  <c r="G56" i="85"/>
  <c r="G55" i="85"/>
  <c r="G54" i="85"/>
  <c r="G53" i="85"/>
  <c r="G52" i="85"/>
  <c r="G51" i="85"/>
  <c r="G50" i="85"/>
  <c r="G49" i="85"/>
  <c r="G48" i="85"/>
  <c r="G47" i="85"/>
  <c r="G46" i="85"/>
  <c r="G45" i="85"/>
  <c r="G44" i="85"/>
  <c r="G43" i="85"/>
  <c r="G42" i="85"/>
  <c r="G41" i="85"/>
  <c r="G40" i="85"/>
  <c r="G39" i="85"/>
  <c r="G38" i="85"/>
  <c r="G37" i="85"/>
  <c r="G36" i="85"/>
  <c r="G35" i="85"/>
  <c r="G34" i="85"/>
  <c r="G33" i="85"/>
  <c r="G32" i="85"/>
  <c r="G31" i="85"/>
  <c r="G30" i="85"/>
  <c r="G29" i="85"/>
  <c r="G28" i="85"/>
  <c r="G27" i="85"/>
  <c r="G26" i="85"/>
  <c r="G25" i="85"/>
  <c r="G24" i="85"/>
  <c r="G23" i="85"/>
  <c r="G22" i="85"/>
  <c r="G21" i="85"/>
  <c r="G20" i="85"/>
  <c r="G19" i="85"/>
  <c r="G18" i="85"/>
  <c r="G17" i="85"/>
  <c r="G16" i="85"/>
  <c r="C13" i="106"/>
  <c r="G205" i="85" s="1"/>
  <c r="U129" i="81"/>
  <c r="T129" i="81"/>
  <c r="B12" i="27"/>
  <c r="H15" i="55"/>
  <c r="D14" i="27" s="1"/>
  <c r="J152" i="105"/>
  <c r="H13" i="55"/>
  <c r="D12" i="27" s="1"/>
  <c r="K152" i="105"/>
  <c r="M152" i="105"/>
  <c r="O152" i="105"/>
  <c r="Q152" i="105"/>
  <c r="S152" i="105"/>
  <c r="S154" i="105" s="1"/>
  <c r="U152" i="105"/>
  <c r="W152" i="105"/>
  <c r="Y152" i="105"/>
  <c r="AA152" i="105"/>
  <c r="AC152" i="105"/>
  <c r="AE152" i="105"/>
  <c r="AG152" i="105"/>
  <c r="AI152" i="105"/>
  <c r="AK152" i="105"/>
  <c r="AM152" i="105"/>
  <c r="AO152" i="105"/>
  <c r="AP152" i="105"/>
  <c r="AN152" i="105"/>
  <c r="AL152" i="105"/>
  <c r="AJ152" i="105"/>
  <c r="AH152" i="105"/>
  <c r="AF152" i="105"/>
  <c r="AD152" i="105"/>
  <c r="AB152" i="105"/>
  <c r="Z152" i="105"/>
  <c r="X152" i="105"/>
  <c r="V152" i="105"/>
  <c r="T152" i="105"/>
  <c r="R152" i="105"/>
  <c r="P152" i="105"/>
  <c r="N152" i="105"/>
  <c r="L152" i="105"/>
  <c r="AP496" i="53"/>
  <c r="AO496" i="53"/>
  <c r="AN496" i="53"/>
  <c r="AM496" i="53"/>
  <c r="AL496" i="53"/>
  <c r="AK496" i="53"/>
  <c r="AJ496" i="53"/>
  <c r="AI496" i="53"/>
  <c r="AH496" i="53"/>
  <c r="AG496" i="53"/>
  <c r="AF496" i="53"/>
  <c r="AE496" i="53"/>
  <c r="AD496" i="53"/>
  <c r="AC496" i="53"/>
  <c r="AB496" i="53"/>
  <c r="AA496" i="53"/>
  <c r="Z496" i="53"/>
  <c r="Y496" i="53"/>
  <c r="X496" i="53"/>
  <c r="W496" i="53"/>
  <c r="V496" i="53"/>
  <c r="U496" i="53"/>
  <c r="R496" i="53"/>
  <c r="Q496" i="53"/>
  <c r="P496" i="53"/>
  <c r="AP495" i="53"/>
  <c r="AO495" i="53"/>
  <c r="AN495" i="53"/>
  <c r="AM495" i="53"/>
  <c r="AL495" i="53"/>
  <c r="AK495" i="53"/>
  <c r="AJ495" i="53"/>
  <c r="AI495" i="53"/>
  <c r="AH495" i="53"/>
  <c r="AG495" i="53"/>
  <c r="AF495" i="53"/>
  <c r="AE495" i="53"/>
  <c r="AD495" i="53"/>
  <c r="AC495" i="53"/>
  <c r="AB495" i="53"/>
  <c r="AA495" i="53"/>
  <c r="Z495" i="53"/>
  <c r="Y495" i="53"/>
  <c r="X495" i="53"/>
  <c r="W495" i="53"/>
  <c r="V495" i="53"/>
  <c r="U495" i="53"/>
  <c r="R495" i="53"/>
  <c r="Q495" i="53"/>
  <c r="P495" i="53"/>
  <c r="AP494" i="53"/>
  <c r="AO494" i="53"/>
  <c r="AN494" i="53"/>
  <c r="AM494" i="53"/>
  <c r="AL494" i="53"/>
  <c r="AK494" i="53"/>
  <c r="AJ494" i="53"/>
  <c r="AI494" i="53"/>
  <c r="AH494" i="53"/>
  <c r="AG494" i="53"/>
  <c r="AF494" i="53"/>
  <c r="AE494" i="53"/>
  <c r="AD494" i="53"/>
  <c r="AC494" i="53"/>
  <c r="AB494" i="53"/>
  <c r="AA494" i="53"/>
  <c r="Z494" i="53"/>
  <c r="Y494" i="53"/>
  <c r="X494" i="53"/>
  <c r="W494" i="53"/>
  <c r="V494" i="53"/>
  <c r="U494" i="53"/>
  <c r="R494" i="53"/>
  <c r="Q494" i="53"/>
  <c r="P494" i="53"/>
  <c r="AP493" i="53"/>
  <c r="AO493" i="53"/>
  <c r="AN493" i="53"/>
  <c r="AM493" i="53"/>
  <c r="AL493" i="53"/>
  <c r="AK493" i="53"/>
  <c r="AJ493" i="53"/>
  <c r="AI493" i="53"/>
  <c r="AH493" i="53"/>
  <c r="AG493" i="53"/>
  <c r="AF493" i="53"/>
  <c r="AE493" i="53"/>
  <c r="AD493" i="53"/>
  <c r="AC493" i="53"/>
  <c r="AB493" i="53"/>
  <c r="AA493" i="53"/>
  <c r="Z493" i="53"/>
  <c r="Y493" i="53"/>
  <c r="X493" i="53"/>
  <c r="W493" i="53"/>
  <c r="V493" i="53"/>
  <c r="U493" i="53"/>
  <c r="R493" i="53"/>
  <c r="Q493" i="53"/>
  <c r="P493" i="53"/>
  <c r="AP492" i="53"/>
  <c r="AO492" i="53"/>
  <c r="AN492" i="53"/>
  <c r="AM492" i="53"/>
  <c r="AL492" i="53"/>
  <c r="AK492" i="53"/>
  <c r="AJ492" i="53"/>
  <c r="AI492" i="53"/>
  <c r="AH492" i="53"/>
  <c r="AG492" i="53"/>
  <c r="AF492" i="53"/>
  <c r="AE492" i="53"/>
  <c r="AD492" i="53"/>
  <c r="AC492" i="53"/>
  <c r="AB492" i="53"/>
  <c r="AA492" i="53"/>
  <c r="Z492" i="53"/>
  <c r="Y492" i="53"/>
  <c r="X492" i="53"/>
  <c r="W492" i="53"/>
  <c r="V492" i="53"/>
  <c r="U492" i="53"/>
  <c r="R492" i="53"/>
  <c r="Q492" i="53"/>
  <c r="P492" i="53"/>
  <c r="AP491" i="53"/>
  <c r="AO491" i="53"/>
  <c r="AN491" i="53"/>
  <c r="AM491" i="53"/>
  <c r="AL491" i="53"/>
  <c r="AK491" i="53"/>
  <c r="AJ491" i="53"/>
  <c r="AI491" i="53"/>
  <c r="AH491" i="53"/>
  <c r="AG491" i="53"/>
  <c r="AF491" i="53"/>
  <c r="AE491" i="53"/>
  <c r="AD491" i="53"/>
  <c r="AC491" i="53"/>
  <c r="AB491" i="53"/>
  <c r="AA491" i="53"/>
  <c r="Z491" i="53"/>
  <c r="Y491" i="53"/>
  <c r="X491" i="53"/>
  <c r="W491" i="53"/>
  <c r="V491" i="53"/>
  <c r="U491" i="53"/>
  <c r="R491" i="53"/>
  <c r="Q491" i="53"/>
  <c r="P491" i="53"/>
  <c r="AP490" i="53"/>
  <c r="AO490" i="53"/>
  <c r="AN490" i="53"/>
  <c r="AM490" i="53"/>
  <c r="AL490" i="53"/>
  <c r="AK490" i="53"/>
  <c r="AJ490" i="53"/>
  <c r="AI490" i="53"/>
  <c r="AH490" i="53"/>
  <c r="AG490" i="53"/>
  <c r="AF490" i="53"/>
  <c r="AE490" i="53"/>
  <c r="AD490" i="53"/>
  <c r="AC490" i="53"/>
  <c r="AB490" i="53"/>
  <c r="AA490" i="53"/>
  <c r="Z490" i="53"/>
  <c r="Y490" i="53"/>
  <c r="X490" i="53"/>
  <c r="W490" i="53"/>
  <c r="V490" i="53"/>
  <c r="U490" i="53"/>
  <c r="R490" i="53"/>
  <c r="Q490" i="53"/>
  <c r="P490" i="53"/>
  <c r="AP489" i="53"/>
  <c r="AO489" i="53"/>
  <c r="AN489" i="53"/>
  <c r="AM489" i="53"/>
  <c r="AL489" i="53"/>
  <c r="AK489" i="53"/>
  <c r="AJ489" i="53"/>
  <c r="AI489" i="53"/>
  <c r="AH489" i="53"/>
  <c r="AG489" i="53"/>
  <c r="AF489" i="53"/>
  <c r="AE489" i="53"/>
  <c r="AD489" i="53"/>
  <c r="AC489" i="53"/>
  <c r="AB489" i="53"/>
  <c r="AA489" i="53"/>
  <c r="Z489" i="53"/>
  <c r="Y489" i="53"/>
  <c r="X489" i="53"/>
  <c r="W489" i="53"/>
  <c r="V489" i="53"/>
  <c r="U489" i="53"/>
  <c r="R489" i="53"/>
  <c r="Q489" i="53"/>
  <c r="P489" i="53"/>
  <c r="AP488" i="53"/>
  <c r="AO488" i="53"/>
  <c r="AN488" i="53"/>
  <c r="AM488" i="53"/>
  <c r="AL488" i="53"/>
  <c r="AK488" i="53"/>
  <c r="AJ488" i="53"/>
  <c r="AI488" i="53"/>
  <c r="AH488" i="53"/>
  <c r="AG488" i="53"/>
  <c r="AF488" i="53"/>
  <c r="AE488" i="53"/>
  <c r="AD488" i="53"/>
  <c r="AC488" i="53"/>
  <c r="AB488" i="53"/>
  <c r="AA488" i="53"/>
  <c r="Z488" i="53"/>
  <c r="Y488" i="53"/>
  <c r="X488" i="53"/>
  <c r="W488" i="53"/>
  <c r="V488" i="53"/>
  <c r="U488" i="53"/>
  <c r="R488" i="53"/>
  <c r="Q488" i="53"/>
  <c r="P488" i="53"/>
  <c r="AP363" i="53"/>
  <c r="AO363" i="53"/>
  <c r="AN363" i="53"/>
  <c r="AM363" i="53"/>
  <c r="AL363" i="53"/>
  <c r="AK363" i="53"/>
  <c r="AJ363" i="53"/>
  <c r="AI363" i="53"/>
  <c r="AH363" i="53"/>
  <c r="AG363" i="53"/>
  <c r="AF363" i="53"/>
  <c r="AE363" i="53"/>
  <c r="AD363" i="53"/>
  <c r="AC363" i="53"/>
  <c r="AB363" i="53"/>
  <c r="AA363" i="53"/>
  <c r="Z363" i="53"/>
  <c r="Y363" i="53"/>
  <c r="X363" i="53"/>
  <c r="W363" i="53"/>
  <c r="V363" i="53"/>
  <c r="U363" i="53"/>
  <c r="T363" i="53"/>
  <c r="S363" i="53"/>
  <c r="R363" i="53"/>
  <c r="Q363" i="53"/>
  <c r="P363" i="53"/>
  <c r="O363" i="53"/>
  <c r="N363" i="53"/>
  <c r="M363" i="53"/>
  <c r="L363" i="53"/>
  <c r="K363" i="53"/>
  <c r="AP362" i="53"/>
  <c r="AO362" i="53"/>
  <c r="AN362" i="53"/>
  <c r="AM362" i="53"/>
  <c r="AL362" i="53"/>
  <c r="AK362" i="53"/>
  <c r="AJ362" i="53"/>
  <c r="AI362" i="53"/>
  <c r="AH362" i="53"/>
  <c r="AG362" i="53"/>
  <c r="AF362" i="53"/>
  <c r="AE362" i="53"/>
  <c r="AD362" i="53"/>
  <c r="AC362" i="53"/>
  <c r="AB362" i="53"/>
  <c r="AA362" i="53"/>
  <c r="Z362" i="53"/>
  <c r="Y362" i="53"/>
  <c r="X362" i="53"/>
  <c r="W362" i="53"/>
  <c r="V362" i="53"/>
  <c r="U362" i="53"/>
  <c r="T362" i="53"/>
  <c r="S362" i="53"/>
  <c r="R362" i="53"/>
  <c r="Q362" i="53"/>
  <c r="P362" i="53"/>
  <c r="O362" i="53"/>
  <c r="N362" i="53"/>
  <c r="M362" i="53"/>
  <c r="L362" i="53"/>
  <c r="K362" i="53"/>
  <c r="J363" i="53"/>
  <c r="J362" i="53"/>
  <c r="A2" i="111"/>
  <c r="A1" i="111"/>
  <c r="C14" i="111" s="1"/>
  <c r="G134" i="85" s="1"/>
  <c r="AP145" i="105"/>
  <c r="AN145" i="105"/>
  <c r="AL145" i="105"/>
  <c r="AJ145" i="105"/>
  <c r="AH145" i="105"/>
  <c r="AF145" i="105"/>
  <c r="AD145" i="105"/>
  <c r="AC145" i="105"/>
  <c r="AB145" i="105"/>
  <c r="AA145" i="105"/>
  <c r="Z145" i="105"/>
  <c r="Y145" i="105"/>
  <c r="X145" i="105"/>
  <c r="T145" i="105"/>
  <c r="S145" i="105"/>
  <c r="R145" i="105"/>
  <c r="Q145" i="105"/>
  <c r="P145" i="105"/>
  <c r="O145" i="105"/>
  <c r="N145" i="105"/>
  <c r="M145" i="105"/>
  <c r="L145" i="105"/>
  <c r="K145" i="105"/>
  <c r="AP144" i="105"/>
  <c r="AO144" i="105"/>
  <c r="AN144" i="105"/>
  <c r="AM144" i="105"/>
  <c r="AL144" i="105"/>
  <c r="AK144" i="105"/>
  <c r="AJ144" i="105"/>
  <c r="AI144" i="105"/>
  <c r="AH144" i="105"/>
  <c r="AG144" i="105"/>
  <c r="AF144" i="105"/>
  <c r="AE144" i="105"/>
  <c r="AD144" i="105"/>
  <c r="AC144" i="105"/>
  <c r="AB144" i="105"/>
  <c r="AA144" i="105"/>
  <c r="Z144" i="105"/>
  <c r="Y144" i="105"/>
  <c r="X144" i="105"/>
  <c r="T144" i="105"/>
  <c r="S144" i="105"/>
  <c r="R144" i="105"/>
  <c r="Q144" i="105"/>
  <c r="P144" i="105"/>
  <c r="O144" i="105"/>
  <c r="N144" i="105"/>
  <c r="M144" i="105"/>
  <c r="L144" i="105"/>
  <c r="K144" i="105"/>
  <c r="AP143" i="105"/>
  <c r="AO143" i="105"/>
  <c r="AN143" i="105"/>
  <c r="AM143" i="105"/>
  <c r="AL143" i="105"/>
  <c r="AK143" i="105"/>
  <c r="AJ143" i="105"/>
  <c r="AI143" i="105"/>
  <c r="AH143" i="105"/>
  <c r="AG143" i="105"/>
  <c r="AF143" i="105"/>
  <c r="AE143" i="105"/>
  <c r="AD143" i="105"/>
  <c r="AC143" i="105"/>
  <c r="AB143" i="105"/>
  <c r="AA143" i="105"/>
  <c r="Z143" i="105"/>
  <c r="Y143" i="105"/>
  <c r="X143" i="105"/>
  <c r="T143" i="105"/>
  <c r="S143" i="105"/>
  <c r="R143" i="105"/>
  <c r="Q143" i="105"/>
  <c r="P143" i="105"/>
  <c r="O143" i="105"/>
  <c r="N143" i="105"/>
  <c r="M143" i="105"/>
  <c r="L143" i="105"/>
  <c r="K143" i="105"/>
  <c r="AL142" i="105"/>
  <c r="AK142" i="105"/>
  <c r="AJ142" i="105"/>
  <c r="AI142" i="105"/>
  <c r="AH142" i="105"/>
  <c r="AG142" i="105"/>
  <c r="AF142" i="105"/>
  <c r="AE142" i="105"/>
  <c r="AD142" i="105"/>
  <c r="AC142" i="105"/>
  <c r="AB142" i="105"/>
  <c r="AA142" i="105"/>
  <c r="Z142" i="105"/>
  <c r="Y142" i="105"/>
  <c r="X142" i="105"/>
  <c r="O142" i="105"/>
  <c r="L142" i="105"/>
  <c r="AN141" i="105"/>
  <c r="AM141" i="105"/>
  <c r="AJ141" i="105"/>
  <c r="AI141" i="105"/>
  <c r="AF141" i="105"/>
  <c r="AE141" i="105"/>
  <c r="AD141" i="105"/>
  <c r="AC141" i="105"/>
  <c r="AA141" i="105"/>
  <c r="Z141" i="105"/>
  <c r="Y141" i="105"/>
  <c r="X141" i="105"/>
  <c r="R141" i="105"/>
  <c r="Q141" i="105"/>
  <c r="P141" i="105"/>
  <c r="O141" i="105"/>
  <c r="N141" i="105"/>
  <c r="M141" i="105"/>
  <c r="L141" i="105"/>
  <c r="K141" i="105"/>
  <c r="AN140" i="105"/>
  <c r="AM140" i="105"/>
  <c r="AJ140" i="105"/>
  <c r="AI140" i="105"/>
  <c r="AF140" i="105"/>
  <c r="AE140" i="105"/>
  <c r="AD140" i="105"/>
  <c r="AC140" i="105"/>
  <c r="AA140" i="105"/>
  <c r="Z140" i="105"/>
  <c r="Y140" i="105"/>
  <c r="X140" i="105"/>
  <c r="O140" i="105"/>
  <c r="M140" i="105"/>
  <c r="L140" i="105"/>
  <c r="J145" i="105"/>
  <c r="J144" i="105"/>
  <c r="J143" i="105"/>
  <c r="J141" i="105"/>
  <c r="J140" i="105"/>
  <c r="AO141" i="105"/>
  <c r="K140" i="105"/>
  <c r="AO145" i="105"/>
  <c r="AM145" i="105"/>
  <c r="U145" i="105"/>
  <c r="AB140" i="105"/>
  <c r="N140" i="105"/>
  <c r="AK140" i="105"/>
  <c r="AK141" i="105"/>
  <c r="J142" i="105"/>
  <c r="K142" i="105"/>
  <c r="AE145" i="105"/>
  <c r="AB141" i="105"/>
  <c r="M142" i="105"/>
  <c r="AG145" i="105"/>
  <c r="AG140" i="105"/>
  <c r="U144" i="105"/>
  <c r="AI145" i="105"/>
  <c r="AM142" i="105"/>
  <c r="U143" i="105"/>
  <c r="AK145" i="105"/>
  <c r="P140" i="105"/>
  <c r="T140" i="105"/>
  <c r="Q140" i="105"/>
  <c r="U140" i="105"/>
  <c r="R140" i="105"/>
  <c r="V140" i="105"/>
  <c r="S140" i="105"/>
  <c r="W140" i="105"/>
  <c r="V141" i="105"/>
  <c r="W141" i="105"/>
  <c r="U141" i="105"/>
  <c r="S141" i="105"/>
  <c r="T141" i="105"/>
  <c r="AP140" i="105"/>
  <c r="AO140" i="105"/>
  <c r="P142" i="105"/>
  <c r="S142" i="105"/>
  <c r="J139" i="105"/>
  <c r="Q139" i="105"/>
  <c r="AG139" i="105"/>
  <c r="M139" i="105"/>
  <c r="AC139" i="105"/>
  <c r="U139" i="105"/>
  <c r="AK139" i="105"/>
  <c r="Y139" i="105"/>
  <c r="AO139" i="105"/>
  <c r="AG141" i="105"/>
  <c r="AH141" i="105"/>
  <c r="AN139" i="105"/>
  <c r="AJ139" i="105"/>
  <c r="AF139" i="105"/>
  <c r="AB139" i="105"/>
  <c r="X139" i="105"/>
  <c r="T139" i="105"/>
  <c r="P139" i="105"/>
  <c r="L139" i="105"/>
  <c r="W143" i="105"/>
  <c r="AM139" i="105"/>
  <c r="AI139" i="105"/>
  <c r="AE139" i="105"/>
  <c r="AA139" i="105"/>
  <c r="W139" i="105"/>
  <c r="S139" i="105"/>
  <c r="O139" i="105"/>
  <c r="K139" i="105"/>
  <c r="V143" i="105"/>
  <c r="AP139" i="105"/>
  <c r="AL139" i="105"/>
  <c r="AH139" i="105"/>
  <c r="AD139" i="105"/>
  <c r="Z139" i="105"/>
  <c r="V139" i="105"/>
  <c r="R139" i="105"/>
  <c r="N139" i="105"/>
  <c r="W145" i="105"/>
  <c r="V145" i="105"/>
  <c r="V144" i="105"/>
  <c r="W144" i="105"/>
  <c r="AO142" i="105"/>
  <c r="AP142" i="105"/>
  <c r="AN142" i="105"/>
  <c r="W142" i="105"/>
  <c r="R142" i="105"/>
  <c r="U142" i="105"/>
  <c r="Q142" i="105"/>
  <c r="V142" i="105"/>
  <c r="T142" i="105"/>
  <c r="N142" i="105"/>
  <c r="AP141" i="105"/>
  <c r="AL141" i="105"/>
  <c r="AL140" i="105"/>
  <c r="AH140" i="105"/>
  <c r="AP172" i="90"/>
  <c r="AO172" i="90"/>
  <c r="AN172" i="90"/>
  <c r="AM172" i="90"/>
  <c r="AL172" i="90"/>
  <c r="AK172" i="90"/>
  <c r="AJ172" i="90"/>
  <c r="AI172" i="90"/>
  <c r="AH172" i="90"/>
  <c r="AG172" i="90"/>
  <c r="AF172" i="90"/>
  <c r="AE172" i="90"/>
  <c r="AD172" i="90"/>
  <c r="AC172" i="90"/>
  <c r="AB172" i="90"/>
  <c r="AA172" i="90"/>
  <c r="Z172" i="90"/>
  <c r="Y172" i="90"/>
  <c r="X172" i="90"/>
  <c r="W172" i="90"/>
  <c r="V172" i="90"/>
  <c r="U172" i="90"/>
  <c r="T172" i="90"/>
  <c r="S172" i="90"/>
  <c r="R172" i="90"/>
  <c r="Q172" i="90"/>
  <c r="P172" i="90"/>
  <c r="O172" i="90"/>
  <c r="N172" i="90"/>
  <c r="M172" i="90"/>
  <c r="L172" i="90"/>
  <c r="K172" i="90"/>
  <c r="J172" i="90"/>
  <c r="AP171" i="90"/>
  <c r="AO171" i="90"/>
  <c r="AN171" i="90"/>
  <c r="AM171" i="90"/>
  <c r="AL171" i="90"/>
  <c r="AK171" i="90"/>
  <c r="AJ171" i="90"/>
  <c r="AI171" i="90"/>
  <c r="AH171" i="90"/>
  <c r="AG171" i="90"/>
  <c r="AF171" i="90"/>
  <c r="AE171" i="90"/>
  <c r="AD171" i="90"/>
  <c r="AC171" i="90"/>
  <c r="AB171" i="90"/>
  <c r="AA171" i="90"/>
  <c r="Z171" i="90"/>
  <c r="Y171" i="90"/>
  <c r="X171" i="90"/>
  <c r="W171" i="90"/>
  <c r="V171" i="90"/>
  <c r="U171" i="90"/>
  <c r="T171" i="90"/>
  <c r="S171" i="90"/>
  <c r="R171" i="90"/>
  <c r="Q171" i="90"/>
  <c r="P171" i="90"/>
  <c r="O171" i="90"/>
  <c r="N171" i="90"/>
  <c r="M171" i="90"/>
  <c r="L171" i="90"/>
  <c r="K171" i="90"/>
  <c r="J171" i="90"/>
  <c r="AP170" i="90"/>
  <c r="AO170" i="90"/>
  <c r="AN170" i="90"/>
  <c r="AM170" i="90"/>
  <c r="AL170" i="90"/>
  <c r="AK170" i="90"/>
  <c r="AJ170" i="90"/>
  <c r="AI170" i="90"/>
  <c r="AH170" i="90"/>
  <c r="AG170" i="90"/>
  <c r="AF170" i="90"/>
  <c r="AE170" i="90"/>
  <c r="AD170" i="90"/>
  <c r="AC170" i="90"/>
  <c r="AB170" i="90"/>
  <c r="AA170" i="90"/>
  <c r="Z170" i="90"/>
  <c r="Y170" i="90"/>
  <c r="X170" i="90"/>
  <c r="W170" i="90"/>
  <c r="V170" i="90"/>
  <c r="U170" i="90"/>
  <c r="T170" i="90"/>
  <c r="S170" i="90"/>
  <c r="R170" i="90"/>
  <c r="Q170" i="90"/>
  <c r="P170" i="90"/>
  <c r="O170" i="90"/>
  <c r="N170" i="90"/>
  <c r="M170" i="90"/>
  <c r="L170" i="90"/>
  <c r="K170" i="90"/>
  <c r="J170" i="90"/>
  <c r="AP169" i="90"/>
  <c r="AO169" i="90"/>
  <c r="AN169" i="90"/>
  <c r="AM169" i="90"/>
  <c r="AL169" i="90"/>
  <c r="AK169" i="90"/>
  <c r="AJ169" i="90"/>
  <c r="AI169" i="90"/>
  <c r="AH169" i="90"/>
  <c r="AG169" i="90"/>
  <c r="AF169" i="90"/>
  <c r="AE169" i="90"/>
  <c r="AD169" i="90"/>
  <c r="AC169" i="90"/>
  <c r="AB169" i="90"/>
  <c r="AA169" i="90"/>
  <c r="Z169" i="90"/>
  <c r="Y169" i="90"/>
  <c r="X169" i="90"/>
  <c r="W169" i="90"/>
  <c r="V169" i="90"/>
  <c r="U169" i="90"/>
  <c r="T169" i="90"/>
  <c r="S169" i="90"/>
  <c r="R169" i="90"/>
  <c r="Q169" i="90"/>
  <c r="P169" i="90"/>
  <c r="O169" i="90"/>
  <c r="N169" i="90"/>
  <c r="M169" i="90"/>
  <c r="L169" i="90"/>
  <c r="K169" i="90"/>
  <c r="J169" i="90"/>
  <c r="AP168" i="90"/>
  <c r="AO168" i="90"/>
  <c r="AN168" i="90"/>
  <c r="AM168" i="90"/>
  <c r="AL168" i="90"/>
  <c r="AK168" i="90"/>
  <c r="AJ168" i="90"/>
  <c r="AI168" i="90"/>
  <c r="AH168" i="90"/>
  <c r="AG168" i="90"/>
  <c r="AF168" i="90"/>
  <c r="AE168" i="90"/>
  <c r="AD168" i="90"/>
  <c r="AC168" i="90"/>
  <c r="AB168" i="90"/>
  <c r="AA168" i="90"/>
  <c r="Z168" i="90"/>
  <c r="Y168" i="90"/>
  <c r="X168" i="90"/>
  <c r="W168" i="90"/>
  <c r="V168" i="90"/>
  <c r="U168" i="90"/>
  <c r="T168" i="90"/>
  <c r="S168" i="90"/>
  <c r="R168" i="90"/>
  <c r="Q168" i="90"/>
  <c r="P168" i="90"/>
  <c r="O168" i="90"/>
  <c r="N168" i="90"/>
  <c r="M168" i="90"/>
  <c r="L168" i="90"/>
  <c r="K168" i="90"/>
  <c r="J168" i="90"/>
  <c r="AP165" i="90"/>
  <c r="AO165" i="90"/>
  <c r="AN165" i="90"/>
  <c r="AM165" i="90"/>
  <c r="AL165" i="90"/>
  <c r="AK165" i="90"/>
  <c r="AJ165" i="90"/>
  <c r="AI165" i="90"/>
  <c r="AH165" i="90"/>
  <c r="AG165" i="90"/>
  <c r="AF165" i="90"/>
  <c r="AE165" i="90"/>
  <c r="AD165" i="90"/>
  <c r="AC165" i="90"/>
  <c r="AB165" i="90"/>
  <c r="AA165" i="90"/>
  <c r="Z165" i="90"/>
  <c r="Y165" i="90"/>
  <c r="W165" i="90"/>
  <c r="V165" i="90"/>
  <c r="U165" i="90"/>
  <c r="T165" i="90"/>
  <c r="S165" i="90"/>
  <c r="R165" i="90"/>
  <c r="Q165" i="90"/>
  <c r="P165" i="90"/>
  <c r="O165" i="90"/>
  <c r="N165" i="90"/>
  <c r="M165" i="90"/>
  <c r="L165" i="90"/>
  <c r="K165" i="90"/>
  <c r="J165" i="90"/>
  <c r="X165" i="90"/>
  <c r="A2" i="106"/>
  <c r="A2" i="105"/>
  <c r="H11" i="55"/>
  <c r="H9" i="55"/>
  <c r="AP69" i="105"/>
  <c r="AN69" i="105"/>
  <c r="AL69" i="105"/>
  <c r="AJ69" i="105"/>
  <c r="AH69" i="105"/>
  <c r="AF69" i="105"/>
  <c r="R69" i="105"/>
  <c r="Q69" i="105"/>
  <c r="AP68" i="105"/>
  <c r="AN68" i="105"/>
  <c r="AL68" i="105"/>
  <c r="AJ68" i="105"/>
  <c r="AH68" i="105"/>
  <c r="AF68" i="105"/>
  <c r="R68" i="105"/>
  <c r="Q68" i="105"/>
  <c r="AP67" i="105"/>
  <c r="AN67" i="105"/>
  <c r="AL67" i="105"/>
  <c r="AJ67" i="105"/>
  <c r="AH67" i="105"/>
  <c r="AF67" i="105"/>
  <c r="R67" i="105"/>
  <c r="Q67" i="105"/>
  <c r="AP66" i="105"/>
  <c r="AN66" i="105"/>
  <c r="AL66" i="105"/>
  <c r="AJ66" i="105"/>
  <c r="AH66" i="105"/>
  <c r="AF66" i="105"/>
  <c r="R66" i="105"/>
  <c r="Q66" i="105"/>
  <c r="AP65" i="105"/>
  <c r="AN65" i="105"/>
  <c r="AL65" i="105"/>
  <c r="AJ65" i="105"/>
  <c r="AH65" i="105"/>
  <c r="AF65" i="105"/>
  <c r="R65" i="105"/>
  <c r="Q65" i="105"/>
  <c r="AP64" i="105"/>
  <c r="AN64" i="105"/>
  <c r="AL64" i="105"/>
  <c r="AJ64" i="105"/>
  <c r="AH64" i="105"/>
  <c r="AF64" i="105"/>
  <c r="R64" i="105"/>
  <c r="Q64" i="105"/>
  <c r="AP63" i="105"/>
  <c r="AN63" i="105"/>
  <c r="AL63" i="105"/>
  <c r="AJ63" i="105"/>
  <c r="AH63" i="105"/>
  <c r="AF63" i="105"/>
  <c r="R63" i="105"/>
  <c r="Q63" i="105"/>
  <c r="AP60" i="105"/>
  <c r="AO60" i="105"/>
  <c r="AN60" i="105"/>
  <c r="AM60" i="105"/>
  <c r="AL60" i="105"/>
  <c r="AK60" i="105"/>
  <c r="AJ60" i="105"/>
  <c r="AI60" i="105"/>
  <c r="AH60" i="105"/>
  <c r="AF60" i="105"/>
  <c r="AD60" i="105"/>
  <c r="W60" i="105"/>
  <c r="V60" i="105"/>
  <c r="R60" i="105"/>
  <c r="Q60" i="105"/>
  <c r="AP59" i="105"/>
  <c r="AO59" i="105"/>
  <c r="AN59" i="105"/>
  <c r="AM59" i="105"/>
  <c r="AL59" i="105"/>
  <c r="AK59" i="105"/>
  <c r="AJ59" i="105"/>
  <c r="AI59" i="105"/>
  <c r="AH59" i="105"/>
  <c r="AF59" i="105"/>
  <c r="AD59" i="105"/>
  <c r="W59" i="105"/>
  <c r="V59" i="105"/>
  <c r="R59" i="105"/>
  <c r="Q59" i="105"/>
  <c r="AP58" i="105"/>
  <c r="AO58" i="105"/>
  <c r="AN58" i="105"/>
  <c r="AM58" i="105"/>
  <c r="AL58" i="105"/>
  <c r="AK58" i="105"/>
  <c r="AJ58" i="105"/>
  <c r="AI58" i="105"/>
  <c r="AH58" i="105"/>
  <c r="AF58" i="105"/>
  <c r="AD58" i="105"/>
  <c r="W58" i="105"/>
  <c r="V58" i="105"/>
  <c r="R58" i="105"/>
  <c r="Q58" i="105"/>
  <c r="AP57" i="105"/>
  <c r="AO57" i="105"/>
  <c r="AN57" i="105"/>
  <c r="AM57" i="105"/>
  <c r="AL57" i="105"/>
  <c r="AK57" i="105"/>
  <c r="AJ57" i="105"/>
  <c r="AI57" i="105"/>
  <c r="AI95" i="105" s="1"/>
  <c r="AH57" i="105"/>
  <c r="AF57" i="105"/>
  <c r="AD57" i="105"/>
  <c r="W57" i="105"/>
  <c r="V57" i="105"/>
  <c r="R57" i="105"/>
  <c r="Q57" i="105"/>
  <c r="AP56" i="105"/>
  <c r="AO56" i="105"/>
  <c r="AN56" i="105"/>
  <c r="AM56" i="105"/>
  <c r="AL56" i="105"/>
  <c r="AK56" i="105"/>
  <c r="AJ56" i="105"/>
  <c r="AI56" i="105"/>
  <c r="AH56" i="105"/>
  <c r="AF56" i="105"/>
  <c r="AD56" i="105"/>
  <c r="W56" i="105"/>
  <c r="V56" i="105"/>
  <c r="R56" i="105"/>
  <c r="Q56" i="105"/>
  <c r="AP55" i="105"/>
  <c r="AO55" i="105"/>
  <c r="AN55" i="105"/>
  <c r="AM55" i="105"/>
  <c r="AL55" i="105"/>
  <c r="AK55" i="105"/>
  <c r="AJ55" i="105"/>
  <c r="AI55" i="105"/>
  <c r="AH55" i="105"/>
  <c r="AF55" i="105"/>
  <c r="AD55" i="105"/>
  <c r="W55" i="105"/>
  <c r="V55" i="105"/>
  <c r="R55" i="105"/>
  <c r="Q55" i="105"/>
  <c r="AP54" i="105"/>
  <c r="AO54" i="105"/>
  <c r="AN54" i="105"/>
  <c r="AM54" i="105"/>
  <c r="AL54" i="105"/>
  <c r="AK54" i="105"/>
  <c r="AJ54" i="105"/>
  <c r="AI54" i="105"/>
  <c r="AH54" i="105"/>
  <c r="AF54" i="105"/>
  <c r="AD54" i="105"/>
  <c r="W54" i="105"/>
  <c r="V54" i="105"/>
  <c r="R54" i="105"/>
  <c r="Q54" i="105"/>
  <c r="H7" i="55"/>
  <c r="A1" i="106"/>
  <c r="A1" i="105"/>
  <c r="C42" i="105" s="1"/>
  <c r="G195" i="85" s="1"/>
  <c r="H69" i="65"/>
  <c r="H68" i="65"/>
  <c r="H67" i="65"/>
  <c r="H66" i="65"/>
  <c r="H65" i="65"/>
  <c r="H64" i="65"/>
  <c r="H63" i="65"/>
  <c r="AP63" i="74"/>
  <c r="AO63" i="74"/>
  <c r="AN63" i="74"/>
  <c r="AM63" i="74"/>
  <c r="AL63" i="74"/>
  <c r="AK63" i="74"/>
  <c r="AJ63" i="74"/>
  <c r="AI63" i="74"/>
  <c r="AH63" i="74"/>
  <c r="AG63" i="74"/>
  <c r="AF63" i="74"/>
  <c r="AE63" i="74"/>
  <c r="AD63" i="74"/>
  <c r="AC63" i="74"/>
  <c r="AB63" i="74"/>
  <c r="AA63" i="74"/>
  <c r="Z63" i="74"/>
  <c r="Y63" i="74"/>
  <c r="X63" i="74"/>
  <c r="W63" i="74"/>
  <c r="V63" i="74"/>
  <c r="U63" i="74"/>
  <c r="T63" i="74"/>
  <c r="S63" i="74"/>
  <c r="R63" i="74"/>
  <c r="Q63" i="74"/>
  <c r="P63" i="74"/>
  <c r="O63" i="74"/>
  <c r="N63" i="74"/>
  <c r="M63" i="74"/>
  <c r="L63" i="74"/>
  <c r="K63" i="74"/>
  <c r="J63" i="74"/>
  <c r="AP123" i="73"/>
  <c r="AO123" i="73"/>
  <c r="AN123" i="73"/>
  <c r="AM123" i="73"/>
  <c r="AL123" i="73"/>
  <c r="AL293" i="73" s="1"/>
  <c r="AK123" i="73"/>
  <c r="AJ123" i="73"/>
  <c r="AI123" i="73"/>
  <c r="AH123" i="73"/>
  <c r="AG123" i="73"/>
  <c r="AF123" i="73"/>
  <c r="AF293" i="73" s="1"/>
  <c r="AE123" i="73"/>
  <c r="AE293" i="73" s="1"/>
  <c r="AD123" i="73"/>
  <c r="AC123" i="73"/>
  <c r="AB123" i="73"/>
  <c r="AA123" i="73"/>
  <c r="Z123" i="73"/>
  <c r="Y123" i="73"/>
  <c r="X123" i="73"/>
  <c r="X293" i="73" s="1"/>
  <c r="W123" i="73"/>
  <c r="V123" i="73"/>
  <c r="U123" i="73"/>
  <c r="T123" i="73"/>
  <c r="S123" i="73"/>
  <c r="S293" i="73" s="1"/>
  <c r="R123" i="73"/>
  <c r="Q123" i="73"/>
  <c r="P123" i="73"/>
  <c r="O123" i="73"/>
  <c r="N123" i="73"/>
  <c r="M123" i="73"/>
  <c r="L123" i="73"/>
  <c r="K123" i="73"/>
  <c r="K293" i="73" s="1"/>
  <c r="J123" i="73"/>
  <c r="AP122" i="73"/>
  <c r="AO122" i="73"/>
  <c r="AN122" i="73"/>
  <c r="AM122" i="73"/>
  <c r="AL122" i="73"/>
  <c r="AK122" i="73"/>
  <c r="AJ122" i="73"/>
  <c r="AI122" i="73"/>
  <c r="AH122" i="73"/>
  <c r="AG122" i="73"/>
  <c r="AF122" i="73"/>
  <c r="AE122" i="73"/>
  <c r="AD122" i="73"/>
  <c r="AC122" i="73"/>
  <c r="AB122" i="73"/>
  <c r="AA122" i="73"/>
  <c r="Z122" i="73"/>
  <c r="Y122" i="73"/>
  <c r="X122" i="73"/>
  <c r="W122" i="73"/>
  <c r="V122" i="73"/>
  <c r="U122" i="73"/>
  <c r="T122" i="73"/>
  <c r="S122" i="73"/>
  <c r="R122" i="73"/>
  <c r="Q122" i="73"/>
  <c r="P122" i="73"/>
  <c r="O122" i="73"/>
  <c r="N122" i="73"/>
  <c r="M122" i="73"/>
  <c r="L122" i="73"/>
  <c r="K122" i="73"/>
  <c r="J122" i="73"/>
  <c r="AP121" i="73"/>
  <c r="AO121" i="73"/>
  <c r="AN121" i="73"/>
  <c r="AM121" i="73"/>
  <c r="AL121" i="73"/>
  <c r="AK121" i="73"/>
  <c r="AK293" i="73" s="1"/>
  <c r="AJ121" i="73"/>
  <c r="AJ293" i="73" s="1"/>
  <c r="AI121" i="73"/>
  <c r="AI293" i="73" s="1"/>
  <c r="AH121" i="73"/>
  <c r="AH293" i="73" s="1"/>
  <c r="AG121" i="73"/>
  <c r="AF121" i="73"/>
  <c r="AE121" i="73"/>
  <c r="AD121" i="73"/>
  <c r="AC121" i="73"/>
  <c r="AC293" i="73" s="1"/>
  <c r="AB121" i="73"/>
  <c r="AA121" i="73"/>
  <c r="AA293" i="73" s="1"/>
  <c r="Z121" i="73"/>
  <c r="Y121" i="73"/>
  <c r="X121" i="73"/>
  <c r="W121" i="73"/>
  <c r="W293" i="73" s="1"/>
  <c r="V121" i="73"/>
  <c r="V293" i="73" s="1"/>
  <c r="U121" i="73"/>
  <c r="U293" i="73" s="1"/>
  <c r="T121" i="73"/>
  <c r="T293" i="73" s="1"/>
  <c r="S121" i="73"/>
  <c r="R121" i="73"/>
  <c r="Q121" i="73"/>
  <c r="P121" i="73"/>
  <c r="O121" i="73"/>
  <c r="O293" i="73" s="1"/>
  <c r="N121" i="73"/>
  <c r="N293" i="73" s="1"/>
  <c r="M121" i="73"/>
  <c r="M293" i="73" s="1"/>
  <c r="L121" i="73"/>
  <c r="K121" i="73"/>
  <c r="J121" i="73"/>
  <c r="AP78" i="72"/>
  <c r="AO78" i="72"/>
  <c r="AN78" i="72"/>
  <c r="AM78" i="72"/>
  <c r="AL78" i="72"/>
  <c r="AK78" i="72"/>
  <c r="AJ78" i="72"/>
  <c r="AI78" i="72"/>
  <c r="AH78" i="72"/>
  <c r="AG78" i="72"/>
  <c r="AF78" i="72"/>
  <c r="AE78" i="72"/>
  <c r="AD78" i="72"/>
  <c r="AC78" i="72"/>
  <c r="AB78" i="72"/>
  <c r="AA78" i="72"/>
  <c r="Z78" i="72"/>
  <c r="Y78" i="72"/>
  <c r="X78" i="72"/>
  <c r="W78" i="72"/>
  <c r="V78" i="72"/>
  <c r="U78" i="72"/>
  <c r="T78" i="72"/>
  <c r="S78" i="72"/>
  <c r="R78" i="72"/>
  <c r="Q78" i="72"/>
  <c r="P78" i="72"/>
  <c r="O78" i="72"/>
  <c r="N78" i="72"/>
  <c r="M78" i="72"/>
  <c r="L78" i="72"/>
  <c r="K78" i="72"/>
  <c r="J78" i="72"/>
  <c r="AP198" i="80"/>
  <c r="AO198" i="80"/>
  <c r="AN198" i="80"/>
  <c r="AM198" i="80"/>
  <c r="AL198" i="80"/>
  <c r="AK198" i="80"/>
  <c r="AJ198" i="80"/>
  <c r="AI198" i="80"/>
  <c r="AH198" i="80"/>
  <c r="AG198" i="80"/>
  <c r="AF198" i="80"/>
  <c r="AE198" i="80"/>
  <c r="AD198" i="80"/>
  <c r="AC198" i="80"/>
  <c r="AB198" i="80"/>
  <c r="AA198" i="80"/>
  <c r="Z198" i="80"/>
  <c r="Y198" i="80"/>
  <c r="X198" i="80"/>
  <c r="W198" i="80"/>
  <c r="V198" i="80"/>
  <c r="U198" i="80"/>
  <c r="T198" i="80"/>
  <c r="S198" i="80"/>
  <c r="R198" i="80"/>
  <c r="Q198" i="80"/>
  <c r="P198" i="80"/>
  <c r="O198" i="80"/>
  <c r="O204" i="80" s="1"/>
  <c r="N198" i="80"/>
  <c r="M198" i="80"/>
  <c r="L198" i="80"/>
  <c r="L204" i="80"/>
  <c r="K198" i="80"/>
  <c r="J198" i="80"/>
  <c r="Y293" i="73"/>
  <c r="H91" i="89"/>
  <c r="H49" i="86"/>
  <c r="AC16" i="105"/>
  <c r="AD293" i="73"/>
  <c r="AP293" i="73"/>
  <c r="AP99" i="53"/>
  <c r="AO99" i="53"/>
  <c r="AN99" i="53"/>
  <c r="AM99" i="53"/>
  <c r="AL99" i="53"/>
  <c r="AK99" i="53"/>
  <c r="AJ99" i="53"/>
  <c r="AI99" i="53"/>
  <c r="AH99" i="53"/>
  <c r="AG99" i="53"/>
  <c r="AF99" i="53"/>
  <c r="AE99" i="53"/>
  <c r="AD99" i="53"/>
  <c r="AC99" i="53"/>
  <c r="AP98" i="53"/>
  <c r="AO98" i="53"/>
  <c r="AN98" i="53"/>
  <c r="AM98" i="53"/>
  <c r="AL98" i="53"/>
  <c r="AK98" i="53"/>
  <c r="AJ98" i="53"/>
  <c r="AI98" i="53"/>
  <c r="AH98" i="53"/>
  <c r="AG98" i="53"/>
  <c r="AF98" i="53"/>
  <c r="AE98" i="53"/>
  <c r="AD98" i="53"/>
  <c r="AC98" i="53"/>
  <c r="AN63" i="53"/>
  <c r="AM63" i="53"/>
  <c r="AJ63" i="53"/>
  <c r="AI63" i="53"/>
  <c r="AF63" i="53"/>
  <c r="AE63" i="53"/>
  <c r="AD63" i="53"/>
  <c r="AC63" i="53"/>
  <c r="AA63" i="53"/>
  <c r="Z63" i="53"/>
  <c r="Y63" i="53"/>
  <c r="X63" i="53"/>
  <c r="R63" i="53"/>
  <c r="Q63" i="53"/>
  <c r="P63" i="53"/>
  <c r="O63" i="53"/>
  <c r="N63" i="53"/>
  <c r="M63" i="53"/>
  <c r="L63" i="53"/>
  <c r="K63" i="53"/>
  <c r="J63" i="53"/>
  <c r="AP62" i="53"/>
  <c r="AO62" i="53"/>
  <c r="AN62" i="53"/>
  <c r="AM62" i="53"/>
  <c r="AL62" i="53"/>
  <c r="AK62" i="53"/>
  <c r="AJ62" i="53"/>
  <c r="AI62" i="53"/>
  <c r="AH62" i="53"/>
  <c r="AG62" i="53"/>
  <c r="AF62" i="53"/>
  <c r="AE62" i="53"/>
  <c r="AD62" i="53"/>
  <c r="AC62" i="53"/>
  <c r="AB62" i="53"/>
  <c r="AA62" i="53"/>
  <c r="Z62" i="53"/>
  <c r="Y62" i="53"/>
  <c r="X62" i="53"/>
  <c r="W62" i="53"/>
  <c r="V62" i="53"/>
  <c r="U62" i="53"/>
  <c r="T62" i="53"/>
  <c r="S62" i="53"/>
  <c r="R62" i="53"/>
  <c r="Q62" i="53"/>
  <c r="P62" i="53"/>
  <c r="O62" i="53"/>
  <c r="N62" i="53"/>
  <c r="M62" i="53"/>
  <c r="L62" i="53"/>
  <c r="K62" i="53"/>
  <c r="J62" i="53"/>
  <c r="AP61" i="53"/>
  <c r="AO61" i="53"/>
  <c r="AN61" i="53"/>
  <c r="AM61" i="53"/>
  <c r="AL61" i="53"/>
  <c r="AK61" i="53"/>
  <c r="AJ61" i="53"/>
  <c r="AI61" i="53"/>
  <c r="AH61" i="53"/>
  <c r="AG61" i="53"/>
  <c r="AF61" i="53"/>
  <c r="AE61" i="53"/>
  <c r="AD61" i="53"/>
  <c r="AC61" i="53"/>
  <c r="AB61" i="53"/>
  <c r="AA61" i="53"/>
  <c r="Z61" i="53"/>
  <c r="Y61" i="53"/>
  <c r="X61" i="53"/>
  <c r="W61" i="53"/>
  <c r="V61" i="53"/>
  <c r="U61" i="53"/>
  <c r="T61" i="53"/>
  <c r="S61" i="53"/>
  <c r="R61" i="53"/>
  <c r="Q61" i="53"/>
  <c r="P61" i="53"/>
  <c r="O61" i="53"/>
  <c r="N61" i="53"/>
  <c r="M61" i="53"/>
  <c r="L61" i="53"/>
  <c r="K61" i="53"/>
  <c r="J61" i="53"/>
  <c r="AP54" i="53"/>
  <c r="AO54" i="53"/>
  <c r="AN54" i="53"/>
  <c r="AM54" i="53"/>
  <c r="AL54" i="53"/>
  <c r="AK54" i="53"/>
  <c r="AJ54" i="53"/>
  <c r="AI54" i="53"/>
  <c r="AH54" i="53"/>
  <c r="AG54" i="53"/>
  <c r="AF54" i="53"/>
  <c r="AE54" i="53"/>
  <c r="AD54" i="53"/>
  <c r="AC54" i="53"/>
  <c r="AB54" i="53"/>
  <c r="AA54" i="53"/>
  <c r="Z54" i="53"/>
  <c r="Y54" i="53"/>
  <c r="X54" i="53"/>
  <c r="W54" i="53"/>
  <c r="V54" i="53"/>
  <c r="U54" i="53"/>
  <c r="T54" i="53"/>
  <c r="S54" i="53"/>
  <c r="O54" i="53"/>
  <c r="M54" i="53"/>
  <c r="L54" i="53"/>
  <c r="J54" i="53"/>
  <c r="AN53" i="53"/>
  <c r="AM53" i="53"/>
  <c r="AJ53" i="53"/>
  <c r="AI53" i="53"/>
  <c r="AF53" i="53"/>
  <c r="AE53" i="53"/>
  <c r="AD53" i="53"/>
  <c r="AC53" i="53"/>
  <c r="AA53" i="53"/>
  <c r="Z53" i="53"/>
  <c r="Y53" i="53"/>
  <c r="X53" i="53"/>
  <c r="O53" i="53"/>
  <c r="M53" i="53"/>
  <c r="L53" i="53"/>
  <c r="J53" i="53"/>
  <c r="AP52" i="53"/>
  <c r="AO52" i="53"/>
  <c r="AN52" i="53"/>
  <c r="AM52" i="53"/>
  <c r="AL52" i="53"/>
  <c r="AK52" i="53"/>
  <c r="AJ52" i="53"/>
  <c r="AI52" i="53"/>
  <c r="AH52" i="53"/>
  <c r="AG52" i="53"/>
  <c r="AF52" i="53"/>
  <c r="AE52" i="53"/>
  <c r="AD52" i="53"/>
  <c r="AC52" i="53"/>
  <c r="AB52" i="53"/>
  <c r="AA52" i="53"/>
  <c r="Z52" i="53"/>
  <c r="Y52" i="53"/>
  <c r="X52" i="53"/>
  <c r="W52" i="53"/>
  <c r="V52" i="53"/>
  <c r="U52" i="53"/>
  <c r="T52" i="53"/>
  <c r="S52" i="53"/>
  <c r="O52" i="53"/>
  <c r="M52" i="53"/>
  <c r="L52" i="53"/>
  <c r="J52" i="53"/>
  <c r="AP24" i="53"/>
  <c r="AO24" i="53"/>
  <c r="AN24" i="53"/>
  <c r="AM24" i="53"/>
  <c r="AL24" i="53"/>
  <c r="AK24" i="53"/>
  <c r="AJ24" i="53"/>
  <c r="AI24" i="53"/>
  <c r="AH24" i="53"/>
  <c r="AG24" i="53"/>
  <c r="AF24" i="53"/>
  <c r="AE24" i="53"/>
  <c r="AD24" i="53"/>
  <c r="AC24" i="53"/>
  <c r="AB24" i="53"/>
  <c r="AB206" i="53" s="1"/>
  <c r="AA24" i="53"/>
  <c r="Z24" i="53"/>
  <c r="Y24" i="53"/>
  <c r="X24" i="53"/>
  <c r="W24" i="53"/>
  <c r="V24" i="53"/>
  <c r="U24" i="53"/>
  <c r="T24" i="53"/>
  <c r="S24" i="53"/>
  <c r="R24" i="53"/>
  <c r="Q24" i="53"/>
  <c r="P24" i="53"/>
  <c r="O24" i="53"/>
  <c r="N24" i="53"/>
  <c r="M24" i="53"/>
  <c r="L24" i="53"/>
  <c r="K24" i="53"/>
  <c r="J24" i="53"/>
  <c r="J25" i="53"/>
  <c r="K25" i="53"/>
  <c r="L25" i="53"/>
  <c r="M25" i="53"/>
  <c r="N25" i="53"/>
  <c r="O25" i="53"/>
  <c r="P25" i="53"/>
  <c r="Q25" i="53"/>
  <c r="R25" i="53"/>
  <c r="S25" i="53"/>
  <c r="T25" i="53"/>
  <c r="T45" i="53" s="1"/>
  <c r="U25" i="53"/>
  <c r="U44" i="53" s="1"/>
  <c r="V25" i="53"/>
  <c r="V45" i="53" s="1"/>
  <c r="W25" i="53"/>
  <c r="W44" i="53" s="1"/>
  <c r="X25" i="53"/>
  <c r="Y25" i="53"/>
  <c r="Z25" i="53"/>
  <c r="AA25" i="53"/>
  <c r="AB25" i="53"/>
  <c r="AC25" i="53"/>
  <c r="AD25" i="53"/>
  <c r="AE25" i="53"/>
  <c r="AF25" i="53"/>
  <c r="AG25" i="53"/>
  <c r="AG44" i="53" s="1"/>
  <c r="AH25" i="53"/>
  <c r="AH44" i="53" s="1"/>
  <c r="AI25" i="53"/>
  <c r="AJ25" i="53"/>
  <c r="AK25" i="53"/>
  <c r="AK44" i="53"/>
  <c r="AL25" i="53"/>
  <c r="AL45" i="53" s="1"/>
  <c r="AM25" i="53"/>
  <c r="AN25" i="53"/>
  <c r="AO25" i="53"/>
  <c r="AO44" i="53" s="1"/>
  <c r="AP25" i="53"/>
  <c r="AP45" i="53"/>
  <c r="AP49" i="22"/>
  <c r="AO49" i="22"/>
  <c r="AN49" i="22"/>
  <c r="AM49" i="22"/>
  <c r="AL49" i="22"/>
  <c r="AK49" i="22"/>
  <c r="AJ49" i="22"/>
  <c r="AI49" i="22"/>
  <c r="AH49" i="22"/>
  <c r="AG49" i="22"/>
  <c r="AF49" i="22"/>
  <c r="AE49" i="22"/>
  <c r="AD49" i="22"/>
  <c r="AC49" i="22"/>
  <c r="AB49" i="22"/>
  <c r="AA49" i="22"/>
  <c r="Z49" i="22"/>
  <c r="Y49" i="22"/>
  <c r="X49" i="22"/>
  <c r="W49" i="22"/>
  <c r="V49" i="22"/>
  <c r="U49" i="22"/>
  <c r="T49" i="22"/>
  <c r="S49" i="22"/>
  <c r="R49" i="22"/>
  <c r="Q49" i="22"/>
  <c r="P49" i="22"/>
  <c r="O49" i="22"/>
  <c r="N49" i="22"/>
  <c r="M49" i="22"/>
  <c r="L49" i="22"/>
  <c r="K49" i="22"/>
  <c r="AP48" i="22"/>
  <c r="AO48" i="22"/>
  <c r="AN48" i="22"/>
  <c r="AM48" i="22"/>
  <c r="AL48" i="22"/>
  <c r="AK48" i="22"/>
  <c r="AJ48" i="22"/>
  <c r="AI48" i="22"/>
  <c r="AH48" i="22"/>
  <c r="AG48" i="22"/>
  <c r="AF48" i="22"/>
  <c r="AE48" i="22"/>
  <c r="AD48" i="22"/>
  <c r="AC48" i="22"/>
  <c r="AB48" i="22"/>
  <c r="AA48" i="22"/>
  <c r="Z48" i="22"/>
  <c r="Y48" i="22"/>
  <c r="X48" i="22"/>
  <c r="W48" i="22"/>
  <c r="V48" i="22"/>
  <c r="U48" i="22"/>
  <c r="T48" i="22"/>
  <c r="S48" i="22"/>
  <c r="R48" i="22"/>
  <c r="Q48" i="22"/>
  <c r="P48" i="22"/>
  <c r="O48" i="22"/>
  <c r="N48" i="22"/>
  <c r="M48" i="22"/>
  <c r="L48" i="22"/>
  <c r="K48" i="22"/>
  <c r="AP47" i="22"/>
  <c r="AO47" i="22"/>
  <c r="AN47" i="22"/>
  <c r="AM47" i="22"/>
  <c r="AL47" i="22"/>
  <c r="AK47" i="22"/>
  <c r="AJ47" i="22"/>
  <c r="AI47" i="22"/>
  <c r="AH47" i="22"/>
  <c r="AG47" i="22"/>
  <c r="AF47" i="22"/>
  <c r="AE47" i="22"/>
  <c r="AD47" i="22"/>
  <c r="AC47" i="22"/>
  <c r="AB47" i="22"/>
  <c r="AA47" i="22"/>
  <c r="Z47" i="22"/>
  <c r="Y47" i="22"/>
  <c r="X47" i="22"/>
  <c r="W47" i="22"/>
  <c r="V47" i="22"/>
  <c r="U47" i="22"/>
  <c r="T47" i="22"/>
  <c r="S47" i="22"/>
  <c r="R47" i="22"/>
  <c r="Q47" i="22"/>
  <c r="P47" i="22"/>
  <c r="O47" i="22"/>
  <c r="N47" i="22"/>
  <c r="M47" i="22"/>
  <c r="L47" i="22"/>
  <c r="K47" i="22"/>
  <c r="AP46" i="22"/>
  <c r="AO46" i="22"/>
  <c r="AN46" i="22"/>
  <c r="AM46" i="22"/>
  <c r="AL46" i="22"/>
  <c r="AK46" i="22"/>
  <c r="AJ46" i="22"/>
  <c r="AI46" i="22"/>
  <c r="AH46" i="22"/>
  <c r="AG46" i="22"/>
  <c r="AF46" i="22"/>
  <c r="AE46" i="22"/>
  <c r="AD46" i="22"/>
  <c r="AC46" i="22"/>
  <c r="AB46" i="22"/>
  <c r="AA46" i="22"/>
  <c r="Z46" i="22"/>
  <c r="Y46" i="22"/>
  <c r="X46" i="22"/>
  <c r="W46" i="22"/>
  <c r="V46" i="22"/>
  <c r="U46" i="22"/>
  <c r="T46" i="22"/>
  <c r="S46" i="22"/>
  <c r="R46" i="22"/>
  <c r="Q46" i="22"/>
  <c r="P46" i="22"/>
  <c r="O46" i="22"/>
  <c r="N46" i="22"/>
  <c r="M46" i="22"/>
  <c r="L46" i="22"/>
  <c r="K46" i="22"/>
  <c r="AP45" i="22"/>
  <c r="AO45" i="22"/>
  <c r="AN45" i="22"/>
  <c r="AM45" i="22"/>
  <c r="AL45" i="22"/>
  <c r="AK45" i="22"/>
  <c r="AJ45" i="22"/>
  <c r="AI45" i="22"/>
  <c r="AH45" i="22"/>
  <c r="AG45" i="22"/>
  <c r="AF45" i="22"/>
  <c r="AE45" i="22"/>
  <c r="AD45" i="22"/>
  <c r="AC45" i="22"/>
  <c r="AB45" i="22"/>
  <c r="AA45" i="22"/>
  <c r="Z45" i="22"/>
  <c r="Y45" i="22"/>
  <c r="X45" i="22"/>
  <c r="W45" i="22"/>
  <c r="V45" i="22"/>
  <c r="U45" i="22"/>
  <c r="T45" i="22"/>
  <c r="S45" i="22"/>
  <c r="R45" i="22"/>
  <c r="Q45" i="22"/>
  <c r="P45" i="22"/>
  <c r="O45" i="22"/>
  <c r="N45" i="22"/>
  <c r="M45" i="22"/>
  <c r="L45" i="22"/>
  <c r="K45" i="22"/>
  <c r="J49" i="22"/>
  <c r="J48" i="22"/>
  <c r="J47" i="22"/>
  <c r="J46" i="22"/>
  <c r="J45" i="22"/>
  <c r="AB43" i="22"/>
  <c r="AA43" i="22"/>
  <c r="Z43" i="22"/>
  <c r="Y43" i="22"/>
  <c r="X43" i="22"/>
  <c r="W43" i="22"/>
  <c r="V43" i="22"/>
  <c r="U43" i="22"/>
  <c r="T43" i="22"/>
  <c r="S43" i="22"/>
  <c r="R43" i="22"/>
  <c r="Q43" i="22"/>
  <c r="P43" i="22"/>
  <c r="O43" i="22"/>
  <c r="N43" i="22"/>
  <c r="M43" i="22"/>
  <c r="L43" i="22"/>
  <c r="K43" i="22"/>
  <c r="AP42" i="22"/>
  <c r="AO42" i="22"/>
  <c r="AN42" i="22"/>
  <c r="AM42" i="22"/>
  <c r="AL42" i="22"/>
  <c r="AK42" i="22"/>
  <c r="AJ42" i="22"/>
  <c r="AI42" i="22"/>
  <c r="AH42" i="22"/>
  <c r="AG42" i="22"/>
  <c r="AF42" i="22"/>
  <c r="AE42" i="22"/>
  <c r="AD42" i="22"/>
  <c r="AC42" i="22"/>
  <c r="AB42" i="22"/>
  <c r="AA42" i="22"/>
  <c r="Z42" i="22"/>
  <c r="Y42" i="22"/>
  <c r="X42" i="22"/>
  <c r="W42" i="22"/>
  <c r="V42" i="22"/>
  <c r="U42" i="22"/>
  <c r="T42" i="22"/>
  <c r="S42" i="22"/>
  <c r="R42" i="22"/>
  <c r="Q42" i="22"/>
  <c r="P42" i="22"/>
  <c r="O42" i="22"/>
  <c r="N42" i="22"/>
  <c r="M42" i="22"/>
  <c r="L42" i="22"/>
  <c r="K42" i="22"/>
  <c r="AP41" i="22"/>
  <c r="AO41" i="22"/>
  <c r="AN41" i="22"/>
  <c r="AM41" i="22"/>
  <c r="AL41" i="22"/>
  <c r="AK41" i="22"/>
  <c r="AJ41" i="22"/>
  <c r="AI41" i="22"/>
  <c r="AH41" i="22"/>
  <c r="AG41" i="22"/>
  <c r="AF41" i="22"/>
  <c r="AE41" i="22"/>
  <c r="AD41" i="22"/>
  <c r="AC41" i="22"/>
  <c r="AB41" i="22"/>
  <c r="AA41" i="22"/>
  <c r="Z41" i="22"/>
  <c r="Y41" i="22"/>
  <c r="X41" i="22"/>
  <c r="W41" i="22"/>
  <c r="V41" i="22"/>
  <c r="U41" i="22"/>
  <c r="T41" i="22"/>
  <c r="S41" i="22"/>
  <c r="R41" i="22"/>
  <c r="Q41" i="22"/>
  <c r="P41" i="22"/>
  <c r="O41" i="22"/>
  <c r="N41" i="22"/>
  <c r="M41" i="22"/>
  <c r="L41" i="22"/>
  <c r="K41" i="22"/>
  <c r="AP40" i="22"/>
  <c r="AO40" i="22"/>
  <c r="AN40" i="22"/>
  <c r="AM40" i="22"/>
  <c r="AL40" i="22"/>
  <c r="AK40" i="22"/>
  <c r="AJ40" i="22"/>
  <c r="AI40" i="22"/>
  <c r="AH40" i="22"/>
  <c r="AG40" i="22"/>
  <c r="AF40" i="22"/>
  <c r="AE40" i="22"/>
  <c r="AD40" i="22"/>
  <c r="AC40" i="22"/>
  <c r="AB40" i="22"/>
  <c r="AA40" i="22"/>
  <c r="Z40" i="22"/>
  <c r="Y40" i="22"/>
  <c r="X40" i="22"/>
  <c r="W40" i="22"/>
  <c r="V40" i="22"/>
  <c r="U40" i="22"/>
  <c r="T40" i="22"/>
  <c r="S40" i="22"/>
  <c r="R40" i="22"/>
  <c r="Q40" i="22"/>
  <c r="P40" i="22"/>
  <c r="O40" i="22"/>
  <c r="N40" i="22"/>
  <c r="M40" i="22"/>
  <c r="L40" i="22"/>
  <c r="K40" i="22"/>
  <c r="AP39" i="22"/>
  <c r="AO39" i="22"/>
  <c r="AN39" i="22"/>
  <c r="AM39" i="22"/>
  <c r="AL39" i="22"/>
  <c r="AK39" i="22"/>
  <c r="AJ39" i="22"/>
  <c r="AI39" i="22"/>
  <c r="AH39" i="22"/>
  <c r="AG39" i="22"/>
  <c r="AF39" i="22"/>
  <c r="AE39" i="22"/>
  <c r="AD39" i="22"/>
  <c r="AC39" i="22"/>
  <c r="AB39" i="22"/>
  <c r="AA39" i="22"/>
  <c r="Z39" i="22"/>
  <c r="Y39" i="22"/>
  <c r="X39" i="22"/>
  <c r="W39" i="22"/>
  <c r="V39" i="22"/>
  <c r="U39" i="22"/>
  <c r="T39" i="22"/>
  <c r="S39" i="22"/>
  <c r="R39" i="22"/>
  <c r="Q39" i="22"/>
  <c r="P39" i="22"/>
  <c r="O39" i="22"/>
  <c r="N39" i="22"/>
  <c r="M39" i="22"/>
  <c r="L39" i="22"/>
  <c r="K39" i="22"/>
  <c r="J43" i="22"/>
  <c r="J42" i="22"/>
  <c r="J41" i="22"/>
  <c r="J40" i="22"/>
  <c r="J39" i="22"/>
  <c r="AP33" i="22"/>
  <c r="AO33" i="22"/>
  <c r="AN33" i="22"/>
  <c r="AM33" i="22"/>
  <c r="AL33" i="22"/>
  <c r="AK33" i="22"/>
  <c r="AJ33" i="22"/>
  <c r="AI33" i="22"/>
  <c r="AH33" i="22"/>
  <c r="AG33" i="22"/>
  <c r="AF33" i="22"/>
  <c r="AE33" i="22"/>
  <c r="AD33" i="22"/>
  <c r="AC33" i="22"/>
  <c r="AB33" i="22"/>
  <c r="AA33" i="22"/>
  <c r="Z33" i="22"/>
  <c r="Y33" i="22"/>
  <c r="X33" i="22"/>
  <c r="W33" i="22"/>
  <c r="V33" i="22"/>
  <c r="U33" i="22"/>
  <c r="T33" i="22"/>
  <c r="S33" i="22"/>
  <c r="R33" i="22"/>
  <c r="Q33" i="22"/>
  <c r="P33" i="22"/>
  <c r="O33" i="22"/>
  <c r="N33" i="22"/>
  <c r="M33" i="22"/>
  <c r="L33" i="22"/>
  <c r="K33" i="22"/>
  <c r="J33" i="22"/>
  <c r="AP32" i="22"/>
  <c r="AO32" i="22"/>
  <c r="AN32" i="22"/>
  <c r="AM32" i="22"/>
  <c r="AL32" i="22"/>
  <c r="AK32" i="22"/>
  <c r="AJ32" i="22"/>
  <c r="AI32" i="22"/>
  <c r="AH32" i="22"/>
  <c r="AG32" i="22"/>
  <c r="AF32" i="22"/>
  <c r="AE32" i="22"/>
  <c r="AD32" i="22"/>
  <c r="AC32" i="22"/>
  <c r="AB32" i="22"/>
  <c r="AA32" i="22"/>
  <c r="Z32" i="22"/>
  <c r="Y32" i="22"/>
  <c r="X32" i="22"/>
  <c r="W32" i="22"/>
  <c r="V32" i="22"/>
  <c r="U32" i="22"/>
  <c r="T32" i="22"/>
  <c r="S32" i="22"/>
  <c r="R32" i="22"/>
  <c r="Q32" i="22"/>
  <c r="P32" i="22"/>
  <c r="O32" i="22"/>
  <c r="N32" i="22"/>
  <c r="M32" i="22"/>
  <c r="L32" i="22"/>
  <c r="K32" i="22"/>
  <c r="J32" i="22"/>
  <c r="AP31" i="22"/>
  <c r="AO31" i="22"/>
  <c r="AN31" i="22"/>
  <c r="AM31" i="22"/>
  <c r="AL31" i="22"/>
  <c r="AK31" i="22"/>
  <c r="AJ31" i="22"/>
  <c r="AI31" i="22"/>
  <c r="AH31" i="22"/>
  <c r="AG31" i="22"/>
  <c r="AF31" i="22"/>
  <c r="AE31" i="22"/>
  <c r="AD31" i="22"/>
  <c r="AC31" i="22"/>
  <c r="AB31" i="22"/>
  <c r="AA31" i="22"/>
  <c r="Z31" i="22"/>
  <c r="Y31" i="22"/>
  <c r="X31" i="22"/>
  <c r="W31" i="22"/>
  <c r="V31" i="22"/>
  <c r="U31" i="22"/>
  <c r="T31" i="22"/>
  <c r="S31" i="22"/>
  <c r="R31" i="22"/>
  <c r="Q31" i="22"/>
  <c r="P31" i="22"/>
  <c r="O31" i="22"/>
  <c r="N31" i="22"/>
  <c r="M31" i="22"/>
  <c r="L31" i="22"/>
  <c r="K31" i="22"/>
  <c r="J31" i="22"/>
  <c r="AP30" i="22"/>
  <c r="AO30" i="22"/>
  <c r="AN30" i="22"/>
  <c r="AM30" i="22"/>
  <c r="AL30" i="22"/>
  <c r="AK30" i="22"/>
  <c r="AJ30" i="22"/>
  <c r="AI30" i="22"/>
  <c r="AH30" i="22"/>
  <c r="AG30" i="22"/>
  <c r="AF30" i="22"/>
  <c r="AE30" i="22"/>
  <c r="AD30" i="22"/>
  <c r="AC30" i="22"/>
  <c r="AB30" i="22"/>
  <c r="AA30" i="22"/>
  <c r="Z30" i="22"/>
  <c r="Y30" i="22"/>
  <c r="X30" i="22"/>
  <c r="W30" i="22"/>
  <c r="V30" i="22"/>
  <c r="U30" i="22"/>
  <c r="T30" i="22"/>
  <c r="S30" i="22"/>
  <c r="R30" i="22"/>
  <c r="Q30" i="22"/>
  <c r="P30" i="22"/>
  <c r="O30" i="22"/>
  <c r="N30" i="22"/>
  <c r="M30" i="22"/>
  <c r="L30" i="22"/>
  <c r="K30" i="22"/>
  <c r="J30" i="22"/>
  <c r="J21" i="23" a="1"/>
  <c r="J39" i="23" s="1"/>
  <c r="J118" i="31" a="1"/>
  <c r="S141" i="31" s="1"/>
  <c r="S178" i="31" s="1"/>
  <c r="J46" i="31" a="1"/>
  <c r="M64" i="31" s="1"/>
  <c r="AB34" i="70"/>
  <c r="AA34" i="70"/>
  <c r="Z34" i="70"/>
  <c r="Y34" i="70"/>
  <c r="X34" i="70"/>
  <c r="W34" i="70"/>
  <c r="V34" i="70"/>
  <c r="U34" i="70"/>
  <c r="U52" i="70" s="1"/>
  <c r="T34" i="70"/>
  <c r="S34" i="70"/>
  <c r="R34" i="70"/>
  <c r="Q34" i="70"/>
  <c r="P34" i="70"/>
  <c r="O34" i="70"/>
  <c r="N34" i="70"/>
  <c r="M34" i="70"/>
  <c r="M52" i="70" s="1"/>
  <c r="L34" i="70"/>
  <c r="K34" i="70"/>
  <c r="J34" i="70"/>
  <c r="AB33" i="70"/>
  <c r="AA33" i="70"/>
  <c r="Z33" i="70"/>
  <c r="Y33" i="70"/>
  <c r="X33" i="70"/>
  <c r="X51" i="70" s="1"/>
  <c r="W33" i="70"/>
  <c r="V33" i="70"/>
  <c r="U33" i="70"/>
  <c r="T33" i="70"/>
  <c r="S33" i="70"/>
  <c r="R33" i="70"/>
  <c r="Q33" i="70"/>
  <c r="P33" i="70"/>
  <c r="P51" i="70" s="1"/>
  <c r="O33" i="70"/>
  <c r="N33" i="70"/>
  <c r="M33" i="70"/>
  <c r="L33" i="70"/>
  <c r="K33" i="70"/>
  <c r="J33" i="70"/>
  <c r="AB32" i="70"/>
  <c r="AA32" i="70"/>
  <c r="AA50" i="70" s="1"/>
  <c r="Z32" i="70"/>
  <c r="Y32" i="70"/>
  <c r="X32" i="70"/>
  <c r="W32" i="70"/>
  <c r="V32" i="70"/>
  <c r="U32" i="70"/>
  <c r="T32" i="70"/>
  <c r="S32" i="70"/>
  <c r="S50" i="70" s="1"/>
  <c r="R32" i="70"/>
  <c r="Q32" i="70"/>
  <c r="P32" i="70"/>
  <c r="O32" i="70"/>
  <c r="N32" i="70"/>
  <c r="M32" i="70"/>
  <c r="L32" i="70"/>
  <c r="K32" i="70"/>
  <c r="K50" i="70" s="1"/>
  <c r="J32" i="70"/>
  <c r="AB31" i="70"/>
  <c r="AA31" i="70"/>
  <c r="Z31" i="70"/>
  <c r="Y31" i="70"/>
  <c r="X31" i="70"/>
  <c r="W31" i="70"/>
  <c r="V31" i="70"/>
  <c r="U31" i="70"/>
  <c r="T31" i="70"/>
  <c r="S31" i="70"/>
  <c r="R31" i="70"/>
  <c r="Q31" i="70"/>
  <c r="P31" i="70"/>
  <c r="O31" i="70"/>
  <c r="N31" i="70"/>
  <c r="M31" i="70"/>
  <c r="L31" i="70"/>
  <c r="K31" i="70"/>
  <c r="J31" i="70"/>
  <c r="AB30" i="70"/>
  <c r="AA30" i="70"/>
  <c r="Z30" i="70"/>
  <c r="Y30" i="70"/>
  <c r="X30" i="70"/>
  <c r="W30" i="70"/>
  <c r="V30" i="70"/>
  <c r="U30" i="70"/>
  <c r="T30" i="70"/>
  <c r="S30" i="70"/>
  <c r="R30" i="70"/>
  <c r="Q30" i="70"/>
  <c r="Q48" i="70" s="1"/>
  <c r="P30" i="70"/>
  <c r="O30" i="70"/>
  <c r="N30" i="70"/>
  <c r="M30" i="70"/>
  <c r="L30" i="70"/>
  <c r="K30" i="70"/>
  <c r="J30" i="70"/>
  <c r="AB29" i="70"/>
  <c r="AB47" i="70" s="1"/>
  <c r="AA29" i="70"/>
  <c r="Z29" i="70"/>
  <c r="Y29" i="70"/>
  <c r="X29" i="70"/>
  <c r="W29" i="70"/>
  <c r="V29" i="70"/>
  <c r="U29" i="70"/>
  <c r="T29" i="70"/>
  <c r="T47" i="70" s="1"/>
  <c r="S29" i="70"/>
  <c r="R29" i="70"/>
  <c r="Q29" i="70"/>
  <c r="P29" i="70"/>
  <c r="O29" i="70"/>
  <c r="N29" i="70"/>
  <c r="M29" i="70"/>
  <c r="L29" i="70"/>
  <c r="L47" i="70" s="1"/>
  <c r="K29" i="70"/>
  <c r="J29" i="70"/>
  <c r="AB28" i="70"/>
  <c r="AA28" i="70"/>
  <c r="Z28" i="70"/>
  <c r="Y28" i="70"/>
  <c r="X28" i="70"/>
  <c r="W28" i="70"/>
  <c r="W46" i="70" s="1"/>
  <c r="V28" i="70"/>
  <c r="U28" i="70"/>
  <c r="T28" i="70"/>
  <c r="S28" i="70"/>
  <c r="R28" i="70"/>
  <c r="Q28" i="70"/>
  <c r="P28" i="70"/>
  <c r="O28" i="70"/>
  <c r="O46" i="70" s="1"/>
  <c r="N28" i="70"/>
  <c r="M28" i="70"/>
  <c r="L28" i="70"/>
  <c r="K28" i="70"/>
  <c r="J28" i="70"/>
  <c r="AB27" i="70"/>
  <c r="AA27" i="70"/>
  <c r="Z27" i="70"/>
  <c r="Y27" i="70"/>
  <c r="X27" i="70"/>
  <c r="W27" i="70"/>
  <c r="V27" i="70"/>
  <c r="U27" i="70"/>
  <c r="T27" i="70"/>
  <c r="S27" i="70"/>
  <c r="R27" i="70"/>
  <c r="Q27" i="70"/>
  <c r="P27" i="70"/>
  <c r="O27" i="70"/>
  <c r="N27" i="70"/>
  <c r="M27" i="70"/>
  <c r="L27" i="70"/>
  <c r="K27" i="70"/>
  <c r="J27" i="70"/>
  <c r="AB26" i="70"/>
  <c r="AA26" i="70"/>
  <c r="Z26" i="70"/>
  <c r="Y26" i="70"/>
  <c r="X26" i="70"/>
  <c r="W26" i="70"/>
  <c r="V26" i="70"/>
  <c r="U26" i="70"/>
  <c r="T26" i="70"/>
  <c r="S26" i="70"/>
  <c r="R26" i="70"/>
  <c r="Q26" i="70"/>
  <c r="P26" i="70"/>
  <c r="O26" i="70"/>
  <c r="N26" i="70"/>
  <c r="M26" i="70"/>
  <c r="L26" i="70"/>
  <c r="K26" i="70"/>
  <c r="J26" i="70"/>
  <c r="AB25" i="70"/>
  <c r="AA25" i="70"/>
  <c r="Z25" i="70"/>
  <c r="Y25" i="70"/>
  <c r="X25" i="70"/>
  <c r="W25" i="70"/>
  <c r="V25" i="70"/>
  <c r="U25" i="70"/>
  <c r="T25" i="70"/>
  <c r="S25" i="70"/>
  <c r="R25" i="70"/>
  <c r="Q25" i="70"/>
  <c r="P25" i="70"/>
  <c r="O25" i="70"/>
  <c r="N25" i="70"/>
  <c r="M25" i="70"/>
  <c r="L25" i="70"/>
  <c r="K25" i="70"/>
  <c r="J25" i="70"/>
  <c r="H22" i="72" a="1"/>
  <c r="H23" i="72" s="1"/>
  <c r="L54" i="86"/>
  <c r="O25" i="76"/>
  <c r="O21" i="111"/>
  <c r="AJ21" i="111"/>
  <c r="AJ25" i="76"/>
  <c r="T26" i="76"/>
  <c r="T22" i="111"/>
  <c r="AO26" i="76"/>
  <c r="AO22" i="111"/>
  <c r="T25" i="76"/>
  <c r="T21" i="111"/>
  <c r="AO25" i="76"/>
  <c r="AO21" i="111"/>
  <c r="AD26" i="76"/>
  <c r="AD22" i="111"/>
  <c r="AA23" i="111"/>
  <c r="AA27" i="76"/>
  <c r="U21" i="111"/>
  <c r="U25" i="76"/>
  <c r="J22" i="111"/>
  <c r="J26" i="76"/>
  <c r="AE26" i="76"/>
  <c r="AE22" i="111"/>
  <c r="AB27" i="76"/>
  <c r="AB23" i="111"/>
  <c r="V25" i="76"/>
  <c r="V21" i="111"/>
  <c r="K22" i="111"/>
  <c r="K26" i="76"/>
  <c r="AF26" i="76"/>
  <c r="AF22" i="111"/>
  <c r="S25" i="76"/>
  <c r="S21" i="111"/>
  <c r="AN21" i="111"/>
  <c r="AN25" i="76"/>
  <c r="AC26" i="76"/>
  <c r="AC22" i="111"/>
  <c r="Z27" i="76"/>
  <c r="Z23" i="111"/>
  <c r="AC25" i="76"/>
  <c r="AC21" i="111"/>
  <c r="M26" i="76"/>
  <c r="M22" i="111"/>
  <c r="AH26" i="76"/>
  <c r="AH22" i="111"/>
  <c r="AP21" i="111"/>
  <c r="AP25" i="76"/>
  <c r="AD21" i="111"/>
  <c r="AD25" i="76"/>
  <c r="N22" i="111"/>
  <c r="N26" i="76"/>
  <c r="AI26" i="76"/>
  <c r="AI22" i="111"/>
  <c r="J25" i="76"/>
  <c r="J21" i="111"/>
  <c r="AE21" i="111"/>
  <c r="AE25" i="76"/>
  <c r="O22" i="111"/>
  <c r="O26" i="76"/>
  <c r="AJ26" i="76"/>
  <c r="AJ22" i="111"/>
  <c r="W25" i="76"/>
  <c r="W21" i="111"/>
  <c r="L26" i="76"/>
  <c r="L22" i="111"/>
  <c r="AG26" i="76"/>
  <c r="AG22" i="111"/>
  <c r="L25" i="76"/>
  <c r="L21" i="111"/>
  <c r="AG25" i="76"/>
  <c r="AG21" i="111"/>
  <c r="Q26" i="76"/>
  <c r="Q22" i="111"/>
  <c r="AL26" i="76"/>
  <c r="AL22" i="111"/>
  <c r="M21" i="111"/>
  <c r="M25" i="76"/>
  <c r="AH21" i="111"/>
  <c r="AH25" i="76"/>
  <c r="R22" i="111"/>
  <c r="R26" i="76"/>
  <c r="AM26" i="76"/>
  <c r="AM22" i="111"/>
  <c r="N25" i="76"/>
  <c r="N21" i="111"/>
  <c r="AI21" i="111"/>
  <c r="AI25" i="76"/>
  <c r="S22" i="111"/>
  <c r="S26" i="76"/>
  <c r="AN26" i="76"/>
  <c r="AN22" i="111"/>
  <c r="K25" i="76"/>
  <c r="K21" i="111"/>
  <c r="AF21" i="111"/>
  <c r="AF25" i="76"/>
  <c r="P26" i="76"/>
  <c r="P22" i="111"/>
  <c r="AK26" i="76"/>
  <c r="AK22" i="111"/>
  <c r="P25" i="76"/>
  <c r="P21" i="111"/>
  <c r="AK25" i="76"/>
  <c r="AK21" i="111"/>
  <c r="U26" i="76"/>
  <c r="U22" i="111"/>
  <c r="AP26" i="76"/>
  <c r="AP22" i="111"/>
  <c r="Q25" i="76"/>
  <c r="Q21" i="111"/>
  <c r="AL21" i="111"/>
  <c r="AL25" i="76"/>
  <c r="V22" i="111"/>
  <c r="V26" i="76"/>
  <c r="X27" i="76"/>
  <c r="X23" i="111"/>
  <c r="R25" i="76"/>
  <c r="R21" i="111"/>
  <c r="AM21" i="111"/>
  <c r="AM25" i="76"/>
  <c r="W22" i="111"/>
  <c r="W26" i="76"/>
  <c r="Y27" i="76"/>
  <c r="Y23" i="111"/>
  <c r="AB104" i="87"/>
  <c r="AB105" i="87"/>
  <c r="M54" i="86"/>
  <c r="P54" i="86"/>
  <c r="N104" i="87"/>
  <c r="AO103" i="87"/>
  <c r="K104" i="87"/>
  <c r="H77" i="89"/>
  <c r="H44" i="89"/>
  <c r="H45" i="89" s="1"/>
  <c r="AO104" i="87"/>
  <c r="H84" i="89"/>
  <c r="H54" i="89"/>
  <c r="H67" i="89"/>
  <c r="AH105" i="87"/>
  <c r="J39" i="105"/>
  <c r="J18" i="105"/>
  <c r="J36" i="105"/>
  <c r="J35" i="105"/>
  <c r="J20" i="105"/>
  <c r="J40" i="105"/>
  <c r="J27" i="105"/>
  <c r="J29" i="105"/>
  <c r="J17" i="105"/>
  <c r="J26" i="105"/>
  <c r="J31" i="105"/>
  <c r="J21" i="105"/>
  <c r="J22" i="105"/>
  <c r="J38" i="105"/>
  <c r="J30" i="105"/>
  <c r="U45" i="53"/>
  <c r="AG45" i="53"/>
  <c r="W45" i="53"/>
  <c r="AK45" i="53"/>
  <c r="T44" i="53"/>
  <c r="AO45" i="53"/>
  <c r="V44" i="53"/>
  <c r="AL44" i="53"/>
  <c r="AP44" i="53"/>
  <c r="J24" i="23"/>
  <c r="J26" i="23"/>
  <c r="J30" i="23"/>
  <c r="J44" i="23"/>
  <c r="J46" i="23"/>
  <c r="J48" i="23"/>
  <c r="K26" i="23"/>
  <c r="K28" i="23"/>
  <c r="K36" i="23"/>
  <c r="K44" i="23"/>
  <c r="K45" i="23"/>
  <c r="K47" i="23"/>
  <c r="K48" i="23"/>
  <c r="L24" i="23"/>
  <c r="L26" i="23"/>
  <c r="L27" i="23"/>
  <c r="L28" i="23"/>
  <c r="L34" i="23"/>
  <c r="L37" i="23"/>
  <c r="L39" i="23"/>
  <c r="L44" i="23"/>
  <c r="L45" i="23"/>
  <c r="L47" i="23"/>
  <c r="J25" i="23"/>
  <c r="J27" i="23"/>
  <c r="J31" i="23"/>
  <c r="J33" i="23"/>
  <c r="J35" i="23"/>
  <c r="K21" i="23"/>
  <c r="K23" i="23"/>
  <c r="K27" i="23"/>
  <c r="K37" i="23"/>
  <c r="K39" i="23"/>
  <c r="M22" i="23"/>
  <c r="M27" i="23"/>
  <c r="M28" i="23"/>
  <c r="M30" i="23"/>
  <c r="M31" i="23"/>
  <c r="M39" i="23"/>
  <c r="M40" i="23"/>
  <c r="M41" i="23"/>
  <c r="M43" i="23"/>
  <c r="M48" i="23"/>
  <c r="M52" i="23"/>
  <c r="P77" i="31"/>
  <c r="K143" i="31"/>
  <c r="K180" i="31"/>
  <c r="M150" i="31"/>
  <c r="S127" i="31"/>
  <c r="S164" i="31" s="1"/>
  <c r="K123" i="31"/>
  <c r="K160" i="31" s="1"/>
  <c r="P60" i="31"/>
  <c r="O135" i="31"/>
  <c r="Q122" i="31"/>
  <c r="Q159" i="31" s="1"/>
  <c r="J67" i="31"/>
  <c r="J103" i="31" s="1"/>
  <c r="K141" i="31"/>
  <c r="K178" i="31" s="1"/>
  <c r="O139" i="31"/>
  <c r="M128" i="31"/>
  <c r="L150" i="31"/>
  <c r="L187" i="31" s="1"/>
  <c r="P144" i="31"/>
  <c r="R141" i="31"/>
  <c r="R178" i="31" s="1"/>
  <c r="J139" i="31"/>
  <c r="J176" i="31" s="1"/>
  <c r="P136" i="31"/>
  <c r="P132" i="31"/>
  <c r="J127" i="31"/>
  <c r="J164" i="31" s="1"/>
  <c r="L124" i="31"/>
  <c r="L161" i="31" s="1"/>
  <c r="R121" i="31"/>
  <c r="R158" i="31" s="1"/>
  <c r="Q149" i="31"/>
  <c r="Q186" i="31" s="1"/>
  <c r="Q141" i="31"/>
  <c r="Q178" i="31" s="1"/>
  <c r="M139" i="31"/>
  <c r="S138" i="31"/>
  <c r="S175" i="31" s="1"/>
  <c r="O136" i="31"/>
  <c r="M133" i="31"/>
  <c r="P149" i="31"/>
  <c r="N144" i="31"/>
  <c r="J140" i="31"/>
  <c r="J177" i="31" s="1"/>
  <c r="P135" i="31"/>
  <c r="J132" i="31"/>
  <c r="J169" i="31" s="1"/>
  <c r="N130" i="31"/>
  <c r="L129" i="31"/>
  <c r="L166" i="31" s="1"/>
  <c r="L127" i="31"/>
  <c r="L164" i="31" s="1"/>
  <c r="L125" i="31"/>
  <c r="L162" i="31" s="1"/>
  <c r="N118" i="31"/>
  <c r="L78" i="31"/>
  <c r="L114" i="31" s="1"/>
  <c r="N66" i="31"/>
  <c r="P53" i="31"/>
  <c r="O51" i="31"/>
  <c r="J68" i="31"/>
  <c r="J104" i="31" s="1"/>
  <c r="O59" i="31"/>
  <c r="N57" i="31"/>
  <c r="J70" i="31"/>
  <c r="J106" i="31" s="1"/>
  <c r="Q64" i="31"/>
  <c r="Q100" i="31" s="1"/>
  <c r="J54" i="31"/>
  <c r="J90" i="31"/>
  <c r="S51" i="31"/>
  <c r="S87" i="31" s="1"/>
  <c r="Q48" i="31"/>
  <c r="Q84" i="31" s="1"/>
  <c r="N46" i="31"/>
  <c r="L75" i="31"/>
  <c r="L111" i="31" s="1"/>
  <c r="P73" i="31"/>
  <c r="K73" i="31"/>
  <c r="K109" i="31" s="1"/>
  <c r="J72" i="31"/>
  <c r="J108" i="31" s="1"/>
  <c r="S69" i="31"/>
  <c r="S105" i="31" s="1"/>
  <c r="N62" i="31"/>
  <c r="N61" i="31"/>
  <c r="L59" i="31"/>
  <c r="L95" i="31" s="1"/>
  <c r="P57" i="31"/>
  <c r="S53" i="31"/>
  <c r="S89" i="31" s="1"/>
  <c r="R51" i="31"/>
  <c r="R87" i="31" s="1"/>
  <c r="Q50" i="31"/>
  <c r="Q86" i="31" s="1"/>
  <c r="P48" i="31"/>
  <c r="M46" i="31"/>
  <c r="R66" i="31"/>
  <c r="R102" i="31" s="1"/>
  <c r="K63" i="31"/>
  <c r="K99" i="31" s="1"/>
  <c r="J61" i="31"/>
  <c r="J97" i="31" s="1"/>
  <c r="R57" i="31"/>
  <c r="R93" i="31" s="1"/>
  <c r="P54" i="31"/>
  <c r="R77" i="31"/>
  <c r="R113" i="31"/>
  <c r="L76" i="31"/>
  <c r="L112" i="31" s="1"/>
  <c r="P74" i="31"/>
  <c r="L69" i="31"/>
  <c r="L105" i="31"/>
  <c r="P67" i="31"/>
  <c r="K67" i="31"/>
  <c r="K103" i="31" s="1"/>
  <c r="O65" i="31"/>
  <c r="R61" i="31"/>
  <c r="R97" i="31" s="1"/>
  <c r="L60" i="31"/>
  <c r="L96" i="31" s="1"/>
  <c r="P58" i="31"/>
  <c r="L53" i="31"/>
  <c r="L89" i="31" s="1"/>
  <c r="P51" i="31"/>
  <c r="K51" i="31"/>
  <c r="K87" i="31" s="1"/>
  <c r="O49" i="31"/>
  <c r="N48" i="31"/>
  <c r="S46" i="31"/>
  <c r="S82" i="31"/>
  <c r="K48" i="31"/>
  <c r="K84" i="31" s="1"/>
  <c r="Q49" i="31"/>
  <c r="Q85" i="31" s="1"/>
  <c r="O52" i="31"/>
  <c r="S52" i="31"/>
  <c r="S88" i="31" s="1"/>
  <c r="K54" i="31"/>
  <c r="K90" i="31" s="1"/>
  <c r="S54" i="31"/>
  <c r="S90" i="31" s="1"/>
  <c r="Q57" i="31"/>
  <c r="Q93" i="31" s="1"/>
  <c r="O58" i="31"/>
  <c r="Q59" i="31"/>
  <c r="Q95" i="31" s="1"/>
  <c r="O60" i="31"/>
  <c r="S60" i="31"/>
  <c r="S96" i="31" s="1"/>
  <c r="O62" i="31"/>
  <c r="S62" i="31"/>
  <c r="S98" i="31" s="1"/>
  <c r="Q63" i="31"/>
  <c r="Q99" i="31" s="1"/>
  <c r="O64" i="31"/>
  <c r="S64" i="31"/>
  <c r="S100" i="31" s="1"/>
  <c r="O66" i="31"/>
  <c r="S66" i="31"/>
  <c r="S102" i="31" s="1"/>
  <c r="Q67" i="31"/>
  <c r="Q103" i="31" s="1"/>
  <c r="O68" i="31"/>
  <c r="S68" i="31"/>
  <c r="S104" i="31" s="1"/>
  <c r="O70" i="31"/>
  <c r="S70" i="31"/>
  <c r="S106" i="31" s="1"/>
  <c r="Q71" i="31"/>
  <c r="Q107" i="31" s="1"/>
  <c r="O72" i="31"/>
  <c r="S72" i="31"/>
  <c r="S108" i="31" s="1"/>
  <c r="O74" i="31"/>
  <c r="S74" i="31"/>
  <c r="S110" i="31" s="1"/>
  <c r="Q75" i="31"/>
  <c r="Q111" i="31" s="1"/>
  <c r="O76" i="31"/>
  <c r="S76" i="31"/>
  <c r="S112" i="31" s="1"/>
  <c r="O78" i="31"/>
  <c r="S78" i="31"/>
  <c r="S114" i="31" s="1"/>
  <c r="P46" i="31"/>
  <c r="AP43" i="22"/>
  <c r="AO43" i="22"/>
  <c r="AN43" i="22"/>
  <c r="AM43" i="22"/>
  <c r="AL43" i="22"/>
  <c r="AK43" i="22"/>
  <c r="AJ43" i="22"/>
  <c r="AI43" i="22"/>
  <c r="AH43" i="22"/>
  <c r="AG43" i="22"/>
  <c r="AF43" i="22"/>
  <c r="AE43" i="22"/>
  <c r="AD43" i="22"/>
  <c r="AC43" i="22"/>
  <c r="A2" i="90"/>
  <c r="A1" i="90"/>
  <c r="C157" i="90" s="1"/>
  <c r="G79" i="85" s="1"/>
  <c r="H142" i="53"/>
  <c r="H198" i="53"/>
  <c r="T248" i="53" s="1"/>
  <c r="H158" i="53"/>
  <c r="P61" i="23"/>
  <c r="P54" i="53"/>
  <c r="N61" i="23"/>
  <c r="Q61" i="23"/>
  <c r="P53" i="53"/>
  <c r="Q27" i="31"/>
  <c r="J45" i="53"/>
  <c r="L62" i="23"/>
  <c r="L63" i="23"/>
  <c r="H197" i="53"/>
  <c r="H149" i="53"/>
  <c r="W217" i="53" s="1"/>
  <c r="H141" i="53"/>
  <c r="L212" i="53" s="1"/>
  <c r="H181" i="53"/>
  <c r="M237" i="53" s="1"/>
  <c r="H173" i="53"/>
  <c r="H189" i="53"/>
  <c r="H157" i="53"/>
  <c r="AH104" i="87"/>
  <c r="AG104" i="87"/>
  <c r="AK103" i="87"/>
  <c r="J19" i="105"/>
  <c r="J34" i="105"/>
  <c r="AK105" i="87"/>
  <c r="S105" i="87"/>
  <c r="J37" i="105"/>
  <c r="H135" i="53"/>
  <c r="AK104" i="87"/>
  <c r="J25" i="105"/>
  <c r="H47" i="86" a="1"/>
  <c r="H47" i="86" s="1"/>
  <c r="J28" i="105"/>
  <c r="X45" i="53"/>
  <c r="AO105" i="87"/>
  <c r="J16" i="105"/>
  <c r="K27" i="31"/>
  <c r="J28" i="31" s="1"/>
  <c r="J29" i="31" s="1"/>
  <c r="L54" i="81"/>
  <c r="AG105" i="87"/>
  <c r="S61" i="23"/>
  <c r="M61" i="23"/>
  <c r="O61" i="23"/>
  <c r="R61" i="23"/>
  <c r="L61" i="23"/>
  <c r="AH103" i="87"/>
  <c r="AG103" i="87"/>
  <c r="H133" i="53"/>
  <c r="H165" i="53"/>
  <c r="H134" i="53"/>
  <c r="H182" i="53"/>
  <c r="H150" i="53"/>
  <c r="H174" i="53"/>
  <c r="K233" i="53" s="1"/>
  <c r="H166" i="53"/>
  <c r="H190" i="53"/>
  <c r="H88" i="81"/>
  <c r="H87" i="81"/>
  <c r="H86" i="81"/>
  <c r="H84" i="81"/>
  <c r="J98" i="81"/>
  <c r="H163" i="90" a="1"/>
  <c r="H163" i="90" s="1"/>
  <c r="H24" i="81"/>
  <c r="H23" i="81"/>
  <c r="H25" i="22"/>
  <c r="H24" i="22"/>
  <c r="H23" i="22"/>
  <c r="AK35" i="22" s="1"/>
  <c r="H22" i="22"/>
  <c r="AF34" i="22" s="1"/>
  <c r="A2" i="89"/>
  <c r="A1" i="89"/>
  <c r="C87" i="89" s="1"/>
  <c r="G93" i="85" s="1"/>
  <c r="A2" i="87"/>
  <c r="A1" i="87"/>
  <c r="C13" i="87" s="1"/>
  <c r="G80" i="85" s="1"/>
  <c r="N54" i="53"/>
  <c r="K54" i="53"/>
  <c r="N53" i="53"/>
  <c r="K53" i="53"/>
  <c r="X44" i="53"/>
  <c r="J131" i="22"/>
  <c r="J120" i="22"/>
  <c r="J109" i="22"/>
  <c r="J83" i="22"/>
  <c r="J72" i="22"/>
  <c r="J130" i="22"/>
  <c r="J119" i="22"/>
  <c r="J108" i="22"/>
  <c r="J82" i="22"/>
  <c r="J71" i="22"/>
  <c r="J129" i="22"/>
  <c r="J118" i="22"/>
  <c r="J107" i="22"/>
  <c r="J81" i="22"/>
  <c r="J70" i="22"/>
  <c r="L60" i="23"/>
  <c r="H39" i="81"/>
  <c r="Q19" i="31"/>
  <c r="N19" i="31"/>
  <c r="A2" i="86"/>
  <c r="A1" i="86"/>
  <c r="C23" i="86" s="1"/>
  <c r="G87" i="85" s="1"/>
  <c r="P104" i="87"/>
  <c r="O103" i="87"/>
  <c r="J103" i="87"/>
  <c r="L103" i="87"/>
  <c r="N103" i="87"/>
  <c r="P103" i="87"/>
  <c r="M103" i="87"/>
  <c r="K103" i="87"/>
  <c r="J97" i="22"/>
  <c r="J61" i="22"/>
  <c r="J96" i="22"/>
  <c r="J60" i="22"/>
  <c r="J59" i="22"/>
  <c r="J98" i="22"/>
  <c r="J44" i="53"/>
  <c r="O53" i="86"/>
  <c r="S53" i="86"/>
  <c r="R53" i="86"/>
  <c r="Q53" i="86"/>
  <c r="N53" i="86"/>
  <c r="H132" i="53"/>
  <c r="AP206" i="53" s="1"/>
  <c r="K53" i="86"/>
  <c r="R243" i="53"/>
  <c r="H145" i="53"/>
  <c r="AC213" i="53"/>
  <c r="AK213" i="53"/>
  <c r="J213" i="53"/>
  <c r="K213" i="53"/>
  <c r="Q213" i="53"/>
  <c r="N213" i="53"/>
  <c r="AD213" i="53"/>
  <c r="O213" i="53"/>
  <c r="AE213" i="53"/>
  <c r="AG213" i="53"/>
  <c r="AO213" i="53"/>
  <c r="R213" i="53"/>
  <c r="S213" i="53"/>
  <c r="P213" i="53"/>
  <c r="AJ213" i="53"/>
  <c r="AL213" i="53"/>
  <c r="L213" i="53"/>
  <c r="V213" i="53"/>
  <c r="W213" i="53"/>
  <c r="T213" i="53"/>
  <c r="AN213" i="53"/>
  <c r="AM213" i="53"/>
  <c r="AF213" i="53"/>
  <c r="M213" i="53"/>
  <c r="AH213" i="53"/>
  <c r="AI213" i="53"/>
  <c r="H137" i="53"/>
  <c r="S208" i="53"/>
  <c r="W208" i="53"/>
  <c r="AP208" i="53"/>
  <c r="AD208" i="53"/>
  <c r="V208" i="53"/>
  <c r="M208" i="53"/>
  <c r="O208" i="53"/>
  <c r="P208" i="53"/>
  <c r="Q208" i="53"/>
  <c r="U208" i="53"/>
  <c r="AO208" i="53"/>
  <c r="AC208" i="53"/>
  <c r="R222" i="53"/>
  <c r="P222" i="53"/>
  <c r="AF222" i="53"/>
  <c r="K222" i="53"/>
  <c r="L222" i="53"/>
  <c r="AE222" i="53"/>
  <c r="N222" i="53"/>
  <c r="S222" i="53"/>
  <c r="AD222" i="53"/>
  <c r="M222" i="53"/>
  <c r="AN222" i="53"/>
  <c r="AO222" i="53"/>
  <c r="N237" i="53"/>
  <c r="AH237" i="53"/>
  <c r="AD237" i="53"/>
  <c r="AO237" i="53"/>
  <c r="U237" i="53"/>
  <c r="AC237" i="53"/>
  <c r="AN237" i="53"/>
  <c r="AL237" i="53"/>
  <c r="W237" i="53"/>
  <c r="R237" i="53"/>
  <c r="Q237" i="53"/>
  <c r="T237" i="53"/>
  <c r="V237" i="53"/>
  <c r="AG237" i="53"/>
  <c r="AE237" i="53"/>
  <c r="AP237" i="53"/>
  <c r="AK237" i="53"/>
  <c r="K237" i="53"/>
  <c r="AM237" i="53"/>
  <c r="L237" i="53"/>
  <c r="H196" i="53"/>
  <c r="H148" i="53"/>
  <c r="AC216" i="53" s="1"/>
  <c r="W223" i="53"/>
  <c r="R223" i="53"/>
  <c r="N223" i="53"/>
  <c r="Q223" i="53"/>
  <c r="AH223" i="53"/>
  <c r="V223" i="53"/>
  <c r="T223" i="53"/>
  <c r="AI223" i="53"/>
  <c r="K223" i="53"/>
  <c r="P223" i="53"/>
  <c r="AD223" i="53"/>
  <c r="H161" i="53"/>
  <c r="AB223" i="53" s="1"/>
  <c r="R238" i="53"/>
  <c r="H185" i="53"/>
  <c r="AB238" i="53" s="1"/>
  <c r="AN238" i="53"/>
  <c r="P238" i="53"/>
  <c r="K238" i="53"/>
  <c r="J238" i="53"/>
  <c r="T238" i="53"/>
  <c r="U238" i="53"/>
  <c r="AJ238" i="53"/>
  <c r="W238" i="53"/>
  <c r="AD238" i="53"/>
  <c r="AL238" i="53"/>
  <c r="AG238" i="53"/>
  <c r="AK238" i="53"/>
  <c r="Q238" i="53"/>
  <c r="AM238" i="53"/>
  <c r="S238" i="53"/>
  <c r="N238" i="53"/>
  <c r="V238" i="53"/>
  <c r="M238" i="53"/>
  <c r="O238" i="53"/>
  <c r="AM247" i="53"/>
  <c r="R247" i="53"/>
  <c r="AL247" i="53"/>
  <c r="Q247" i="53"/>
  <c r="AG247" i="53"/>
  <c r="N247" i="53"/>
  <c r="M247" i="53"/>
  <c r="AJ247" i="53"/>
  <c r="AE247" i="53"/>
  <c r="K247" i="53"/>
  <c r="AF247" i="53"/>
  <c r="U247" i="53"/>
  <c r="J247" i="53"/>
  <c r="AH217" i="53"/>
  <c r="M217" i="53"/>
  <c r="AF217" i="53"/>
  <c r="S217" i="53"/>
  <c r="AE217" i="53"/>
  <c r="AD217" i="53"/>
  <c r="AO217" i="53"/>
  <c r="AN217" i="53"/>
  <c r="V217" i="53"/>
  <c r="P217" i="53"/>
  <c r="R217" i="53"/>
  <c r="Q217" i="53"/>
  <c r="K217" i="53"/>
  <c r="AM217" i="53"/>
  <c r="AP217" i="53"/>
  <c r="AL217" i="53"/>
  <c r="L217" i="53"/>
  <c r="H164" i="53"/>
  <c r="L226" i="53" s="1"/>
  <c r="H172" i="53"/>
  <c r="AI231" i="53" s="1"/>
  <c r="L228" i="53"/>
  <c r="W228" i="53"/>
  <c r="N228" i="53"/>
  <c r="P228" i="53"/>
  <c r="N233" i="53"/>
  <c r="AG233" i="53"/>
  <c r="M233" i="53"/>
  <c r="T233" i="53"/>
  <c r="W233" i="53"/>
  <c r="AD233" i="53"/>
  <c r="J233" i="53"/>
  <c r="AC233" i="53"/>
  <c r="AN233" i="53"/>
  <c r="P233" i="53"/>
  <c r="U233" i="53"/>
  <c r="L233" i="53"/>
  <c r="AK233" i="53"/>
  <c r="R233" i="53"/>
  <c r="Q233" i="53"/>
  <c r="AP233" i="53"/>
  <c r="AO233" i="53"/>
  <c r="AJ233" i="53"/>
  <c r="S233" i="53"/>
  <c r="AL233" i="53"/>
  <c r="AD212" i="53"/>
  <c r="J212" i="53"/>
  <c r="AL212" i="53"/>
  <c r="AC212" i="53"/>
  <c r="AO212" i="53"/>
  <c r="AN212" i="53"/>
  <c r="Q212" i="53"/>
  <c r="M212" i="53"/>
  <c r="S212" i="53"/>
  <c r="U212" i="53"/>
  <c r="AI212" i="53"/>
  <c r="AM212" i="53"/>
  <c r="R207" i="53"/>
  <c r="AJ207" i="53"/>
  <c r="P207" i="53"/>
  <c r="AK207" i="53"/>
  <c r="N207" i="53"/>
  <c r="AI207" i="53"/>
  <c r="J207" i="53"/>
  <c r="U207" i="53"/>
  <c r="AL207" i="53"/>
  <c r="Q207" i="53"/>
  <c r="W207" i="53"/>
  <c r="AH207" i="53"/>
  <c r="AF207" i="53"/>
  <c r="H188" i="53"/>
  <c r="H180" i="53"/>
  <c r="K236" i="53" s="1"/>
  <c r="AM248" i="53"/>
  <c r="S248" i="53"/>
  <c r="AL248" i="53"/>
  <c r="AK248" i="53"/>
  <c r="Q248" i="53"/>
  <c r="P248" i="53"/>
  <c r="AI248" i="53"/>
  <c r="AH248" i="53"/>
  <c r="N248" i="53"/>
  <c r="M248" i="53"/>
  <c r="W248" i="53"/>
  <c r="AE248" i="53"/>
  <c r="K248" i="53"/>
  <c r="J248" i="53"/>
  <c r="AC248" i="53"/>
  <c r="AN248" i="53"/>
  <c r="K218" i="53"/>
  <c r="AL218" i="53"/>
  <c r="R218" i="53"/>
  <c r="AK218" i="53"/>
  <c r="Q218" i="53"/>
  <c r="AF218" i="53"/>
  <c r="W218" i="53"/>
  <c r="O218" i="53"/>
  <c r="AH218" i="53"/>
  <c r="N218" i="53"/>
  <c r="AG218" i="53"/>
  <c r="M218" i="53"/>
  <c r="T218" i="53"/>
  <c r="AE218" i="53"/>
  <c r="AD218" i="53"/>
  <c r="AC218" i="53"/>
  <c r="P218" i="53"/>
  <c r="AI218" i="53"/>
  <c r="AO218" i="53"/>
  <c r="S218" i="53"/>
  <c r="V218" i="53"/>
  <c r="U218" i="53"/>
  <c r="L218" i="53"/>
  <c r="AP218" i="53"/>
  <c r="AM218" i="53"/>
  <c r="H153" i="53"/>
  <c r="Z218" i="53" s="1"/>
  <c r="J218" i="53"/>
  <c r="AN218" i="53"/>
  <c r="AJ218" i="53"/>
  <c r="AL227" i="53"/>
  <c r="AN227" i="53"/>
  <c r="N227" i="53"/>
  <c r="U227" i="53"/>
  <c r="AO227" i="53"/>
  <c r="AJ227" i="53"/>
  <c r="AP227" i="53"/>
  <c r="AD227" i="53"/>
  <c r="Q227" i="53"/>
  <c r="AK227" i="53"/>
  <c r="V227" i="53"/>
  <c r="AH227" i="53"/>
  <c r="M227" i="53"/>
  <c r="L227" i="53"/>
  <c r="W227" i="53"/>
  <c r="J232" i="53"/>
  <c r="AD232" i="53"/>
  <c r="AO232" i="53"/>
  <c r="V232" i="53"/>
  <c r="U232" i="53"/>
  <c r="AK232" i="53"/>
  <c r="P232" i="53"/>
  <c r="AJ232" i="53"/>
  <c r="W232" i="53"/>
  <c r="M232" i="53"/>
  <c r="AI232" i="53"/>
  <c r="AH232" i="53"/>
  <c r="AF232" i="53"/>
  <c r="Q232" i="53"/>
  <c r="L232" i="53"/>
  <c r="H156" i="53"/>
  <c r="H140" i="53"/>
  <c r="S211" i="53" s="1"/>
  <c r="K19" i="31"/>
  <c r="J43" i="53"/>
  <c r="N52" i="53"/>
  <c r="AH53" i="53"/>
  <c r="AG63" i="53"/>
  <c r="AO63" i="53"/>
  <c r="P52" i="53"/>
  <c r="AH63" i="53"/>
  <c r="K52" i="53"/>
  <c r="J98" i="53"/>
  <c r="J61" i="80"/>
  <c r="H39" i="70"/>
  <c r="R45" i="70" s="1"/>
  <c r="R82" i="72" s="1"/>
  <c r="H37" i="31"/>
  <c r="P46" i="81"/>
  <c r="J99" i="53"/>
  <c r="Y206" i="53"/>
  <c r="X206" i="53"/>
  <c r="AA206" i="53"/>
  <c r="Z206" i="53"/>
  <c r="Y29" i="53"/>
  <c r="Y253" i="53" s="1"/>
  <c r="AB29" i="53"/>
  <c r="Z29" i="53"/>
  <c r="X29" i="53"/>
  <c r="H84" i="53" s="1"/>
  <c r="AA29" i="53"/>
  <c r="AN30" i="53"/>
  <c r="Q30" i="53"/>
  <c r="AC30" i="53"/>
  <c r="AC254" i="53" s="1"/>
  <c r="N30" i="53"/>
  <c r="AD30" i="53"/>
  <c r="K30" i="53"/>
  <c r="T30" i="53"/>
  <c r="M30" i="53"/>
  <c r="J30" i="53"/>
  <c r="AP30" i="53"/>
  <c r="AP254" i="53" s="1"/>
  <c r="W30" i="53"/>
  <c r="L30" i="53"/>
  <c r="AG30" i="53"/>
  <c r="R30" i="53"/>
  <c r="AH30" i="53"/>
  <c r="AH254" i="53" s="1"/>
  <c r="O30" i="53"/>
  <c r="O254" i="53" s="1"/>
  <c r="AE30" i="53"/>
  <c r="AE254" i="53" s="1"/>
  <c r="AJ30" i="53"/>
  <c r="AK30" i="53"/>
  <c r="AK254" i="53" s="1"/>
  <c r="AM30" i="53"/>
  <c r="AM254" i="53" s="1"/>
  <c r="P30" i="53"/>
  <c r="AF30" i="53"/>
  <c r="U30" i="53"/>
  <c r="AO30" i="53"/>
  <c r="V30" i="53"/>
  <c r="AL30" i="53"/>
  <c r="S30" i="53"/>
  <c r="AI30" i="53"/>
  <c r="X30" i="53"/>
  <c r="AA30" i="53"/>
  <c r="AB30" i="53"/>
  <c r="AB254" i="53" s="1"/>
  <c r="Y30" i="53"/>
  <c r="Z30" i="53"/>
  <c r="V31" i="53"/>
  <c r="AL31" i="53"/>
  <c r="S31" i="53"/>
  <c r="AI31" i="53"/>
  <c r="T31" i="53"/>
  <c r="T255" i="53" s="1"/>
  <c r="AN31" i="53"/>
  <c r="AN255" i="53" s="1"/>
  <c r="M31" i="53"/>
  <c r="M255" i="53" s="1"/>
  <c r="AC31" i="53"/>
  <c r="AC255" i="53" s="1"/>
  <c r="R31" i="53"/>
  <c r="AH31" i="53"/>
  <c r="AH255" i="53" s="1"/>
  <c r="AE31" i="53"/>
  <c r="AE255" i="53" s="1"/>
  <c r="AF31" i="53"/>
  <c r="J31" i="53"/>
  <c r="W31" i="53"/>
  <c r="AM31" i="53"/>
  <c r="AJ31" i="53"/>
  <c r="L31" i="53"/>
  <c r="Q31" i="53"/>
  <c r="AG31" i="53"/>
  <c r="AG255" i="53" s="1"/>
  <c r="O31" i="53"/>
  <c r="AO31" i="53"/>
  <c r="AO255" i="53" s="1"/>
  <c r="N31" i="53"/>
  <c r="AD31" i="53"/>
  <c r="K31" i="53"/>
  <c r="P31" i="53"/>
  <c r="U31" i="53"/>
  <c r="U255" i="53" s="1"/>
  <c r="AK31" i="53"/>
  <c r="Y31" i="53"/>
  <c r="Y255" i="53" s="1"/>
  <c r="Z31" i="53"/>
  <c r="Z255" i="53" s="1"/>
  <c r="X31" i="53"/>
  <c r="X255" i="53" s="1"/>
  <c r="AA31" i="53"/>
  <c r="AA255" i="53" s="1"/>
  <c r="AB31" i="53"/>
  <c r="AO29" i="53"/>
  <c r="AO253" i="53" s="1"/>
  <c r="V29" i="53"/>
  <c r="V253" i="53" s="1"/>
  <c r="O29" i="53"/>
  <c r="AE29" i="53"/>
  <c r="AE253" i="53" s="1"/>
  <c r="L29" i="53"/>
  <c r="U29" i="53"/>
  <c r="K29" i="53"/>
  <c r="M29" i="53"/>
  <c r="M253" i="53" s="1"/>
  <c r="AC29" i="53"/>
  <c r="AL29" i="53"/>
  <c r="N29" i="53"/>
  <c r="S29" i="53"/>
  <c r="AI29" i="53"/>
  <c r="P29" i="53"/>
  <c r="AF29" i="53"/>
  <c r="AK29" i="53"/>
  <c r="AH29" i="53"/>
  <c r="AN29" i="53"/>
  <c r="Q29" i="53"/>
  <c r="Q253" i="53" s="1"/>
  <c r="AG29" i="53"/>
  <c r="AG253" i="53" s="1"/>
  <c r="R29" i="53"/>
  <c r="R253" i="53" s="1"/>
  <c r="J29" i="53"/>
  <c r="J253" i="53" s="1"/>
  <c r="AD29" i="53"/>
  <c r="W29" i="53"/>
  <c r="W253" i="53" s="1"/>
  <c r="AM29" i="53"/>
  <c r="AM253" i="53" s="1"/>
  <c r="T29" i="53"/>
  <c r="T253" i="53" s="1"/>
  <c r="AJ29" i="53"/>
  <c r="AK53" i="53"/>
  <c r="AB53" i="53"/>
  <c r="S63" i="53"/>
  <c r="AK63" i="53"/>
  <c r="AK43" i="53"/>
  <c r="AG43" i="53"/>
  <c r="AO43" i="53"/>
  <c r="AG53" i="53"/>
  <c r="AO53" i="53"/>
  <c r="AB63" i="53"/>
  <c r="AH43" i="53"/>
  <c r="U206" i="53"/>
  <c r="AD206" i="53"/>
  <c r="S206" i="53"/>
  <c r="L206" i="53"/>
  <c r="H136" i="53"/>
  <c r="AB207" i="53" s="1"/>
  <c r="K206" i="53"/>
  <c r="N206" i="53"/>
  <c r="AH206" i="53"/>
  <c r="P206" i="53"/>
  <c r="AB45" i="70"/>
  <c r="AB82" i="72" s="1"/>
  <c r="T226" i="53"/>
  <c r="J226" i="53"/>
  <c r="AK226" i="53"/>
  <c r="P226" i="53"/>
  <c r="AF226" i="53"/>
  <c r="V226" i="53"/>
  <c r="AH226" i="53"/>
  <c r="M226" i="53"/>
  <c r="W226" i="53"/>
  <c r="U226" i="53"/>
  <c r="AI226" i="53"/>
  <c r="Q226" i="53"/>
  <c r="AK216" i="53"/>
  <c r="N216" i="53"/>
  <c r="V216" i="53"/>
  <c r="AF216" i="53"/>
  <c r="X208" i="53"/>
  <c r="Y208" i="53"/>
  <c r="AJ221" i="53"/>
  <c r="R211" i="53"/>
  <c r="AM211" i="53"/>
  <c r="Q211" i="53"/>
  <c r="W211" i="53"/>
  <c r="AL211" i="53"/>
  <c r="P211" i="53"/>
  <c r="M211" i="53"/>
  <c r="N211" i="53"/>
  <c r="L211" i="53"/>
  <c r="AJ211" i="53"/>
  <c r="AC241" i="53"/>
  <c r="AN241" i="53"/>
  <c r="S241" i="53"/>
  <c r="AI241" i="53"/>
  <c r="N241" i="53"/>
  <c r="AD241" i="53"/>
  <c r="AO241" i="53"/>
  <c r="T241" i="53"/>
  <c r="AJ241" i="53"/>
  <c r="O241" i="53"/>
  <c r="AE241" i="53"/>
  <c r="J241" i="53"/>
  <c r="AP241" i="53"/>
  <c r="Q241" i="53"/>
  <c r="AL241" i="53"/>
  <c r="P241" i="53"/>
  <c r="K241" i="53"/>
  <c r="AH241" i="53"/>
  <c r="W241" i="53"/>
  <c r="L241" i="53"/>
  <c r="AM241" i="53"/>
  <c r="M241" i="53"/>
  <c r="AG241" i="53"/>
  <c r="R241" i="53"/>
  <c r="AK241" i="53"/>
  <c r="AF241" i="53"/>
  <c r="V241" i="53"/>
  <c r="U241" i="53"/>
  <c r="Y238" i="53"/>
  <c r="Z238" i="53"/>
  <c r="AA238" i="53"/>
  <c r="X238" i="53"/>
  <c r="AB213" i="53"/>
  <c r="U236" i="53"/>
  <c r="AI236" i="53"/>
  <c r="AD236" i="53"/>
  <c r="AH231" i="53"/>
  <c r="N231" i="53"/>
  <c r="Q231" i="53"/>
  <c r="L231" i="53"/>
  <c r="AO231" i="53"/>
  <c r="J231" i="53"/>
  <c r="AN231" i="53"/>
  <c r="T231" i="53"/>
  <c r="V231" i="53"/>
  <c r="O231" i="53"/>
  <c r="AG231" i="53"/>
  <c r="AL231" i="53"/>
  <c r="S231" i="53"/>
  <c r="AD231" i="53"/>
  <c r="P231" i="53"/>
  <c r="A2" i="85"/>
  <c r="A1" i="85"/>
  <c r="A2" i="84"/>
  <c r="A1" i="84"/>
  <c r="J20" i="31"/>
  <c r="J21" i="31" s="1"/>
  <c r="J23" i="31" s="1"/>
  <c r="AE116" i="53"/>
  <c r="AE118" i="53" s="1"/>
  <c r="AI116" i="53"/>
  <c r="AM116" i="53"/>
  <c r="AM504" i="53" s="1"/>
  <c r="AF116" i="53"/>
  <c r="AJ116" i="53"/>
  <c r="AN116" i="53"/>
  <c r="AC116" i="53"/>
  <c r="AC504" i="53"/>
  <c r="AC78" i="83" s="1"/>
  <c r="AG116" i="53"/>
  <c r="AG504" i="53" s="1"/>
  <c r="AK116" i="53"/>
  <c r="AK504" i="53"/>
  <c r="AO116" i="53"/>
  <c r="AD116" i="53"/>
  <c r="AD504" i="53" s="1"/>
  <c r="AH116" i="53"/>
  <c r="AL116" i="53"/>
  <c r="AL118" i="53" s="1"/>
  <c r="AL504" i="53"/>
  <c r="AP116" i="53"/>
  <c r="A1" i="55"/>
  <c r="AP89" i="72"/>
  <c r="AO89" i="72"/>
  <c r="AN89" i="72"/>
  <c r="AM89" i="72"/>
  <c r="AL89" i="72"/>
  <c r="AK89" i="72"/>
  <c r="AJ89" i="72"/>
  <c r="AI89" i="72"/>
  <c r="AH89" i="72"/>
  <c r="AG89" i="72"/>
  <c r="AF89" i="72"/>
  <c r="AE89" i="72"/>
  <c r="AD89" i="72"/>
  <c r="AC89" i="72"/>
  <c r="AP88" i="72"/>
  <c r="AO88" i="72"/>
  <c r="AN88" i="72"/>
  <c r="AM88" i="72"/>
  <c r="AL88" i="72"/>
  <c r="AK88" i="72"/>
  <c r="AJ88" i="72"/>
  <c r="AI88" i="72"/>
  <c r="AH88" i="72"/>
  <c r="AG88" i="72"/>
  <c r="AF88" i="72"/>
  <c r="AE88" i="72"/>
  <c r="AD88" i="72"/>
  <c r="AC88" i="72"/>
  <c r="AP87" i="72"/>
  <c r="AO87" i="72"/>
  <c r="AN87" i="72"/>
  <c r="AM87" i="72"/>
  <c r="AL87" i="72"/>
  <c r="AK87" i="72"/>
  <c r="AJ87" i="72"/>
  <c r="AI87" i="72"/>
  <c r="AH87" i="72"/>
  <c r="AG87" i="72"/>
  <c r="AF87" i="72"/>
  <c r="AE87" i="72"/>
  <c r="AD87" i="72"/>
  <c r="AC87" i="72"/>
  <c r="AP86" i="72"/>
  <c r="AO86" i="72"/>
  <c r="AN86" i="72"/>
  <c r="AM86" i="72"/>
  <c r="AL86" i="72"/>
  <c r="AK86" i="72"/>
  <c r="AJ86" i="72"/>
  <c r="AI86" i="72"/>
  <c r="AH86" i="72"/>
  <c r="AG86" i="72"/>
  <c r="AF86" i="72"/>
  <c r="AE86" i="72"/>
  <c r="AD86" i="72"/>
  <c r="AC86" i="72"/>
  <c r="AP85" i="72"/>
  <c r="AO85" i="72"/>
  <c r="AN85" i="72"/>
  <c r="AM85" i="72"/>
  <c r="AL85" i="72"/>
  <c r="AK85" i="72"/>
  <c r="AJ85" i="72"/>
  <c r="AI85" i="72"/>
  <c r="AH85" i="72"/>
  <c r="AG85" i="72"/>
  <c r="AF85" i="72"/>
  <c r="AE85" i="72"/>
  <c r="AD85" i="72"/>
  <c r="AC85" i="72"/>
  <c r="AP84" i="72"/>
  <c r="AO84" i="72"/>
  <c r="AN84" i="72"/>
  <c r="AM84" i="72"/>
  <c r="AL84" i="72"/>
  <c r="AK84" i="72"/>
  <c r="AJ84" i="72"/>
  <c r="AI84" i="72"/>
  <c r="AH84" i="72"/>
  <c r="AG84" i="72"/>
  <c r="AF84" i="72"/>
  <c r="AE84" i="72"/>
  <c r="AD84" i="72"/>
  <c r="AC84" i="72"/>
  <c r="AP83" i="72"/>
  <c r="AO83" i="72"/>
  <c r="AN83" i="72"/>
  <c r="AM83" i="72"/>
  <c r="AL83" i="72"/>
  <c r="AK83" i="72"/>
  <c r="AJ83" i="72"/>
  <c r="AI83" i="72"/>
  <c r="AH83" i="72"/>
  <c r="AG83" i="72"/>
  <c r="AF83" i="72"/>
  <c r="AE83" i="72"/>
  <c r="AD83" i="72"/>
  <c r="AC83" i="72"/>
  <c r="AP82" i="72"/>
  <c r="AO82" i="72"/>
  <c r="AN82" i="72"/>
  <c r="AM82" i="72"/>
  <c r="AL82" i="72"/>
  <c r="AK82" i="72"/>
  <c r="AJ82" i="72"/>
  <c r="AI82" i="72"/>
  <c r="AH82" i="72"/>
  <c r="AG82" i="72"/>
  <c r="AF82" i="72"/>
  <c r="AE82" i="72"/>
  <c r="AD82" i="72"/>
  <c r="AC82" i="72"/>
  <c r="AP81" i="72"/>
  <c r="AO81" i="72"/>
  <c r="AN81" i="72"/>
  <c r="AM81" i="72"/>
  <c r="AL81" i="72"/>
  <c r="AK81" i="72"/>
  <c r="AJ81" i="72"/>
  <c r="AI81" i="72"/>
  <c r="AH81" i="72"/>
  <c r="AG81" i="72"/>
  <c r="AF81" i="72"/>
  <c r="AE81" i="72"/>
  <c r="AD81" i="72"/>
  <c r="AC81" i="72"/>
  <c r="AB81" i="72"/>
  <c r="AA81" i="72"/>
  <c r="Z81" i="72"/>
  <c r="Y81" i="72"/>
  <c r="X81" i="72"/>
  <c r="W81" i="72"/>
  <c r="V81" i="72"/>
  <c r="U81" i="72"/>
  <c r="T81" i="72"/>
  <c r="S81" i="72"/>
  <c r="R81" i="72"/>
  <c r="Q81" i="72"/>
  <c r="P81" i="72"/>
  <c r="O81" i="72"/>
  <c r="N81" i="72"/>
  <c r="M81" i="72"/>
  <c r="L81" i="72"/>
  <c r="K81" i="72"/>
  <c r="J81" i="72"/>
  <c r="AP102" i="73"/>
  <c r="AO102" i="73"/>
  <c r="AN102" i="73"/>
  <c r="AM102" i="73"/>
  <c r="AL102" i="73"/>
  <c r="AK102" i="73"/>
  <c r="AJ102" i="73"/>
  <c r="AI102" i="73"/>
  <c r="AH102" i="73"/>
  <c r="AG102" i="73"/>
  <c r="AF102" i="73"/>
  <c r="AE102" i="73"/>
  <c r="AD102" i="73"/>
  <c r="AC102" i="73"/>
  <c r="AP101" i="73"/>
  <c r="AO101" i="73"/>
  <c r="AN101" i="73"/>
  <c r="AM101" i="73"/>
  <c r="AL101" i="73"/>
  <c r="AK101" i="73"/>
  <c r="AJ101" i="73"/>
  <c r="AI101" i="73"/>
  <c r="AH101" i="73"/>
  <c r="AG101" i="73"/>
  <c r="AF101" i="73"/>
  <c r="AE101" i="73"/>
  <c r="AD101" i="73"/>
  <c r="AC101" i="73"/>
  <c r="AP100" i="73"/>
  <c r="AO100" i="73"/>
  <c r="AN100" i="73"/>
  <c r="AM100" i="73"/>
  <c r="AL100" i="73"/>
  <c r="AK100" i="73"/>
  <c r="AJ100" i="73"/>
  <c r="AI100" i="73"/>
  <c r="AH100" i="73"/>
  <c r="AG100" i="73"/>
  <c r="AF100" i="73"/>
  <c r="AE100" i="73"/>
  <c r="AD100" i="73"/>
  <c r="AC100" i="73"/>
  <c r="AP99" i="73"/>
  <c r="AO99" i="73"/>
  <c r="AN99" i="73"/>
  <c r="AM99" i="73"/>
  <c r="AL99" i="73"/>
  <c r="AK99" i="73"/>
  <c r="AJ99" i="73"/>
  <c r="AI99" i="73"/>
  <c r="AH99" i="73"/>
  <c r="AG99" i="73"/>
  <c r="AF99" i="73"/>
  <c r="AE99" i="73"/>
  <c r="AD99" i="73"/>
  <c r="AC99" i="73"/>
  <c r="AP98" i="73"/>
  <c r="AO98" i="73"/>
  <c r="AN98" i="73"/>
  <c r="AM98" i="73"/>
  <c r="AL98" i="73"/>
  <c r="AK98" i="73"/>
  <c r="AJ98" i="73"/>
  <c r="AI98" i="73"/>
  <c r="AH98" i="73"/>
  <c r="AG98" i="73"/>
  <c r="AF98" i="73"/>
  <c r="AE98" i="73"/>
  <c r="AD98" i="73"/>
  <c r="AC98" i="73"/>
  <c r="AP97" i="73"/>
  <c r="AO97" i="73"/>
  <c r="AN97" i="73"/>
  <c r="AM97" i="73"/>
  <c r="AL97" i="73"/>
  <c r="AK97" i="73"/>
  <c r="AJ97" i="73"/>
  <c r="AI97" i="73"/>
  <c r="AH97" i="73"/>
  <c r="AG97" i="73"/>
  <c r="AF97" i="73"/>
  <c r="AE97" i="73"/>
  <c r="AD97" i="73"/>
  <c r="AC97" i="73"/>
  <c r="AP96" i="73"/>
  <c r="AO96" i="73"/>
  <c r="AN96" i="73"/>
  <c r="AM96" i="73"/>
  <c r="AL96" i="73"/>
  <c r="AK96" i="73"/>
  <c r="AJ96" i="73"/>
  <c r="AI96" i="73"/>
  <c r="AH96" i="73"/>
  <c r="AG96" i="73"/>
  <c r="AF96" i="73"/>
  <c r="AE96" i="73"/>
  <c r="AD96" i="73"/>
  <c r="AC96" i="73"/>
  <c r="AP95" i="73"/>
  <c r="AO95" i="73"/>
  <c r="AN95" i="73"/>
  <c r="AM95" i="73"/>
  <c r="AL95" i="73"/>
  <c r="AK95" i="73"/>
  <c r="AJ95" i="73"/>
  <c r="AI95" i="73"/>
  <c r="AH95" i="73"/>
  <c r="AG95" i="73"/>
  <c r="AF95" i="73"/>
  <c r="AE95" i="73"/>
  <c r="AD95" i="73"/>
  <c r="AC95" i="73"/>
  <c r="AP94" i="73"/>
  <c r="AO94" i="73"/>
  <c r="AN94" i="73"/>
  <c r="AM94" i="73"/>
  <c r="AL94" i="73"/>
  <c r="AK94" i="73"/>
  <c r="AJ94" i="73"/>
  <c r="AI94" i="73"/>
  <c r="AH94" i="73"/>
  <c r="AG94" i="73"/>
  <c r="AF94" i="73"/>
  <c r="AE94" i="73"/>
  <c r="AD94" i="73"/>
  <c r="AC94" i="73"/>
  <c r="AB94" i="73"/>
  <c r="AA94" i="73"/>
  <c r="Z94" i="73"/>
  <c r="Y94" i="73"/>
  <c r="X94" i="73"/>
  <c r="W94" i="73"/>
  <c r="V94" i="73"/>
  <c r="U94" i="73"/>
  <c r="T94" i="73"/>
  <c r="S94" i="73"/>
  <c r="R94" i="73"/>
  <c r="Q94" i="73"/>
  <c r="P94" i="73"/>
  <c r="O94" i="73"/>
  <c r="N94" i="73"/>
  <c r="M94" i="73"/>
  <c r="L94" i="73"/>
  <c r="K94" i="73"/>
  <c r="J94" i="73"/>
  <c r="A2" i="83"/>
  <c r="A1" i="83"/>
  <c r="C204" i="83" s="1"/>
  <c r="G151" i="85" s="1"/>
  <c r="AP31" i="80"/>
  <c r="AO31" i="80"/>
  <c r="AN31" i="80"/>
  <c r="AM31" i="80"/>
  <c r="AL31" i="80"/>
  <c r="AK31" i="80"/>
  <c r="AJ31" i="80"/>
  <c r="AI31" i="80"/>
  <c r="AH31" i="80"/>
  <c r="AG31" i="80"/>
  <c r="AF31" i="80"/>
  <c r="AE31" i="80"/>
  <c r="AD31" i="80"/>
  <c r="AC31" i="80"/>
  <c r="AP30" i="80"/>
  <c r="AO30" i="80"/>
  <c r="AN30" i="80"/>
  <c r="AM30" i="80"/>
  <c r="AL30" i="80"/>
  <c r="AK30" i="80"/>
  <c r="AJ30" i="80"/>
  <c r="AI30" i="80"/>
  <c r="AH30" i="80"/>
  <c r="AG30" i="80"/>
  <c r="AF30" i="80"/>
  <c r="AE30" i="80"/>
  <c r="AD30" i="80"/>
  <c r="AC30" i="80"/>
  <c r="AP29" i="80"/>
  <c r="AO29" i="80"/>
  <c r="AN29" i="80"/>
  <c r="AM29" i="80"/>
  <c r="AL29" i="80"/>
  <c r="AK29" i="80"/>
  <c r="AJ29" i="80"/>
  <c r="AI29" i="80"/>
  <c r="AH29" i="80"/>
  <c r="AG29" i="80"/>
  <c r="AF29" i="80"/>
  <c r="AE29" i="80"/>
  <c r="AD29" i="80"/>
  <c r="AC29" i="80"/>
  <c r="AP28" i="80"/>
  <c r="AO28" i="80"/>
  <c r="AN28" i="80"/>
  <c r="AM28" i="80"/>
  <c r="AL28" i="80"/>
  <c r="AK28" i="80"/>
  <c r="AJ28" i="80"/>
  <c r="AI28" i="80"/>
  <c r="AH28" i="80"/>
  <c r="AG28" i="80"/>
  <c r="AF28" i="80"/>
  <c r="AE28" i="80"/>
  <c r="AD28" i="80"/>
  <c r="AC28" i="80"/>
  <c r="AP27" i="80"/>
  <c r="AO27" i="80"/>
  <c r="AN27" i="80"/>
  <c r="AM27" i="80"/>
  <c r="AL27" i="80"/>
  <c r="AK27" i="80"/>
  <c r="AJ27" i="80"/>
  <c r="AI27" i="80"/>
  <c r="AH27" i="80"/>
  <c r="AG27" i="80"/>
  <c r="AF27" i="80"/>
  <c r="AE27" i="80"/>
  <c r="AD27" i="80"/>
  <c r="AC27" i="80"/>
  <c r="AP26" i="80"/>
  <c r="AO26" i="80"/>
  <c r="AN26" i="80"/>
  <c r="AM26" i="80"/>
  <c r="AL26" i="80"/>
  <c r="AK26" i="80"/>
  <c r="AJ26" i="80"/>
  <c r="AI26" i="80"/>
  <c r="AH26" i="80"/>
  <c r="AG26" i="80"/>
  <c r="AF26" i="80"/>
  <c r="AE26" i="80"/>
  <c r="AD26" i="80"/>
  <c r="AC26" i="80"/>
  <c r="AP25" i="80"/>
  <c r="AO25" i="80"/>
  <c r="AN25" i="80"/>
  <c r="AM25" i="80"/>
  <c r="AL25" i="80"/>
  <c r="AK25" i="80"/>
  <c r="AJ25" i="80"/>
  <c r="AI25" i="80"/>
  <c r="AH25" i="80"/>
  <c r="AG25" i="80"/>
  <c r="AF25" i="80"/>
  <c r="AE25" i="80"/>
  <c r="AD25" i="80"/>
  <c r="AC25" i="80"/>
  <c r="AP24" i="80"/>
  <c r="AO24" i="80"/>
  <c r="AN24" i="80"/>
  <c r="AM24" i="80"/>
  <c r="AL24" i="80"/>
  <c r="AK24" i="80"/>
  <c r="AJ24" i="80"/>
  <c r="AI24" i="80"/>
  <c r="AH24" i="80"/>
  <c r="AG24" i="80"/>
  <c r="AF24" i="80"/>
  <c r="AE24" i="80"/>
  <c r="AD24" i="80"/>
  <c r="AC24" i="80"/>
  <c r="AP23" i="80"/>
  <c r="AO23" i="80"/>
  <c r="AN23" i="80"/>
  <c r="AM23" i="80"/>
  <c r="AL23" i="80"/>
  <c r="AK23" i="80"/>
  <c r="AJ23" i="80"/>
  <c r="AI23" i="80"/>
  <c r="AH23" i="80"/>
  <c r="AG23" i="80"/>
  <c r="AF23" i="80"/>
  <c r="AE23" i="80"/>
  <c r="AD23" i="80"/>
  <c r="AC23" i="80"/>
  <c r="AB23" i="80"/>
  <c r="AA23" i="80"/>
  <c r="Z23" i="80"/>
  <c r="Y23" i="80"/>
  <c r="X23" i="80"/>
  <c r="W23" i="80"/>
  <c r="V23" i="80"/>
  <c r="U23" i="80"/>
  <c r="T23" i="80"/>
  <c r="S23" i="80"/>
  <c r="R23" i="80"/>
  <c r="Q23" i="80"/>
  <c r="P23" i="80"/>
  <c r="O23" i="80"/>
  <c r="N23" i="80"/>
  <c r="M23" i="80"/>
  <c r="L23" i="80"/>
  <c r="K23" i="80"/>
  <c r="J23" i="80"/>
  <c r="AP120" i="71"/>
  <c r="AO120" i="71"/>
  <c r="AN120" i="71"/>
  <c r="AM120" i="71"/>
  <c r="AL120" i="71"/>
  <c r="AK120" i="71"/>
  <c r="AJ120" i="71"/>
  <c r="AI120" i="71"/>
  <c r="AH120" i="71"/>
  <c r="AG120" i="71"/>
  <c r="AF120" i="71"/>
  <c r="AE120" i="71"/>
  <c r="AD120" i="71"/>
  <c r="AC120" i="71"/>
  <c r="AP119" i="71"/>
  <c r="AO119" i="71"/>
  <c r="AN119" i="71"/>
  <c r="AM119" i="71"/>
  <c r="AL119" i="71"/>
  <c r="AK119" i="71"/>
  <c r="AJ119" i="71"/>
  <c r="AI119" i="71"/>
  <c r="AH119" i="71"/>
  <c r="AG119" i="71"/>
  <c r="AF119" i="71"/>
  <c r="AE119" i="71"/>
  <c r="AD119" i="71"/>
  <c r="AC119" i="71"/>
  <c r="AP118" i="71"/>
  <c r="AO118" i="71"/>
  <c r="AN118" i="71"/>
  <c r="AM118" i="71"/>
  <c r="AL118" i="71"/>
  <c r="AK118" i="71"/>
  <c r="AJ118" i="71"/>
  <c r="AI118" i="71"/>
  <c r="AH118" i="71"/>
  <c r="AG118" i="71"/>
  <c r="AF118" i="71"/>
  <c r="AE118" i="71"/>
  <c r="AD118" i="71"/>
  <c r="AC118" i="71"/>
  <c r="AP117" i="71"/>
  <c r="AO117" i="71"/>
  <c r="AN117" i="71"/>
  <c r="AM117" i="71"/>
  <c r="AL117" i="71"/>
  <c r="AK117" i="71"/>
  <c r="AJ117" i="71"/>
  <c r="AI117" i="71"/>
  <c r="AH117" i="71"/>
  <c r="AG117" i="71"/>
  <c r="AF117" i="71"/>
  <c r="AE117" i="71"/>
  <c r="AD117" i="71"/>
  <c r="AC117" i="71"/>
  <c r="AP116" i="71"/>
  <c r="AO116" i="71"/>
  <c r="AN116" i="71"/>
  <c r="AM116" i="71"/>
  <c r="AL116" i="71"/>
  <c r="AK116" i="71"/>
  <c r="AJ116" i="71"/>
  <c r="AI116" i="71"/>
  <c r="AH116" i="71"/>
  <c r="AG116" i="71"/>
  <c r="AF116" i="71"/>
  <c r="AE116" i="71"/>
  <c r="AD116" i="71"/>
  <c r="AC116" i="71"/>
  <c r="AP115" i="71"/>
  <c r="AO115" i="71"/>
  <c r="AN115" i="71"/>
  <c r="AM115" i="71"/>
  <c r="AL115" i="71"/>
  <c r="AK115" i="71"/>
  <c r="AJ115" i="71"/>
  <c r="AI115" i="71"/>
  <c r="AH115" i="71"/>
  <c r="AG115" i="71"/>
  <c r="AF115" i="71"/>
  <c r="AE115" i="71"/>
  <c r="AD115" i="71"/>
  <c r="AC115" i="71"/>
  <c r="AP114" i="71"/>
  <c r="AO114" i="71"/>
  <c r="AN114" i="71"/>
  <c r="AM114" i="71"/>
  <c r="AL114" i="71"/>
  <c r="AK114" i="71"/>
  <c r="AJ114" i="71"/>
  <c r="AI114" i="71"/>
  <c r="AH114" i="71"/>
  <c r="AG114" i="71"/>
  <c r="AF114" i="71"/>
  <c r="AE114" i="71"/>
  <c r="AD114" i="71"/>
  <c r="AC114" i="71"/>
  <c r="AP113" i="71"/>
  <c r="AO113" i="71"/>
  <c r="AN113" i="71"/>
  <c r="AM113" i="71"/>
  <c r="AL113" i="71"/>
  <c r="AK113" i="71"/>
  <c r="AJ113" i="71"/>
  <c r="AI113" i="71"/>
  <c r="AH113" i="71"/>
  <c r="AG113" i="71"/>
  <c r="AF113" i="71"/>
  <c r="AE113" i="71"/>
  <c r="AD113" i="71"/>
  <c r="AC113" i="71"/>
  <c r="AP112" i="71"/>
  <c r="AO112" i="71"/>
  <c r="AN112" i="71"/>
  <c r="AM112" i="71"/>
  <c r="AL112" i="71"/>
  <c r="AK112" i="71"/>
  <c r="AJ112" i="71"/>
  <c r="AI112" i="71"/>
  <c r="AH112" i="71"/>
  <c r="AG112" i="71"/>
  <c r="AF112" i="71"/>
  <c r="AE112" i="71"/>
  <c r="AD112" i="71"/>
  <c r="AC112" i="71"/>
  <c r="AB112" i="71"/>
  <c r="AA112" i="71"/>
  <c r="Z112" i="71"/>
  <c r="Y112" i="71"/>
  <c r="X112" i="71"/>
  <c r="W112" i="71"/>
  <c r="V112" i="71"/>
  <c r="U112" i="71"/>
  <c r="T112" i="71"/>
  <c r="S112" i="71"/>
  <c r="R112" i="71"/>
  <c r="Q112" i="71"/>
  <c r="P112" i="71"/>
  <c r="O112" i="71"/>
  <c r="N112" i="71"/>
  <c r="M112" i="71"/>
  <c r="L112" i="71"/>
  <c r="K112" i="71"/>
  <c r="J112" i="71"/>
  <c r="A2" i="82"/>
  <c r="A1" i="82"/>
  <c r="C52" i="82" s="1"/>
  <c r="G209" i="85" s="1"/>
  <c r="A2" i="81"/>
  <c r="A1" i="81"/>
  <c r="C104" i="81" s="1"/>
  <c r="G144" i="85" s="1"/>
  <c r="A2" i="80"/>
  <c r="A1" i="80"/>
  <c r="C266" i="80" s="1"/>
  <c r="G133" i="85" s="1"/>
  <c r="AM118" i="53"/>
  <c r="AC118" i="53"/>
  <c r="AG118" i="53"/>
  <c r="AK118" i="53"/>
  <c r="A2" i="65"/>
  <c r="A1" i="65"/>
  <c r="C60" i="65" s="1"/>
  <c r="G191" i="85" s="1"/>
  <c r="AP34" i="65"/>
  <c r="AO34" i="65"/>
  <c r="AN34" i="65"/>
  <c r="AM34" i="65"/>
  <c r="AL34" i="65"/>
  <c r="AK34" i="65"/>
  <c r="AJ34" i="65"/>
  <c r="AI34" i="65"/>
  <c r="AH34" i="65"/>
  <c r="AG34" i="65"/>
  <c r="AF34" i="65"/>
  <c r="AE34" i="65"/>
  <c r="AD34" i="65"/>
  <c r="AC34" i="65"/>
  <c r="AA34" i="65"/>
  <c r="Z34" i="65"/>
  <c r="Y34" i="65"/>
  <c r="X34" i="65"/>
  <c r="R34" i="65"/>
  <c r="Q34" i="65"/>
  <c r="P34" i="65"/>
  <c r="O34" i="65"/>
  <c r="N34" i="65"/>
  <c r="M34" i="65"/>
  <c r="L34" i="65"/>
  <c r="K34" i="65"/>
  <c r="AP33" i="65"/>
  <c r="AO33" i="65"/>
  <c r="AN33" i="65"/>
  <c r="AM33" i="65"/>
  <c r="AL33" i="65"/>
  <c r="AK33" i="65"/>
  <c r="AJ33" i="65"/>
  <c r="AI33" i="65"/>
  <c r="AH33" i="65"/>
  <c r="AG33" i="65"/>
  <c r="AF33" i="65"/>
  <c r="AE33" i="65"/>
  <c r="AD33" i="65"/>
  <c r="AC33" i="65"/>
  <c r="AA33" i="65"/>
  <c r="Z33" i="65"/>
  <c r="Y33" i="65"/>
  <c r="X33" i="65"/>
  <c r="O33" i="65"/>
  <c r="M33" i="65"/>
  <c r="L33" i="65"/>
  <c r="AP32" i="65"/>
  <c r="AO32" i="65"/>
  <c r="AN32" i="65"/>
  <c r="AM32" i="65"/>
  <c r="AL32" i="65"/>
  <c r="AK32" i="65"/>
  <c r="AJ32" i="65"/>
  <c r="AI32" i="65"/>
  <c r="AH32" i="65"/>
  <c r="AG32" i="65"/>
  <c r="AF32" i="65"/>
  <c r="AE32" i="65"/>
  <c r="AD32" i="65"/>
  <c r="AC32" i="65"/>
  <c r="J34" i="65"/>
  <c r="J33" i="65"/>
  <c r="A2" i="76"/>
  <c r="A1" i="76"/>
  <c r="C33" i="76" s="1"/>
  <c r="G153" i="85" s="1"/>
  <c r="Z49" i="70"/>
  <c r="Z117" i="71" s="1"/>
  <c r="J49" i="70"/>
  <c r="J28" i="80" s="1"/>
  <c r="V49" i="70"/>
  <c r="R49" i="70"/>
  <c r="R117" i="71" s="1"/>
  <c r="N49" i="70"/>
  <c r="N117" i="71" s="1"/>
  <c r="U49" i="70"/>
  <c r="U117" i="71" s="1"/>
  <c r="Q49" i="70"/>
  <c r="Q86" i="72" s="1"/>
  <c r="X49" i="70"/>
  <c r="X28" i="80" s="1"/>
  <c r="M49" i="70"/>
  <c r="M99" i="73" s="1"/>
  <c r="AB49" i="70"/>
  <c r="AB86" i="72" s="1"/>
  <c r="T49" i="70"/>
  <c r="T99" i="73" s="1"/>
  <c r="P49" i="70"/>
  <c r="L49" i="70"/>
  <c r="AA49" i="70"/>
  <c r="AA99" i="73" s="1"/>
  <c r="W49" i="70"/>
  <c r="S49" i="70"/>
  <c r="S86" i="72" s="1"/>
  <c r="O49" i="70"/>
  <c r="K49" i="70"/>
  <c r="K28" i="80" s="1"/>
  <c r="A2" i="74"/>
  <c r="A1" i="74"/>
  <c r="C97" i="74" s="1"/>
  <c r="G180" i="85" s="1"/>
  <c r="A2" i="73"/>
  <c r="A1" i="73"/>
  <c r="C219" i="73" s="1"/>
  <c r="G172" i="85" s="1"/>
  <c r="A2" i="72"/>
  <c r="A1" i="72"/>
  <c r="C220" i="72" s="1"/>
  <c r="G167" i="85" s="1"/>
  <c r="A2" i="71"/>
  <c r="A1" i="71"/>
  <c r="C214" i="71" s="1"/>
  <c r="G162" i="85" s="1"/>
  <c r="A2" i="70"/>
  <c r="A1" i="70"/>
  <c r="C19" i="70" s="1"/>
  <c r="G96" i="85" s="1"/>
  <c r="AB52" i="70"/>
  <c r="AB120" i="71" s="1"/>
  <c r="AA52" i="70"/>
  <c r="AA31" i="80" s="1"/>
  <c r="Z52" i="70"/>
  <c r="Y52" i="70"/>
  <c r="Y120" i="71" s="1"/>
  <c r="X52" i="70"/>
  <c r="X31" i="80" s="1"/>
  <c r="W52" i="70"/>
  <c r="W102" i="73" s="1"/>
  <c r="V52" i="70"/>
  <c r="T52" i="70"/>
  <c r="T120" i="71" s="1"/>
  <c r="S52" i="70"/>
  <c r="S102" i="73" s="1"/>
  <c r="R52" i="70"/>
  <c r="R120" i="71" s="1"/>
  <c r="Q52" i="70"/>
  <c r="P52" i="70"/>
  <c r="P31" i="80" s="1"/>
  <c r="O52" i="70"/>
  <c r="O120" i="71" s="1"/>
  <c r="N52" i="70"/>
  <c r="L52" i="70"/>
  <c r="L120" i="71" s="1"/>
  <c r="K52" i="70"/>
  <c r="J52" i="70"/>
  <c r="J120" i="71" s="1"/>
  <c r="AB51" i="70"/>
  <c r="AB119" i="71" s="1"/>
  <c r="AA51" i="70"/>
  <c r="AA119" i="71" s="1"/>
  <c r="Z51" i="70"/>
  <c r="Z30" i="80" s="1"/>
  <c r="Y51" i="70"/>
  <c r="W51" i="70"/>
  <c r="V51" i="70"/>
  <c r="U51" i="70"/>
  <c r="T51" i="70"/>
  <c r="T119" i="71" s="1"/>
  <c r="S51" i="70"/>
  <c r="S119" i="71" s="1"/>
  <c r="R51" i="70"/>
  <c r="R30" i="80" s="1"/>
  <c r="Q51" i="70"/>
  <c r="O51" i="70"/>
  <c r="O30" i="80" s="1"/>
  <c r="N51" i="70"/>
  <c r="N88" i="72" s="1"/>
  <c r="M51" i="70"/>
  <c r="L51" i="70"/>
  <c r="K51" i="70"/>
  <c r="K88" i="72" s="1"/>
  <c r="J51" i="70"/>
  <c r="J30" i="80" s="1"/>
  <c r="AB50" i="70"/>
  <c r="AB29" i="80" s="1"/>
  <c r="Z50" i="70"/>
  <c r="Z29" i="80" s="1"/>
  <c r="Y50" i="70"/>
  <c r="X50" i="70"/>
  <c r="X118" i="71" s="1"/>
  <c r="W50" i="70"/>
  <c r="V50" i="70"/>
  <c r="U50" i="70"/>
  <c r="U118" i="71" s="1"/>
  <c r="T50" i="70"/>
  <c r="R50" i="70"/>
  <c r="Q50" i="70"/>
  <c r="Q29" i="80" s="1"/>
  <c r="P50" i="70"/>
  <c r="O50" i="70"/>
  <c r="O118" i="71" s="1"/>
  <c r="N50" i="70"/>
  <c r="M50" i="70"/>
  <c r="M100" i="73" s="1"/>
  <c r="L50" i="70"/>
  <c r="J50" i="70"/>
  <c r="AB48" i="70"/>
  <c r="AB116" i="71" s="1"/>
  <c r="AA48" i="70"/>
  <c r="AA116" i="71" s="1"/>
  <c r="Z48" i="70"/>
  <c r="X48" i="70"/>
  <c r="X27" i="80" s="1"/>
  <c r="W48" i="70"/>
  <c r="V48" i="70"/>
  <c r="U48" i="70"/>
  <c r="U98" i="73" s="1"/>
  <c r="T48" i="70"/>
  <c r="T85" i="72" s="1"/>
  <c r="S48" i="70"/>
  <c r="R48" i="70"/>
  <c r="R85" i="72" s="1"/>
  <c r="P48" i="70"/>
  <c r="P27" i="80" s="1"/>
  <c r="O48" i="70"/>
  <c r="N48" i="70"/>
  <c r="M48" i="70"/>
  <c r="M85" i="72" s="1"/>
  <c r="L48" i="70"/>
  <c r="L98" i="73" s="1"/>
  <c r="K48" i="70"/>
  <c r="K116" i="71" s="1"/>
  <c r="J48" i="70"/>
  <c r="AA47" i="70"/>
  <c r="AA115" i="71" s="1"/>
  <c r="Z47" i="70"/>
  <c r="Y47" i="70"/>
  <c r="X47" i="70"/>
  <c r="X84" i="72" s="1"/>
  <c r="W47" i="70"/>
  <c r="V47" i="70"/>
  <c r="V26" i="80" s="1"/>
  <c r="U47" i="70"/>
  <c r="U26" i="80" s="1"/>
  <c r="S47" i="70"/>
  <c r="S97" i="73" s="1"/>
  <c r="R47" i="70"/>
  <c r="Q47" i="70"/>
  <c r="P47" i="70"/>
  <c r="P26" i="80" s="1"/>
  <c r="O47" i="70"/>
  <c r="N47" i="70"/>
  <c r="M47" i="70"/>
  <c r="M26" i="80" s="1"/>
  <c r="K47" i="70"/>
  <c r="K115" i="71" s="1"/>
  <c r="J47" i="70"/>
  <c r="J26" i="80" s="1"/>
  <c r="AB46" i="70"/>
  <c r="AA46" i="70"/>
  <c r="AA114" i="71" s="1"/>
  <c r="Z46" i="70"/>
  <c r="Z96" i="73" s="1"/>
  <c r="Y46" i="70"/>
  <c r="X46" i="70"/>
  <c r="V46" i="70"/>
  <c r="V25" i="80" s="1"/>
  <c r="U46" i="70"/>
  <c r="T46" i="70"/>
  <c r="S46" i="70"/>
  <c r="S83" i="72" s="1"/>
  <c r="R46" i="70"/>
  <c r="R114" i="71" s="1"/>
  <c r="Q46" i="70"/>
  <c r="Q96" i="73" s="1"/>
  <c r="P46" i="70"/>
  <c r="P114" i="71" s="1"/>
  <c r="N46" i="70"/>
  <c r="N25" i="80" s="1"/>
  <c r="M46" i="70"/>
  <c r="L46" i="70"/>
  <c r="K46" i="70"/>
  <c r="K114" i="71" s="1"/>
  <c r="J46" i="70"/>
  <c r="O96" i="73"/>
  <c r="S114" i="71"/>
  <c r="W96" i="73"/>
  <c r="AA25" i="80"/>
  <c r="L115" i="71"/>
  <c r="T84" i="72"/>
  <c r="X97" i="73"/>
  <c r="X26" i="80"/>
  <c r="X115" i="71"/>
  <c r="AB97" i="73"/>
  <c r="U27" i="80"/>
  <c r="U116" i="71"/>
  <c r="J29" i="80"/>
  <c r="N87" i="72"/>
  <c r="N100" i="73"/>
  <c r="N29" i="80"/>
  <c r="N118" i="71"/>
  <c r="R29" i="80"/>
  <c r="V87" i="72"/>
  <c r="V100" i="73"/>
  <c r="V29" i="80"/>
  <c r="V118" i="71"/>
  <c r="K101" i="73"/>
  <c r="K119" i="71"/>
  <c r="K30" i="80"/>
  <c r="O119" i="71"/>
  <c r="S101" i="73"/>
  <c r="S88" i="72"/>
  <c r="S30" i="80"/>
  <c r="W119" i="71"/>
  <c r="W30" i="80"/>
  <c r="AA88" i="72"/>
  <c r="AA101" i="73"/>
  <c r="AA30" i="80"/>
  <c r="L31" i="80"/>
  <c r="P89" i="72"/>
  <c r="P102" i="73"/>
  <c r="P120" i="71"/>
  <c r="X89" i="72"/>
  <c r="X102" i="73"/>
  <c r="X120" i="71"/>
  <c r="N83" i="72"/>
  <c r="N96" i="73"/>
  <c r="N114" i="71"/>
  <c r="V83" i="72"/>
  <c r="V96" i="73"/>
  <c r="K84" i="72"/>
  <c r="K97" i="73"/>
  <c r="K26" i="80"/>
  <c r="S84" i="72"/>
  <c r="S115" i="71"/>
  <c r="AA84" i="72"/>
  <c r="AA97" i="73"/>
  <c r="AA26" i="80"/>
  <c r="P85" i="72"/>
  <c r="P116" i="71"/>
  <c r="X85" i="72"/>
  <c r="X98" i="73"/>
  <c r="X116" i="71"/>
  <c r="AB85" i="72"/>
  <c r="M87" i="72"/>
  <c r="M118" i="71"/>
  <c r="M29" i="80"/>
  <c r="Q87" i="72"/>
  <c r="Q100" i="73"/>
  <c r="Q118" i="71"/>
  <c r="U100" i="73"/>
  <c r="U29" i="80"/>
  <c r="Y118" i="71"/>
  <c r="J88" i="72"/>
  <c r="J101" i="73"/>
  <c r="J119" i="71"/>
  <c r="N30" i="80"/>
  <c r="R88" i="72"/>
  <c r="R101" i="73"/>
  <c r="R119" i="71"/>
  <c r="V119" i="71"/>
  <c r="Z88" i="72"/>
  <c r="Z119" i="71"/>
  <c r="O89" i="72"/>
  <c r="O102" i="73"/>
  <c r="O31" i="80"/>
  <c r="S89" i="72"/>
  <c r="S31" i="80"/>
  <c r="W89" i="72"/>
  <c r="W120" i="71"/>
  <c r="W31" i="80"/>
  <c r="AA89" i="72"/>
  <c r="AA102" i="73"/>
  <c r="P96" i="73"/>
  <c r="M97" i="73"/>
  <c r="Q115" i="71"/>
  <c r="U84" i="72"/>
  <c r="U97" i="73"/>
  <c r="R116" i="71"/>
  <c r="R27" i="80"/>
  <c r="Z27" i="80"/>
  <c r="K100" i="73"/>
  <c r="O100" i="73"/>
  <c r="S100" i="73"/>
  <c r="AA87" i="72"/>
  <c r="P101" i="73"/>
  <c r="P119" i="71"/>
  <c r="T88" i="72"/>
  <c r="T101" i="73"/>
  <c r="X101" i="73"/>
  <c r="M89" i="72"/>
  <c r="Q102" i="73"/>
  <c r="Q120" i="71"/>
  <c r="U102" i="73"/>
  <c r="Y89" i="72"/>
  <c r="M83" i="72"/>
  <c r="M96" i="73"/>
  <c r="M25" i="80"/>
  <c r="M114" i="71"/>
  <c r="Q114" i="71"/>
  <c r="U83" i="72"/>
  <c r="U96" i="73"/>
  <c r="U114" i="71"/>
  <c r="U25" i="80"/>
  <c r="J97" i="73"/>
  <c r="J84" i="72"/>
  <c r="J115" i="71"/>
  <c r="R97" i="73"/>
  <c r="R84" i="72"/>
  <c r="R26" i="80"/>
  <c r="R115" i="71"/>
  <c r="V84" i="72"/>
  <c r="V97" i="73"/>
  <c r="V115" i="71"/>
  <c r="Z97" i="73"/>
  <c r="Z84" i="72"/>
  <c r="Z26" i="80"/>
  <c r="Z115" i="71"/>
  <c r="K85" i="72"/>
  <c r="K98" i="73"/>
  <c r="K27" i="80"/>
  <c r="O85" i="72"/>
  <c r="O98" i="73"/>
  <c r="O27" i="80"/>
  <c r="O116" i="71"/>
  <c r="S85" i="72"/>
  <c r="S27" i="80"/>
  <c r="W85" i="72"/>
  <c r="W98" i="73"/>
  <c r="W27" i="80"/>
  <c r="W116" i="71"/>
  <c r="AA85" i="72"/>
  <c r="AA98" i="73"/>
  <c r="AA27" i="80"/>
  <c r="P87" i="72"/>
  <c r="P29" i="80"/>
  <c r="X100" i="73"/>
  <c r="J89" i="72"/>
  <c r="J102" i="73"/>
  <c r="J31" i="80"/>
  <c r="N31" i="80"/>
  <c r="R89" i="72"/>
  <c r="R102" i="73"/>
  <c r="R31" i="80"/>
  <c r="Z89" i="72"/>
  <c r="Z31" i="80"/>
  <c r="N86" i="72"/>
  <c r="N99" i="73"/>
  <c r="N28" i="80"/>
  <c r="P99" i="73"/>
  <c r="P86" i="72"/>
  <c r="P28" i="80"/>
  <c r="P117" i="71"/>
  <c r="J99" i="73"/>
  <c r="J117" i="71"/>
  <c r="K117" i="71"/>
  <c r="M86" i="72"/>
  <c r="M117" i="71"/>
  <c r="M28" i="80"/>
  <c r="X99" i="73"/>
  <c r="X117" i="71"/>
  <c r="W86" i="72"/>
  <c r="T86" i="72"/>
  <c r="T28" i="80"/>
  <c r="T117" i="71"/>
  <c r="AB99" i="73"/>
  <c r="AB28" i="80"/>
  <c r="AB117" i="71"/>
  <c r="O86" i="72"/>
  <c r="O99" i="73"/>
  <c r="O28" i="80"/>
  <c r="O117" i="71"/>
  <c r="S99" i="73"/>
  <c r="S28" i="80"/>
  <c r="S117" i="71"/>
  <c r="R86" i="72"/>
  <c r="R99" i="73"/>
  <c r="R28" i="80"/>
  <c r="U99" i="73"/>
  <c r="U86" i="72"/>
  <c r="U28" i="80"/>
  <c r="Z86" i="72"/>
  <c r="Z99" i="73"/>
  <c r="Z28" i="80"/>
  <c r="L99" i="73"/>
  <c r="L28" i="80"/>
  <c r="L86" i="72"/>
  <c r="L117" i="71"/>
  <c r="B14" i="27"/>
  <c r="B10" i="27"/>
  <c r="B6" i="27"/>
  <c r="B8" i="27"/>
  <c r="A2" i="41"/>
  <c r="A2" i="53"/>
  <c r="A2" i="22"/>
  <c r="A2" i="23"/>
  <c r="A2" i="31"/>
  <c r="A2" i="28"/>
  <c r="A2" i="55"/>
  <c r="D10" i="27"/>
  <c r="D8" i="27"/>
  <c r="D6" i="27"/>
  <c r="A1" i="28"/>
  <c r="K110" i="41"/>
  <c r="L110" i="41" s="1"/>
  <c r="M110" i="41" s="1"/>
  <c r="N110" i="41" s="1"/>
  <c r="O110" i="41" s="1"/>
  <c r="P110" i="41" s="1"/>
  <c r="Q110" i="41" s="1"/>
  <c r="R110" i="41" s="1"/>
  <c r="S110" i="41" s="1"/>
  <c r="T110" i="41" s="1"/>
  <c r="U110" i="41" s="1"/>
  <c r="V110" i="41" s="1"/>
  <c r="W110" i="41" s="1"/>
  <c r="X110" i="41" s="1"/>
  <c r="Y110" i="41" s="1"/>
  <c r="Z110" i="41" s="1"/>
  <c r="AA110" i="41" s="1"/>
  <c r="AB110" i="41" s="1"/>
  <c r="AC110" i="41" s="1"/>
  <c r="AD110" i="41" s="1"/>
  <c r="AE110" i="41" s="1"/>
  <c r="AF110" i="41" s="1"/>
  <c r="AG110" i="41" s="1"/>
  <c r="AH110" i="41" s="1"/>
  <c r="AI110" i="41" s="1"/>
  <c r="AJ110" i="41" s="1"/>
  <c r="AK110" i="41" s="1"/>
  <c r="AL110" i="41" s="1"/>
  <c r="AM110" i="41" s="1"/>
  <c r="AN110" i="41" s="1"/>
  <c r="AO110" i="41" s="1"/>
  <c r="AP110" i="41" s="1"/>
  <c r="AQ110" i="41" s="1"/>
  <c r="AR110" i="41" s="1"/>
  <c r="AS110" i="41" s="1"/>
  <c r="AT110" i="41" s="1"/>
  <c r="AU110" i="41" s="1"/>
  <c r="AV110" i="41" s="1"/>
  <c r="AW110" i="41" s="1"/>
  <c r="AX110" i="41" s="1"/>
  <c r="AY110" i="41" s="1"/>
  <c r="AZ110" i="41" s="1"/>
  <c r="BA110" i="41" s="1"/>
  <c r="BB110" i="41" s="1"/>
  <c r="BC110" i="41" s="1"/>
  <c r="BD110" i="41" s="1"/>
  <c r="BE110" i="41" s="1"/>
  <c r="BF110" i="41" s="1"/>
  <c r="BG110" i="41" s="1"/>
  <c r="BH110" i="41" s="1"/>
  <c r="BI110" i="41" s="1"/>
  <c r="BJ110" i="41" s="1"/>
  <c r="BK110" i="41" s="1"/>
  <c r="BL110" i="41" s="1"/>
  <c r="BM110" i="41" s="1"/>
  <c r="BN110" i="41" s="1"/>
  <c r="BO110" i="41" s="1"/>
  <c r="BP110" i="41" s="1"/>
  <c r="BQ110" i="41" s="1"/>
  <c r="BR110" i="41" s="1"/>
  <c r="BS110" i="41" s="1"/>
  <c r="BT110" i="41" s="1"/>
  <c r="BU110" i="41" s="1"/>
  <c r="BV110" i="41" s="1"/>
  <c r="BW110" i="41" s="1"/>
  <c r="BX110" i="41" s="1"/>
  <c r="BY110" i="41" s="1"/>
  <c r="BZ110" i="41" s="1"/>
  <c r="CA110" i="41" s="1"/>
  <c r="CB110" i="41" s="1"/>
  <c r="CC110" i="41" s="1"/>
  <c r="CD110" i="41" s="1"/>
  <c r="CE110" i="41" s="1"/>
  <c r="CF110" i="41" s="1"/>
  <c r="CG110" i="41" s="1"/>
  <c r="CH110" i="41" s="1"/>
  <c r="CI110" i="41" s="1"/>
  <c r="CJ110" i="41" s="1"/>
  <c r="CK110" i="41" s="1"/>
  <c r="CL110" i="41" s="1"/>
  <c r="CM110" i="41" s="1"/>
  <c r="CN110" i="41" s="1"/>
  <c r="CO110" i="41" s="1"/>
  <c r="CP110" i="41" s="1"/>
  <c r="CQ110" i="41" s="1"/>
  <c r="CR110" i="41" s="1"/>
  <c r="CS110" i="41" s="1"/>
  <c r="CT110" i="41" s="1"/>
  <c r="CU110" i="41" s="1"/>
  <c r="CV110" i="41" s="1"/>
  <c r="CW110" i="41" s="1"/>
  <c r="CX110" i="41" s="1"/>
  <c r="CY110" i="41" s="1"/>
  <c r="CZ110" i="41" s="1"/>
  <c r="DA110" i="41" s="1"/>
  <c r="DB110" i="41" s="1"/>
  <c r="DC110" i="41" s="1"/>
  <c r="DD110" i="41" s="1"/>
  <c r="A1" i="53"/>
  <c r="C365" i="53" s="1"/>
  <c r="G119" i="85" s="1"/>
  <c r="A1" i="41"/>
  <c r="C39" i="41" s="1"/>
  <c r="G184" i="85" s="1"/>
  <c r="DD97" i="41"/>
  <c r="DC97" i="41"/>
  <c r="DB97" i="41"/>
  <c r="DA97" i="41"/>
  <c r="CZ97" i="41"/>
  <c r="CY97" i="41"/>
  <c r="CX97" i="41"/>
  <c r="CW97" i="41"/>
  <c r="CV97" i="41"/>
  <c r="CU97" i="41"/>
  <c r="CT97" i="41"/>
  <c r="CS97" i="41"/>
  <c r="CR97" i="41"/>
  <c r="CQ97" i="41"/>
  <c r="BW97" i="41"/>
  <c r="BV97" i="41"/>
  <c r="BU97" i="41"/>
  <c r="BT97" i="41"/>
  <c r="BS97" i="41"/>
  <c r="BR97" i="41"/>
  <c r="BQ97" i="41"/>
  <c r="BP97" i="41"/>
  <c r="BO97" i="41"/>
  <c r="BN97" i="41"/>
  <c r="BM97" i="41"/>
  <c r="BL97" i="41"/>
  <c r="BK97" i="41"/>
  <c r="BJ97" i="41"/>
  <c r="AP97" i="41"/>
  <c r="AO97" i="41"/>
  <c r="AN97" i="41"/>
  <c r="AM97" i="41"/>
  <c r="AL97" i="41"/>
  <c r="AK97" i="41"/>
  <c r="AJ97" i="41"/>
  <c r="AI97" i="41"/>
  <c r="AH97" i="41"/>
  <c r="AG97" i="41"/>
  <c r="AF97" i="41"/>
  <c r="AE97" i="41"/>
  <c r="AD97" i="41"/>
  <c r="AC97" i="41"/>
  <c r="A1" i="31"/>
  <c r="C189" i="31" s="1"/>
  <c r="G101" i="85" s="1"/>
  <c r="A1" i="23"/>
  <c r="C16" i="23" s="1"/>
  <c r="G102" i="85" s="1"/>
  <c r="A1" i="22"/>
  <c r="C55" i="22" s="1"/>
  <c r="G105" i="85" s="1"/>
  <c r="AD100" i="22"/>
  <c r="AD55" i="65" s="1"/>
  <c r="AD99" i="22"/>
  <c r="AD46" i="65" s="1"/>
  <c r="AL100" i="22"/>
  <c r="AL55" i="65" s="1"/>
  <c r="AL99" i="22"/>
  <c r="AL46" i="65" s="1"/>
  <c r="AP100" i="22"/>
  <c r="AP55" i="65" s="1"/>
  <c r="AP99" i="22"/>
  <c r="AP46" i="65" s="1"/>
  <c r="AC110" i="22"/>
  <c r="AC47" i="65" s="1"/>
  <c r="AC111" i="22"/>
  <c r="AC56" i="65" s="1"/>
  <c r="AG110" i="22"/>
  <c r="AG47" i="65" s="1"/>
  <c r="AG111" i="22"/>
  <c r="AG56" i="65" s="1"/>
  <c r="AK110" i="22"/>
  <c r="AK47" i="65" s="1"/>
  <c r="AK111" i="22"/>
  <c r="AK56" i="65" s="1"/>
  <c r="AO110" i="22"/>
  <c r="AO47" i="65" s="1"/>
  <c r="AO111" i="22"/>
  <c r="AO56" i="65" s="1"/>
  <c r="AF121" i="22"/>
  <c r="AF48" i="65" s="1"/>
  <c r="AF122" i="22"/>
  <c r="AF57" i="65" s="1"/>
  <c r="AJ121" i="22"/>
  <c r="AJ48" i="65" s="1"/>
  <c r="AJ122" i="22"/>
  <c r="AJ57" i="65" s="1"/>
  <c r="AN121" i="22"/>
  <c r="AN48" i="65" s="1"/>
  <c r="AN122" i="22"/>
  <c r="AN57" i="65" s="1"/>
  <c r="AE100" i="22"/>
  <c r="AE55" i="65" s="1"/>
  <c r="AE99" i="22"/>
  <c r="AE46" i="65" s="1"/>
  <c r="AI100" i="22"/>
  <c r="AI55" i="65" s="1"/>
  <c r="AI99" i="22"/>
  <c r="AI46" i="65" s="1"/>
  <c r="AM100" i="22"/>
  <c r="AM55" i="65" s="1"/>
  <c r="AM99" i="22"/>
  <c r="AM46" i="65" s="1"/>
  <c r="AD111" i="22"/>
  <c r="AD56" i="65" s="1"/>
  <c r="AD110" i="22"/>
  <c r="AD47" i="65" s="1"/>
  <c r="AH111" i="22"/>
  <c r="AH56" i="65" s="1"/>
  <c r="AH110" i="22"/>
  <c r="AH47" i="65" s="1"/>
  <c r="AL111" i="22"/>
  <c r="AL56" i="65" s="1"/>
  <c r="AL110" i="22"/>
  <c r="AL47" i="65" s="1"/>
  <c r="AP111" i="22"/>
  <c r="AP56" i="65" s="1"/>
  <c r="AP110" i="22"/>
  <c r="AP47" i="65" s="1"/>
  <c r="AC121" i="22"/>
  <c r="AC48" i="65" s="1"/>
  <c r="AC122" i="22"/>
  <c r="AC57" i="65" s="1"/>
  <c r="AG121" i="22"/>
  <c r="AG48" i="65" s="1"/>
  <c r="AG122" i="22"/>
  <c r="AG57" i="65" s="1"/>
  <c r="AK121" i="22"/>
  <c r="AK48" i="65" s="1"/>
  <c r="AK122" i="22"/>
  <c r="AK57" i="65" s="1"/>
  <c r="AO121" i="22"/>
  <c r="AO48" i="65" s="1"/>
  <c r="AO122" i="22"/>
  <c r="AO57" i="65" s="1"/>
  <c r="AJ99" i="22"/>
  <c r="AJ46" i="65" s="1"/>
  <c r="AJ100" i="22"/>
  <c r="AJ55" i="65" s="1"/>
  <c r="AD121" i="22"/>
  <c r="AD48" i="65" s="1"/>
  <c r="AD122" i="22"/>
  <c r="AD57" i="65" s="1"/>
  <c r="AF99" i="22"/>
  <c r="AF46" i="65" s="1"/>
  <c r="AF100" i="22"/>
  <c r="AF55" i="65" s="1"/>
  <c r="AN99" i="22"/>
  <c r="AN46" i="65" s="1"/>
  <c r="AN100" i="22"/>
  <c r="AN55" i="65" s="1"/>
  <c r="AE111" i="22"/>
  <c r="AE56" i="65" s="1"/>
  <c r="AE110" i="22"/>
  <c r="AE47" i="65" s="1"/>
  <c r="AI110" i="22"/>
  <c r="AI47" i="65" s="1"/>
  <c r="AI111" i="22"/>
  <c r="AI56" i="65" s="1"/>
  <c r="AM111" i="22"/>
  <c r="AM56" i="65"/>
  <c r="AM110" i="22"/>
  <c r="AM47" i="65" s="1"/>
  <c r="AH121" i="22"/>
  <c r="AH48" i="65" s="1"/>
  <c r="AH122" i="22"/>
  <c r="AH57" i="65" s="1"/>
  <c r="AL122" i="22"/>
  <c r="AL57" i="65" s="1"/>
  <c r="AL121" i="22"/>
  <c r="AL48" i="65" s="1"/>
  <c r="AP121" i="22"/>
  <c r="AP48" i="65" s="1"/>
  <c r="AP122" i="22"/>
  <c r="AP57" i="65" s="1"/>
  <c r="AC99" i="22"/>
  <c r="AC46" i="65" s="1"/>
  <c r="AC100" i="22"/>
  <c r="AC55" i="65" s="1"/>
  <c r="AG99" i="22"/>
  <c r="AG46" i="65" s="1"/>
  <c r="AG100" i="22"/>
  <c r="AG55" i="65" s="1"/>
  <c r="AK99" i="22"/>
  <c r="AK46" i="65" s="1"/>
  <c r="AK100" i="22"/>
  <c r="AK55" i="65" s="1"/>
  <c r="AO99" i="22"/>
  <c r="AO46" i="65" s="1"/>
  <c r="AO100" i="22"/>
  <c r="AO55" i="65" s="1"/>
  <c r="AF110" i="22"/>
  <c r="AF47" i="65" s="1"/>
  <c r="AF111" i="22"/>
  <c r="AF56" i="65" s="1"/>
  <c r="AJ110" i="22"/>
  <c r="AJ47" i="65" s="1"/>
  <c r="AJ111" i="22"/>
  <c r="AJ56" i="65" s="1"/>
  <c r="AN110" i="22"/>
  <c r="AN47" i="65" s="1"/>
  <c r="AN111" i="22"/>
  <c r="AN56" i="65" s="1"/>
  <c r="AE122" i="22"/>
  <c r="AE57" i="65" s="1"/>
  <c r="AE121" i="22"/>
  <c r="AE48" i="65" s="1"/>
  <c r="AI122" i="22"/>
  <c r="AI57" i="65" s="1"/>
  <c r="AI121" i="22"/>
  <c r="AI48" i="65" s="1"/>
  <c r="AM122" i="22"/>
  <c r="AM57" i="65" s="1"/>
  <c r="AM121" i="22"/>
  <c r="AM48" i="65" s="1"/>
  <c r="AH99" i="22"/>
  <c r="AH46" i="65" s="1"/>
  <c r="AH100" i="22"/>
  <c r="AH55" i="65" s="1"/>
  <c r="AC74" i="22"/>
  <c r="AC53" i="65" s="1"/>
  <c r="AG74" i="22"/>
  <c r="AG53" i="65" s="1"/>
  <c r="AK74" i="22"/>
  <c r="AK53" i="65"/>
  <c r="AO74" i="22"/>
  <c r="AO53" i="65" s="1"/>
  <c r="AD74" i="22"/>
  <c r="AD53" i="65" s="1"/>
  <c r="AH74" i="22"/>
  <c r="AH53" i="65" s="1"/>
  <c r="AL74" i="22"/>
  <c r="AL53" i="65" s="1"/>
  <c r="AP74" i="22"/>
  <c r="AP53" i="65" s="1"/>
  <c r="AF74" i="22"/>
  <c r="AF53" i="65" s="1"/>
  <c r="AJ74" i="22"/>
  <c r="AJ53" i="65" s="1"/>
  <c r="AN74" i="22"/>
  <c r="AN53" i="65" s="1"/>
  <c r="AE85" i="22"/>
  <c r="AE54" i="65" s="1"/>
  <c r="AI85" i="22"/>
  <c r="AI54" i="65" s="1"/>
  <c r="AM85" i="22"/>
  <c r="AM54" i="65" s="1"/>
  <c r="AJ84" i="22"/>
  <c r="AJ45" i="65" s="1"/>
  <c r="AF73" i="22"/>
  <c r="AF44" i="65" s="1"/>
  <c r="AC84" i="22"/>
  <c r="AC45" i="65" s="1"/>
  <c r="AG84" i="22"/>
  <c r="AG45" i="65" s="1"/>
  <c r="AK84" i="22"/>
  <c r="AK45" i="65" s="1"/>
  <c r="AO84" i="22"/>
  <c r="AF85" i="22"/>
  <c r="AF54" i="65" s="1"/>
  <c r="AJ85" i="22"/>
  <c r="AJ54" i="65" s="1"/>
  <c r="AN85" i="22"/>
  <c r="AN54" i="65" s="1"/>
  <c r="AF84" i="22"/>
  <c r="AF45" i="65" s="1"/>
  <c r="AJ73" i="22"/>
  <c r="AJ44" i="65" s="1"/>
  <c r="AD84" i="22"/>
  <c r="AD45" i="65" s="1"/>
  <c r="AH84" i="22"/>
  <c r="AH45" i="65" s="1"/>
  <c r="AL84" i="22"/>
  <c r="AL45" i="65" s="1"/>
  <c r="AP84" i="22"/>
  <c r="AP45" i="65" s="1"/>
  <c r="AC85" i="22"/>
  <c r="AC54" i="65" s="1"/>
  <c r="AG85" i="22"/>
  <c r="AG54" i="65" s="1"/>
  <c r="AK85" i="22"/>
  <c r="AK54" i="65"/>
  <c r="AO85" i="22"/>
  <c r="AO54" i="65" s="1"/>
  <c r="AN84" i="22"/>
  <c r="AN45" i="65" s="1"/>
  <c r="AE73" i="22"/>
  <c r="AE44" i="65" s="1"/>
  <c r="AI73" i="22"/>
  <c r="AI44" i="65" s="1"/>
  <c r="AM73" i="22"/>
  <c r="AM44" i="65" s="1"/>
  <c r="AN73" i="22"/>
  <c r="AN44" i="65" s="1"/>
  <c r="AE84" i="22"/>
  <c r="AE45" i="65" s="1"/>
  <c r="AI84" i="22"/>
  <c r="AI45" i="65" s="1"/>
  <c r="AM84" i="22"/>
  <c r="AM45" i="65" s="1"/>
  <c r="AD85" i="22"/>
  <c r="AD54" i="65" s="1"/>
  <c r="AH85" i="22"/>
  <c r="AH54" i="65" s="1"/>
  <c r="AL85" i="22"/>
  <c r="AL54" i="65" s="1"/>
  <c r="AP85" i="22"/>
  <c r="AP54" i="65" s="1"/>
  <c r="AE62" i="22"/>
  <c r="AE43" i="65" s="1"/>
  <c r="AI62" i="22"/>
  <c r="AI43" i="65"/>
  <c r="AE63" i="22"/>
  <c r="AE52" i="65" s="1"/>
  <c r="AM63" i="22"/>
  <c r="AM52" i="65" s="1"/>
  <c r="AE74" i="22"/>
  <c r="AE53" i="65" s="1"/>
  <c r="AM74" i="22"/>
  <c r="AM53" i="65" s="1"/>
  <c r="AF62" i="22"/>
  <c r="AF43" i="65" s="1"/>
  <c r="AJ62" i="22"/>
  <c r="AJ43" i="65" s="1"/>
  <c r="AN62" i="22"/>
  <c r="AN43" i="65" s="1"/>
  <c r="AF63" i="22"/>
  <c r="AF52" i="65" s="1"/>
  <c r="AJ63" i="22"/>
  <c r="AJ52" i="65" s="1"/>
  <c r="AN63" i="22"/>
  <c r="AN52" i="65" s="1"/>
  <c r="AC73" i="22"/>
  <c r="AC44" i="65" s="1"/>
  <c r="AG73" i="22"/>
  <c r="AG44" i="65" s="1"/>
  <c r="AK73" i="22"/>
  <c r="AK44" i="65"/>
  <c r="AO73" i="22"/>
  <c r="AO44" i="65" s="1"/>
  <c r="AM62" i="22"/>
  <c r="AM43" i="65" s="1"/>
  <c r="AI74" i="22"/>
  <c r="AI53" i="65" s="1"/>
  <c r="AC62" i="22"/>
  <c r="AC43" i="65"/>
  <c r="AG62" i="22"/>
  <c r="AG43" i="65" s="1"/>
  <c r="AK62" i="22"/>
  <c r="AK43" i="65" s="1"/>
  <c r="AO62" i="22"/>
  <c r="AO43" i="65" s="1"/>
  <c r="AC63" i="22"/>
  <c r="AC52" i="65" s="1"/>
  <c r="AG63" i="22"/>
  <c r="AG52" i="65" s="1"/>
  <c r="AK63" i="22"/>
  <c r="AK52" i="65" s="1"/>
  <c r="AO63" i="22"/>
  <c r="AO52" i="65" s="1"/>
  <c r="AD73" i="22"/>
  <c r="AD44" i="65" s="1"/>
  <c r="AH73" i="22"/>
  <c r="AH44" i="65" s="1"/>
  <c r="AL73" i="22"/>
  <c r="AL44" i="65" s="1"/>
  <c r="AP73" i="22"/>
  <c r="AP44" i="65"/>
  <c r="AI63" i="22"/>
  <c r="AI52" i="65" s="1"/>
  <c r="AD62" i="22"/>
  <c r="AD43" i="65" s="1"/>
  <c r="AH62" i="22"/>
  <c r="AH43" i="65" s="1"/>
  <c r="AL62" i="22"/>
  <c r="AL43" i="65" s="1"/>
  <c r="AP62" i="22"/>
  <c r="AP43" i="65" s="1"/>
  <c r="AD63" i="22"/>
  <c r="AD52" i="65" s="1"/>
  <c r="AH63" i="22"/>
  <c r="AH52" i="65" s="1"/>
  <c r="AL63" i="22"/>
  <c r="AL52" i="65" s="1"/>
  <c r="AP63" i="22"/>
  <c r="AP52" i="65" s="1"/>
  <c r="K20" i="31"/>
  <c r="Q29" i="31"/>
  <c r="O38" i="31"/>
  <c r="O98" i="31" s="1"/>
  <c r="Y254" i="53"/>
  <c r="Z254" i="53"/>
  <c r="AA254" i="53"/>
  <c r="H90" i="81"/>
  <c r="H122" i="81" s="1"/>
  <c r="H20" i="76" s="1"/>
  <c r="AH253" i="53"/>
  <c r="AL253" i="53"/>
  <c r="P253" i="53"/>
  <c r="L253" i="53"/>
  <c r="N253" i="53"/>
  <c r="AD43" i="53"/>
  <c r="AK253" i="53"/>
  <c r="S253" i="53"/>
  <c r="K253" i="53"/>
  <c r="U253" i="53"/>
  <c r="O253" i="53"/>
  <c r="K21" i="31"/>
  <c r="K23" i="31" s="1"/>
  <c r="K32" i="81" s="1"/>
  <c r="K33" i="81" s="1"/>
  <c r="AL254" i="53"/>
  <c r="T254" i="53"/>
  <c r="U254" i="53"/>
  <c r="K254" i="53"/>
  <c r="AG254" i="53"/>
  <c r="P254" i="53"/>
  <c r="J254" i="53"/>
  <c r="S254" i="53"/>
  <c r="L254" i="53"/>
  <c r="V254" i="53"/>
  <c r="M254" i="53"/>
  <c r="Q254" i="53"/>
  <c r="AO254" i="53"/>
  <c r="AF44" i="53"/>
  <c r="W254" i="53"/>
  <c r="N254" i="53"/>
  <c r="R254" i="53"/>
  <c r="AK132" i="22"/>
  <c r="AI132" i="22"/>
  <c r="AI49" i="65" s="1"/>
  <c r="AM132" i="22"/>
  <c r="AM49" i="65" s="1"/>
  <c r="AN132" i="22"/>
  <c r="AN134" i="22" s="1"/>
  <c r="AN136" i="22" s="1"/>
  <c r="AN35" i="41" s="1"/>
  <c r="AH132" i="22"/>
  <c r="AH49" i="65" s="1"/>
  <c r="AD132" i="22"/>
  <c r="AD49" i="65" s="1"/>
  <c r="AP132" i="22"/>
  <c r="AP49" i="65" s="1"/>
  <c r="AJ132" i="22"/>
  <c r="AJ49" i="65" s="1"/>
  <c r="AO132" i="22"/>
  <c r="AO49" i="65" s="1"/>
  <c r="AL132" i="22"/>
  <c r="AL49" i="65" s="1"/>
  <c r="AF132" i="22"/>
  <c r="AF49" i="65" s="1"/>
  <c r="AC132" i="22"/>
  <c r="AC134" i="22" s="1"/>
  <c r="AG132" i="22"/>
  <c r="AG49" i="65" s="1"/>
  <c r="AE132" i="22"/>
  <c r="AE49" i="65" s="1"/>
  <c r="H25" i="81"/>
  <c r="H121" i="81" s="1"/>
  <c r="H19" i="76" s="1"/>
  <c r="AL255" i="53"/>
  <c r="R255" i="53"/>
  <c r="J255" i="53"/>
  <c r="L255" i="53"/>
  <c r="K255" i="53"/>
  <c r="P255" i="53"/>
  <c r="V255" i="53"/>
  <c r="N255" i="53"/>
  <c r="O255" i="53"/>
  <c r="AK255" i="53"/>
  <c r="S255" i="53"/>
  <c r="W255" i="53"/>
  <c r="Q255" i="53"/>
  <c r="AM133" i="22"/>
  <c r="AM58" i="65" s="1"/>
  <c r="AB35" i="22"/>
  <c r="AB122" i="22" s="1"/>
  <c r="AB57" i="65" s="1"/>
  <c r="N35" i="22"/>
  <c r="N63" i="22" s="1"/>
  <c r="N52" i="65" s="1"/>
  <c r="AF35" i="22"/>
  <c r="AF133" i="22"/>
  <c r="AF58" i="65" s="1"/>
  <c r="AI133" i="22"/>
  <c r="AI58" i="65" s="1"/>
  <c r="AH133" i="22"/>
  <c r="AH58" i="65" s="1"/>
  <c r="V35" i="22"/>
  <c r="AN133" i="22"/>
  <c r="AN58" i="65" s="1"/>
  <c r="AE133" i="22"/>
  <c r="AE58" i="65" s="1"/>
  <c r="AG133" i="22"/>
  <c r="AG58" i="65" s="1"/>
  <c r="AL35" i="22"/>
  <c r="AL133" i="22"/>
  <c r="AL58" i="65" s="1"/>
  <c r="AD35" i="22"/>
  <c r="AD133" i="22"/>
  <c r="AD58" i="65" s="1"/>
  <c r="AO133" i="22"/>
  <c r="AO58" i="65" s="1"/>
  <c r="AJ133" i="22"/>
  <c r="AJ58" i="65" s="1"/>
  <c r="AC133" i="22"/>
  <c r="AC58" i="65" s="1"/>
  <c r="X35" i="22"/>
  <c r="X133" i="22" s="1"/>
  <c r="AP133" i="22"/>
  <c r="AP58" i="65" s="1"/>
  <c r="AK133" i="22"/>
  <c r="AK58" i="65" s="1"/>
  <c r="AB253" i="53"/>
  <c r="Z253" i="53"/>
  <c r="AA253" i="53"/>
  <c r="L74" i="23"/>
  <c r="AB255" i="53"/>
  <c r="AI255" i="53"/>
  <c r="AM255" i="53"/>
  <c r="AI253" i="53"/>
  <c r="AJ253" i="53"/>
  <c r="AI254" i="53"/>
  <c r="AN254" i="53"/>
  <c r="AF254" i="53"/>
  <c r="AD254" i="53"/>
  <c r="AN253" i="53"/>
  <c r="AF253" i="53"/>
  <c r="AJ255" i="53"/>
  <c r="AF255" i="53"/>
  <c r="AD253" i="53"/>
  <c r="AD255" i="53"/>
  <c r="AJ254" i="53"/>
  <c r="AC253" i="53"/>
  <c r="O104" i="31"/>
  <c r="J116" i="53"/>
  <c r="X253" i="53"/>
  <c r="O47" i="81"/>
  <c r="N47" i="81"/>
  <c r="P47" i="81"/>
  <c r="M47" i="81"/>
  <c r="X254" i="53"/>
  <c r="AH20" i="74"/>
  <c r="AO20" i="74"/>
  <c r="R95" i="73"/>
  <c r="AJ20" i="74"/>
  <c r="AM20" i="74"/>
  <c r="AN20" i="74"/>
  <c r="AF20" i="74"/>
  <c r="AL20" i="74"/>
  <c r="AD20" i="74"/>
  <c r="AI20" i="74"/>
  <c r="AP20" i="74"/>
  <c r="AE20" i="74"/>
  <c r="AG20" i="74"/>
  <c r="AK20" i="74"/>
  <c r="AC20" i="74"/>
  <c r="AK78" i="83"/>
  <c r="AG78" i="83"/>
  <c r="L27" i="31"/>
  <c r="L29" i="31" s="1"/>
  <c r="M27" i="31"/>
  <c r="M29" i="31" s="1"/>
  <c r="M31" i="81" s="1"/>
  <c r="N27" i="31"/>
  <c r="N29" i="31" s="1"/>
  <c r="M48" i="82" s="1"/>
  <c r="O27" i="31"/>
  <c r="P28" i="31" s="1"/>
  <c r="P29" i="31" s="1"/>
  <c r="R27" i="31"/>
  <c r="R29" i="31" s="1"/>
  <c r="S27" i="31"/>
  <c r="S29" i="31" s="1"/>
  <c r="K16" i="105"/>
  <c r="K25" i="105"/>
  <c r="K34" i="105"/>
  <c r="K17" i="105"/>
  <c r="K26" i="105"/>
  <c r="K18" i="105"/>
  <c r="K27" i="105"/>
  <c r="K36" i="105"/>
  <c r="L25" i="105"/>
  <c r="L17" i="105"/>
  <c r="L26" i="105"/>
  <c r="L35" i="105"/>
  <c r="L18" i="105"/>
  <c r="L27" i="105"/>
  <c r="AG16" i="105"/>
  <c r="AG34" i="105"/>
  <c r="AG17" i="105"/>
  <c r="AG26" i="105"/>
  <c r="AG35" i="105"/>
  <c r="AG18" i="105"/>
  <c r="AG27" i="105"/>
  <c r="T103" i="87"/>
  <c r="T16" i="105"/>
  <c r="T34" i="105"/>
  <c r="T17" i="105"/>
  <c r="T26" i="105"/>
  <c r="T35" i="105"/>
  <c r="T18" i="105"/>
  <c r="T27" i="105"/>
  <c r="T36" i="105"/>
  <c r="T99" i="53"/>
  <c r="T104" i="87"/>
  <c r="T105" i="87"/>
  <c r="S103" i="87"/>
  <c r="S25" i="105"/>
  <c r="S17" i="105"/>
  <c r="S26" i="105"/>
  <c r="S35" i="105"/>
  <c r="S18" i="105"/>
  <c r="S27" i="105"/>
  <c r="S36" i="105"/>
  <c r="S99" i="53"/>
  <c r="S104" i="87"/>
  <c r="AE16" i="105"/>
  <c r="AE25" i="105"/>
  <c r="AE34" i="105"/>
  <c r="AE17" i="105"/>
  <c r="AE26" i="105"/>
  <c r="AE35" i="105"/>
  <c r="AE27" i="105"/>
  <c r="AE36" i="105"/>
  <c r="L19" i="31"/>
  <c r="L20" i="31" s="1"/>
  <c r="V103" i="87"/>
  <c r="V25" i="105"/>
  <c r="V34" i="105"/>
  <c r="V35" i="105"/>
  <c r="V27" i="105"/>
  <c r="V94" i="105" s="1"/>
  <c r="V36" i="105"/>
  <c r="V99" i="53"/>
  <c r="AK25" i="105"/>
  <c r="AK34" i="105"/>
  <c r="AK17" i="105"/>
  <c r="AK27" i="105"/>
  <c r="AK94" i="105" s="1"/>
  <c r="AO34" i="105"/>
  <c r="AO17" i="105"/>
  <c r="AO35" i="105"/>
  <c r="AO36" i="105"/>
  <c r="X103" i="87"/>
  <c r="X98" i="53"/>
  <c r="X99" i="53"/>
  <c r="Y98" i="53"/>
  <c r="Y99" i="53"/>
  <c r="Z98" i="53"/>
  <c r="Z99" i="53"/>
  <c r="AA98" i="53"/>
  <c r="AA99" i="53"/>
  <c r="AB98" i="53"/>
  <c r="AB99" i="53"/>
  <c r="X16" i="105"/>
  <c r="X25" i="105"/>
  <c r="X34" i="105"/>
  <c r="X17" i="105"/>
  <c r="X26" i="105"/>
  <c r="X35" i="105"/>
  <c r="X18" i="105"/>
  <c r="X27" i="105"/>
  <c r="X36" i="105"/>
  <c r="Y16" i="105"/>
  <c r="Y25" i="105"/>
  <c r="Y34" i="105"/>
  <c r="Y17" i="105"/>
  <c r="Y26" i="105"/>
  <c r="Y35" i="105"/>
  <c r="Y18" i="105"/>
  <c r="Y27" i="105"/>
  <c r="Y36" i="105"/>
  <c r="Z16" i="105"/>
  <c r="Z25" i="105"/>
  <c r="Z34" i="105"/>
  <c r="Z17" i="105"/>
  <c r="Z26" i="105"/>
  <c r="Z35" i="105"/>
  <c r="Z18" i="105"/>
  <c r="Z27" i="105"/>
  <c r="Z36" i="105"/>
  <c r="AA16" i="105"/>
  <c r="AA25" i="105"/>
  <c r="AA34" i="105"/>
  <c r="AA17" i="105"/>
  <c r="AA26" i="105"/>
  <c r="AA35" i="105"/>
  <c r="AA18" i="105"/>
  <c r="AA27" i="105"/>
  <c r="AA36" i="105"/>
  <c r="AB16" i="105"/>
  <c r="AB25" i="105"/>
  <c r="AB34" i="105"/>
  <c r="AB17" i="105"/>
  <c r="AB26" i="105"/>
  <c r="AB35" i="105"/>
  <c r="AB18" i="105"/>
  <c r="AB27" i="105"/>
  <c r="AB131" i="105" s="1"/>
  <c r="AB36" i="105"/>
  <c r="AB103" i="87"/>
  <c r="Y44" i="53"/>
  <c r="Z44" i="53"/>
  <c r="AA44" i="53"/>
  <c r="Y45" i="53"/>
  <c r="Z45" i="53"/>
  <c r="AA45" i="53"/>
  <c r="U103" i="87"/>
  <c r="U16" i="105"/>
  <c r="U25" i="105"/>
  <c r="U17" i="105"/>
  <c r="U26" i="105"/>
  <c r="U35" i="105"/>
  <c r="U18" i="105"/>
  <c r="U27" i="105"/>
  <c r="U36" i="105"/>
  <c r="U99" i="53"/>
  <c r="U98" i="53"/>
  <c r="U116" i="53" s="1"/>
  <c r="U504" i="53" s="1"/>
  <c r="U78" i="83" s="1"/>
  <c r="V98" i="53"/>
  <c r="W98" i="53"/>
  <c r="W99" i="53"/>
  <c r="K19" i="105"/>
  <c r="K28" i="105"/>
  <c r="K37" i="105"/>
  <c r="M19" i="105"/>
  <c r="M28" i="105"/>
  <c r="N19" i="105"/>
  <c r="N28" i="105"/>
  <c r="N37" i="105"/>
  <c r="L19" i="105"/>
  <c r="L28" i="105"/>
  <c r="L37" i="105"/>
  <c r="O19" i="105"/>
  <c r="O28" i="105"/>
  <c r="O37" i="105"/>
  <c r="P28" i="105"/>
  <c r="P125" i="105" s="1"/>
  <c r="P37" i="105"/>
  <c r="Q19" i="105"/>
  <c r="Q37" i="105"/>
  <c r="R19" i="105"/>
  <c r="R170" i="105" s="1"/>
  <c r="R28" i="105"/>
  <c r="R95" i="105"/>
  <c r="R37" i="105"/>
  <c r="R105" i="105" s="1"/>
  <c r="S19" i="105"/>
  <c r="S37" i="105"/>
  <c r="S126" i="105" s="1"/>
  <c r="T28" i="105"/>
  <c r="T37" i="105"/>
  <c r="U19" i="105"/>
  <c r="U37" i="105"/>
  <c r="V28" i="105"/>
  <c r="V95" i="105"/>
  <c r="V37" i="105"/>
  <c r="W19" i="105"/>
  <c r="W37" i="105"/>
  <c r="X28" i="105"/>
  <c r="X37" i="105"/>
  <c r="Y19" i="105"/>
  <c r="Y37" i="105"/>
  <c r="Z28" i="105"/>
  <c r="Z37" i="105"/>
  <c r="AA19" i="105"/>
  <c r="AA37" i="105"/>
  <c r="AB28" i="105"/>
  <c r="AB37" i="105"/>
  <c r="AC19" i="105"/>
  <c r="AC37" i="105"/>
  <c r="AD28" i="105"/>
  <c r="AD95" i="105" s="1"/>
  <c r="AD37" i="105"/>
  <c r="AE19" i="105"/>
  <c r="AE37" i="105"/>
  <c r="AF28" i="105"/>
  <c r="AF95" i="105"/>
  <c r="AF37" i="105"/>
  <c r="AF105" i="105"/>
  <c r="AG19" i="105"/>
  <c r="AG28" i="105"/>
  <c r="AG37" i="105"/>
  <c r="AH28" i="105"/>
  <c r="AH95" i="105" s="1"/>
  <c r="AH37" i="105"/>
  <c r="AH105" i="105" s="1"/>
  <c r="AI19" i="105"/>
  <c r="AI28" i="105"/>
  <c r="AI37" i="105"/>
  <c r="AJ28" i="105"/>
  <c r="AJ95" i="105" s="1"/>
  <c r="AJ37" i="105"/>
  <c r="AJ105" i="105" s="1"/>
  <c r="AK19" i="105"/>
  <c r="AK168" i="105" s="1"/>
  <c r="AK28" i="105"/>
  <c r="AK95" i="105"/>
  <c r="AK37" i="105"/>
  <c r="AK126" i="105" s="1"/>
  <c r="AL28" i="105"/>
  <c r="AL95" i="105" s="1"/>
  <c r="AL37" i="105"/>
  <c r="AL105" i="105" s="1"/>
  <c r="AM19" i="105"/>
  <c r="AM28" i="105"/>
  <c r="AM95" i="105"/>
  <c r="AM37" i="105"/>
  <c r="AN28" i="105"/>
  <c r="AN95" i="105" s="1"/>
  <c r="AN37" i="105"/>
  <c r="AN105" i="105" s="1"/>
  <c r="AO19" i="105"/>
  <c r="AO28" i="105"/>
  <c r="AO95" i="105"/>
  <c r="AO37" i="105"/>
  <c r="AP28" i="105"/>
  <c r="AP37" i="105"/>
  <c r="AP105" i="105" s="1"/>
  <c r="AC34" i="105"/>
  <c r="AC26" i="105"/>
  <c r="AC18" i="105"/>
  <c r="AC36" i="105"/>
  <c r="AD34" i="105"/>
  <c r="AD17" i="105"/>
  <c r="AD35" i="105"/>
  <c r="AD27" i="105"/>
  <c r="AD94" i="105" s="1"/>
  <c r="AD36" i="105"/>
  <c r="AI16" i="105"/>
  <c r="AI25" i="105"/>
  <c r="AI92" i="105" s="1"/>
  <c r="AI34" i="105"/>
  <c r="AI26" i="105"/>
  <c r="AI93" i="105" s="1"/>
  <c r="AI35" i="105"/>
  <c r="AI18" i="105"/>
  <c r="AI27" i="105"/>
  <c r="AI36" i="105"/>
  <c r="W103" i="87"/>
  <c r="W16" i="105"/>
  <c r="W34" i="105"/>
  <c r="W17" i="105"/>
  <c r="W26" i="105"/>
  <c r="W93" i="105"/>
  <c r="W18" i="105"/>
  <c r="W27" i="105"/>
  <c r="W94" i="105"/>
  <c r="W36" i="105"/>
  <c r="AM16" i="105"/>
  <c r="AM34" i="105"/>
  <c r="AM26" i="105"/>
  <c r="AM93" i="105"/>
  <c r="AM18" i="105"/>
  <c r="AM27" i="105"/>
  <c r="AM94" i="105" s="1"/>
  <c r="AM36" i="105"/>
  <c r="AL103" i="87"/>
  <c r="AL16" i="105"/>
  <c r="AL25" i="105"/>
  <c r="AL92" i="105" s="1"/>
  <c r="AL17" i="105"/>
  <c r="AL26" i="105"/>
  <c r="AL93" i="105" s="1"/>
  <c r="AL35" i="105"/>
  <c r="AL103" i="105" s="1"/>
  <c r="AL18" i="105"/>
  <c r="AL130" i="105" s="1"/>
  <c r="AL36" i="105"/>
  <c r="AL104" i="105" s="1"/>
  <c r="AF16" i="105"/>
  <c r="AF34" i="105"/>
  <c r="AF17" i="105"/>
  <c r="AF26" i="105"/>
  <c r="AF93" i="105" s="1"/>
  <c r="AF18" i="105"/>
  <c r="AF27" i="105"/>
  <c r="AF94" i="105" s="1"/>
  <c r="AF36" i="105"/>
  <c r="AF104" i="105"/>
  <c r="AN25" i="105"/>
  <c r="AN92" i="105" s="1"/>
  <c r="AN17" i="105"/>
  <c r="AN26" i="105"/>
  <c r="AN35" i="105"/>
  <c r="AN103" i="105"/>
  <c r="AN18" i="105"/>
  <c r="AN27" i="105"/>
  <c r="AN94" i="105" s="1"/>
  <c r="AN36" i="105"/>
  <c r="AN104" i="105"/>
  <c r="AP103" i="87"/>
  <c r="AP16" i="105"/>
  <c r="AP25" i="105"/>
  <c r="AP17" i="105"/>
  <c r="AP26" i="105"/>
  <c r="AP93" i="105" s="1"/>
  <c r="AP35" i="105"/>
  <c r="AP103" i="105" s="1"/>
  <c r="AP18" i="105"/>
  <c r="AP27" i="105"/>
  <c r="AP94" i="105"/>
  <c r="AP36" i="105"/>
  <c r="AP104" i="105" s="1"/>
  <c r="AJ16" i="105"/>
  <c r="AJ130" i="105" s="1"/>
  <c r="AJ25" i="105"/>
  <c r="AJ34" i="105"/>
  <c r="AJ102" i="105" s="1"/>
  <c r="AJ17" i="105"/>
  <c r="AJ35" i="105"/>
  <c r="AJ103" i="105"/>
  <c r="AJ18" i="105"/>
  <c r="AJ27" i="105"/>
  <c r="AJ94" i="105" s="1"/>
  <c r="AH16" i="105"/>
  <c r="AH34" i="105"/>
  <c r="AH26" i="105"/>
  <c r="AH93" i="105"/>
  <c r="AH35" i="105"/>
  <c r="AH103" i="105"/>
  <c r="AH18" i="105"/>
  <c r="AH36" i="105"/>
  <c r="AH104" i="105" s="1"/>
  <c r="N16" i="105"/>
  <c r="N25" i="105"/>
  <c r="N17" i="105"/>
  <c r="N26" i="105"/>
  <c r="N35" i="105"/>
  <c r="N18" i="105"/>
  <c r="N27" i="105"/>
  <c r="N131" i="105" s="1"/>
  <c r="N99" i="53"/>
  <c r="P25" i="105"/>
  <c r="P34" i="105"/>
  <c r="P17" i="105"/>
  <c r="P18" i="105"/>
  <c r="P36" i="105"/>
  <c r="P99" i="53"/>
  <c r="L99" i="53"/>
  <c r="V104" i="87"/>
  <c r="K99" i="53"/>
  <c r="O16" i="105"/>
  <c r="O34" i="105"/>
  <c r="O17" i="105"/>
  <c r="O26" i="105"/>
  <c r="O35" i="105"/>
  <c r="O18" i="105"/>
  <c r="O27" i="105"/>
  <c r="O36" i="105"/>
  <c r="O99" i="53"/>
  <c r="W104" i="87"/>
  <c r="U104" i="87"/>
  <c r="V105" i="87"/>
  <c r="W105" i="87"/>
  <c r="U105" i="87"/>
  <c r="M16" i="105"/>
  <c r="M25" i="105"/>
  <c r="M34" i="105"/>
  <c r="M17" i="105"/>
  <c r="M26" i="105"/>
  <c r="M35" i="105"/>
  <c r="M18" i="105"/>
  <c r="M27" i="105"/>
  <c r="M99" i="53"/>
  <c r="M54" i="81"/>
  <c r="N54" i="81"/>
  <c r="O54" i="81"/>
  <c r="Q54" i="81"/>
  <c r="R54" i="81"/>
  <c r="S54" i="81"/>
  <c r="AL104" i="87"/>
  <c r="AL105" i="87"/>
  <c r="Q16" i="105"/>
  <c r="Q25" i="105"/>
  <c r="Q34" i="105"/>
  <c r="Q17" i="105"/>
  <c r="Q35" i="105"/>
  <c r="Q27" i="105"/>
  <c r="Q94" i="105" s="1"/>
  <c r="Q36" i="105"/>
  <c r="Q104" i="105" s="1"/>
  <c r="R16" i="105"/>
  <c r="R34" i="105"/>
  <c r="R17" i="105"/>
  <c r="R26" i="105"/>
  <c r="R93" i="105" s="1"/>
  <c r="R35" i="105"/>
  <c r="R103" i="105"/>
  <c r="R18" i="105"/>
  <c r="R27" i="105"/>
  <c r="R94" i="105"/>
  <c r="R36" i="105"/>
  <c r="R99" i="53"/>
  <c r="R116" i="53" s="1"/>
  <c r="AP105" i="87"/>
  <c r="AP104" i="87"/>
  <c r="K61" i="80"/>
  <c r="L98" i="53"/>
  <c r="M98" i="53"/>
  <c r="M116" i="53" s="1"/>
  <c r="M504" i="53" s="1"/>
  <c r="M78" i="83" s="1"/>
  <c r="N98" i="53"/>
  <c r="O98" i="53"/>
  <c r="O116" i="53" s="1"/>
  <c r="P98" i="53"/>
  <c r="Q98" i="53"/>
  <c r="R98" i="53"/>
  <c r="S98" i="53"/>
  <c r="T98" i="53"/>
  <c r="T116" i="53" s="1"/>
  <c r="T504" i="53" s="1"/>
  <c r="T78" i="83" s="1"/>
  <c r="AD78" i="83"/>
  <c r="AL78" i="83"/>
  <c r="AM78" i="83"/>
  <c r="M60" i="23"/>
  <c r="M62" i="23"/>
  <c r="M63" i="23"/>
  <c r="N60" i="23"/>
  <c r="N62" i="23"/>
  <c r="N63" i="23"/>
  <c r="O60" i="23"/>
  <c r="O62" i="23"/>
  <c r="O63" i="23"/>
  <c r="P60" i="23"/>
  <c r="P62" i="23"/>
  <c r="P63" i="23"/>
  <c r="Q60" i="23"/>
  <c r="Q62" i="23"/>
  <c r="Q63" i="23"/>
  <c r="R60" i="23"/>
  <c r="R62" i="23"/>
  <c r="R63" i="23"/>
  <c r="S60" i="23"/>
  <c r="S62" i="23"/>
  <c r="S63" i="23"/>
  <c r="H143" i="53"/>
  <c r="AA211" i="53" s="1"/>
  <c r="H151" i="53"/>
  <c r="Y216" i="53" s="1"/>
  <c r="H159" i="53"/>
  <c r="H167" i="53"/>
  <c r="Y226" i="53" s="1"/>
  <c r="H175" i="53"/>
  <c r="Y231" i="53" s="1"/>
  <c r="H183" i="53"/>
  <c r="H191" i="53"/>
  <c r="Z241" i="53" s="1"/>
  <c r="H199" i="53"/>
  <c r="Y246" i="53"/>
  <c r="K22" i="105"/>
  <c r="K31" i="105"/>
  <c r="K40" i="105"/>
  <c r="L22" i="105"/>
  <c r="L31" i="105"/>
  <c r="M22" i="105"/>
  <c r="M40" i="105"/>
  <c r="N22" i="105"/>
  <c r="N31" i="105"/>
  <c r="N40" i="105"/>
  <c r="O22" i="105"/>
  <c r="O31" i="105"/>
  <c r="O40" i="105"/>
  <c r="P31" i="105"/>
  <c r="P40" i="105"/>
  <c r="Q22" i="105"/>
  <c r="Q31" i="105"/>
  <c r="Q98" i="105" s="1"/>
  <c r="Q40" i="105"/>
  <c r="Q108" i="105" s="1"/>
  <c r="R22" i="105"/>
  <c r="R31" i="105"/>
  <c r="R98" i="105" s="1"/>
  <c r="S22" i="105"/>
  <c r="S40" i="105"/>
  <c r="T22" i="105"/>
  <c r="T31" i="105"/>
  <c r="T40" i="105"/>
  <c r="U31" i="105"/>
  <c r="V22" i="105"/>
  <c r="V40" i="105"/>
  <c r="W22" i="105"/>
  <c r="W172" i="105" s="1"/>
  <c r="W31" i="105"/>
  <c r="W98" i="105" s="1"/>
  <c r="W40" i="105"/>
  <c r="X22" i="105"/>
  <c r="X31" i="105"/>
  <c r="Y22" i="105"/>
  <c r="Y40" i="105"/>
  <c r="Z22" i="105"/>
  <c r="Z31" i="105"/>
  <c r="Z40" i="105"/>
  <c r="AA22" i="105"/>
  <c r="AA31" i="105"/>
  <c r="AA40" i="105"/>
  <c r="AB22" i="105"/>
  <c r="AB31" i="105"/>
  <c r="AC22" i="105"/>
  <c r="AC40" i="105"/>
  <c r="AD22" i="105"/>
  <c r="AD31" i="105"/>
  <c r="AD98" i="105"/>
  <c r="AD40" i="105"/>
  <c r="AE22" i="105"/>
  <c r="AE31" i="105"/>
  <c r="AE40" i="105"/>
  <c r="AF22" i="105"/>
  <c r="AF31" i="105"/>
  <c r="AF98" i="105" s="1"/>
  <c r="AF40" i="105"/>
  <c r="AF108" i="105" s="1"/>
  <c r="AG31" i="105"/>
  <c r="AH22" i="105"/>
  <c r="AH31" i="105"/>
  <c r="AH98" i="105" s="1"/>
  <c r="AH40" i="105"/>
  <c r="AH108" i="105" s="1"/>
  <c r="AI22" i="105"/>
  <c r="AI31" i="105"/>
  <c r="AI98" i="105"/>
  <c r="AI40" i="105"/>
  <c r="AJ22" i="105"/>
  <c r="AJ31" i="105"/>
  <c r="AJ98" i="105" s="1"/>
  <c r="AJ40" i="105"/>
  <c r="AJ108" i="105"/>
  <c r="AK31" i="105"/>
  <c r="AK98" i="105"/>
  <c r="AL22" i="105"/>
  <c r="AL40" i="105"/>
  <c r="AL108" i="105" s="1"/>
  <c r="AM22" i="105"/>
  <c r="AM31" i="105"/>
  <c r="AM98" i="105" s="1"/>
  <c r="AM40" i="105"/>
  <c r="AN22" i="105"/>
  <c r="AN31" i="105"/>
  <c r="AN98" i="105" s="1"/>
  <c r="AO22" i="105"/>
  <c r="AO40" i="105"/>
  <c r="AP22" i="105"/>
  <c r="AP31" i="105"/>
  <c r="AP98" i="105" s="1"/>
  <c r="AP40" i="105"/>
  <c r="AP108" i="105" s="1"/>
  <c r="K21" i="105"/>
  <c r="K30" i="105"/>
  <c r="L21" i="105"/>
  <c r="L39" i="105"/>
  <c r="M30" i="105"/>
  <c r="M39" i="105"/>
  <c r="N21" i="105"/>
  <c r="N30" i="105"/>
  <c r="N39" i="105"/>
  <c r="O21" i="105"/>
  <c r="O154" i="105" s="1"/>
  <c r="O30" i="105"/>
  <c r="P21" i="105"/>
  <c r="P39" i="105"/>
  <c r="Q30" i="105"/>
  <c r="Q97" i="105" s="1"/>
  <c r="Q39" i="105"/>
  <c r="Q107" i="105"/>
  <c r="R21" i="105"/>
  <c r="R30" i="105"/>
  <c r="R97" i="105" s="1"/>
  <c r="R39" i="105"/>
  <c r="R107" i="105"/>
  <c r="S21" i="105"/>
  <c r="S39" i="105"/>
  <c r="T21" i="105"/>
  <c r="T39" i="105"/>
  <c r="U30" i="105"/>
  <c r="U39" i="105"/>
  <c r="V21" i="105"/>
  <c r="V30" i="105"/>
  <c r="V97" i="105"/>
  <c r="V39" i="105"/>
  <c r="W21" i="105"/>
  <c r="W39" i="105"/>
  <c r="X21" i="105"/>
  <c r="X30" i="105"/>
  <c r="X39" i="105"/>
  <c r="Y21" i="105"/>
  <c r="Y30" i="105"/>
  <c r="Y39" i="105"/>
  <c r="Z21" i="105"/>
  <c r="Z30" i="105"/>
  <c r="Z39" i="105"/>
  <c r="AA21" i="105"/>
  <c r="AA39" i="105"/>
  <c r="AB21" i="105"/>
  <c r="AB30" i="105"/>
  <c r="AB39" i="105"/>
  <c r="AC21" i="105"/>
  <c r="AC30" i="105"/>
  <c r="AC39" i="105"/>
  <c r="AD21" i="105"/>
  <c r="AD30" i="105"/>
  <c r="AD97" i="105" s="1"/>
  <c r="AD39" i="105"/>
  <c r="AE21" i="105"/>
  <c r="AE39" i="105"/>
  <c r="AF21" i="105"/>
  <c r="AF30" i="105"/>
  <c r="AF97" i="105" s="1"/>
  <c r="AF39" i="105"/>
  <c r="AF107" i="105" s="1"/>
  <c r="AG21" i="105"/>
  <c r="AG30" i="105"/>
  <c r="AG39" i="105"/>
  <c r="AH21" i="105"/>
  <c r="AH30" i="105"/>
  <c r="AH97" i="105" s="1"/>
  <c r="AH39" i="105"/>
  <c r="AH107" i="105" s="1"/>
  <c r="AI21" i="105"/>
  <c r="AI39" i="105"/>
  <c r="AJ21" i="105"/>
  <c r="AJ30" i="105"/>
  <c r="AJ97" i="105" s="1"/>
  <c r="AJ39" i="105"/>
  <c r="AJ107" i="105"/>
  <c r="AK21" i="105"/>
  <c r="AK30" i="105"/>
  <c r="AK97" i="105" s="1"/>
  <c r="AK39" i="105"/>
  <c r="AL21" i="105"/>
  <c r="AL30" i="105"/>
  <c r="AL97" i="105" s="1"/>
  <c r="AL39" i="105"/>
  <c r="AL107" i="105"/>
  <c r="AM21" i="105"/>
  <c r="AM39" i="105"/>
  <c r="AN21" i="105"/>
  <c r="AN30" i="105"/>
  <c r="AN97" i="105" s="1"/>
  <c r="AN39" i="105"/>
  <c r="AN107" i="105"/>
  <c r="AO21" i="105"/>
  <c r="AO30" i="105"/>
  <c r="AO97" i="105" s="1"/>
  <c r="AO39" i="105"/>
  <c r="AP21" i="105"/>
  <c r="AP30" i="105"/>
  <c r="AP97" i="105" s="1"/>
  <c r="AP39" i="105"/>
  <c r="AP107" i="105"/>
  <c r="U20" i="105"/>
  <c r="U29" i="105"/>
  <c r="K20" i="105"/>
  <c r="K29" i="105"/>
  <c r="K38" i="105"/>
  <c r="L20" i="105"/>
  <c r="L29" i="105"/>
  <c r="M20" i="105"/>
  <c r="M38" i="105"/>
  <c r="N20" i="105"/>
  <c r="N29" i="105"/>
  <c r="N38" i="105"/>
  <c r="O20" i="105"/>
  <c r="O29" i="105"/>
  <c r="O38" i="105"/>
  <c r="P20" i="105"/>
  <c r="P29" i="105"/>
  <c r="P38" i="105"/>
  <c r="Q29" i="105"/>
  <c r="Q96" i="105" s="1"/>
  <c r="Q38" i="105"/>
  <c r="Q106" i="105" s="1"/>
  <c r="R20" i="105"/>
  <c r="R29" i="105"/>
  <c r="R96" i="105"/>
  <c r="R38" i="105"/>
  <c r="R106" i="105"/>
  <c r="S29" i="105"/>
  <c r="S38" i="105"/>
  <c r="T20" i="105"/>
  <c r="T29" i="105"/>
  <c r="T38" i="105"/>
  <c r="V20" i="105"/>
  <c r="V29" i="105"/>
  <c r="V96" i="105" s="1"/>
  <c r="V38" i="105"/>
  <c r="W20" i="105"/>
  <c r="W29" i="105"/>
  <c r="W96" i="105"/>
  <c r="X20" i="105"/>
  <c r="X29" i="105"/>
  <c r="X38" i="105"/>
  <c r="Y20" i="105"/>
  <c r="Y29" i="105"/>
  <c r="Z20" i="105"/>
  <c r="Z38" i="105"/>
  <c r="AA20" i="105"/>
  <c r="AA29" i="105"/>
  <c r="AA38" i="105"/>
  <c r="AB20" i="105"/>
  <c r="AB29" i="105"/>
  <c r="AB38" i="105"/>
  <c r="AC20" i="105"/>
  <c r="AC29" i="105"/>
  <c r="AC38" i="105"/>
  <c r="AD29" i="105"/>
  <c r="AD96" i="105"/>
  <c r="AD38" i="105"/>
  <c r="AE20" i="105"/>
  <c r="AE29" i="105"/>
  <c r="AE38" i="105"/>
  <c r="AF20" i="105"/>
  <c r="AF29" i="105"/>
  <c r="AF96" i="105"/>
  <c r="AF38" i="105"/>
  <c r="AF106" i="105" s="1"/>
  <c r="AG20" i="105"/>
  <c r="AG29" i="105"/>
  <c r="AG38" i="105"/>
  <c r="AH20" i="105"/>
  <c r="AH29" i="105"/>
  <c r="AH96" i="105"/>
  <c r="AH38" i="105"/>
  <c r="AH106" i="105" s="1"/>
  <c r="AI20" i="105"/>
  <c r="AI29" i="105"/>
  <c r="AI96" i="105" s="1"/>
  <c r="AJ20" i="105"/>
  <c r="AJ38" i="105"/>
  <c r="AJ106" i="105" s="1"/>
  <c r="AK20" i="105"/>
  <c r="AK29" i="105"/>
  <c r="AK96" i="105" s="1"/>
  <c r="AK38" i="105"/>
  <c r="AL20" i="105"/>
  <c r="AL29" i="105"/>
  <c r="AL96" i="105" s="1"/>
  <c r="AL38" i="105"/>
  <c r="AL106" i="105"/>
  <c r="AM20" i="105"/>
  <c r="AM29" i="105"/>
  <c r="AM96" i="105" s="1"/>
  <c r="AM38" i="105"/>
  <c r="AN29" i="105"/>
  <c r="AN96" i="105"/>
  <c r="AN38" i="105"/>
  <c r="AN106" i="105" s="1"/>
  <c r="AO20" i="105"/>
  <c r="AO29" i="105"/>
  <c r="AO96" i="105"/>
  <c r="AO38" i="105"/>
  <c r="AP20" i="105"/>
  <c r="AP29" i="105"/>
  <c r="AP96" i="105" s="1"/>
  <c r="AP38" i="105"/>
  <c r="AP106" i="105" s="1"/>
  <c r="M45" i="53"/>
  <c r="N45" i="53"/>
  <c r="O45" i="53"/>
  <c r="M44" i="53"/>
  <c r="O44" i="53"/>
  <c r="R54" i="53"/>
  <c r="R45" i="53"/>
  <c r="Q54" i="53"/>
  <c r="Q45" i="53"/>
  <c r="K45" i="53"/>
  <c r="L45" i="53"/>
  <c r="L44" i="53"/>
  <c r="P45" i="53"/>
  <c r="P54" i="81"/>
  <c r="R182" i="105"/>
  <c r="R179" i="105"/>
  <c r="R177" i="105"/>
  <c r="R169" i="105"/>
  <c r="R167" i="105"/>
  <c r="Q183" i="105"/>
  <c r="Q180" i="105"/>
  <c r="Q178" i="105"/>
  <c r="Q177" i="105"/>
  <c r="Q172" i="105"/>
  <c r="Q169" i="105"/>
  <c r="Q167" i="105"/>
  <c r="Q166" i="105"/>
  <c r="L131" i="105"/>
  <c r="AD132" i="105"/>
  <c r="Q102" i="105"/>
  <c r="AP92" i="105"/>
  <c r="V92" i="105"/>
  <c r="Q92" i="105"/>
  <c r="AH102" i="105"/>
  <c r="AF102" i="105"/>
  <c r="AJ92" i="105"/>
  <c r="Q104" i="87"/>
  <c r="R104" i="87"/>
  <c r="S218" i="31"/>
  <c r="S214" i="31"/>
  <c r="Z103" i="87"/>
  <c r="Y103" i="87"/>
  <c r="Q103" i="87"/>
  <c r="R103" i="87"/>
  <c r="AA103" i="87"/>
  <c r="X61" i="80"/>
  <c r="W61" i="80"/>
  <c r="L61" i="80"/>
  <c r="Q52" i="53"/>
  <c r="R52" i="53"/>
  <c r="AB61" i="80"/>
  <c r="Q53" i="53"/>
  <c r="R53" i="53"/>
  <c r="Z61" i="80"/>
  <c r="N116" i="53"/>
  <c r="N504" i="53" s="1"/>
  <c r="N78" i="83" s="1"/>
  <c r="Z116" i="53"/>
  <c r="Z504" i="53" s="1"/>
  <c r="Z78" i="83" s="1"/>
  <c r="S43" i="53"/>
  <c r="P61" i="80"/>
  <c r="T43" i="53"/>
  <c r="L116" i="53"/>
  <c r="L504" i="53" s="1"/>
  <c r="L78" i="83" s="1"/>
  <c r="O61" i="80"/>
  <c r="S61" i="80"/>
  <c r="Y61" i="80"/>
  <c r="K130" i="22"/>
  <c r="R61" i="80"/>
  <c r="AA61" i="80"/>
  <c r="U61" i="80"/>
  <c r="N61" i="80"/>
  <c r="AM120" i="22"/>
  <c r="AL120" i="22"/>
  <c r="AL124" i="22" s="1"/>
  <c r="AO131" i="22"/>
  <c r="T131" i="22"/>
  <c r="Z107" i="22"/>
  <c r="T107" i="22"/>
  <c r="K98" i="53"/>
  <c r="K116" i="53" s="1"/>
  <c r="K108" i="22"/>
  <c r="L118" i="22"/>
  <c r="Q59" i="22"/>
  <c r="AD108" i="22"/>
  <c r="AB107" i="22"/>
  <c r="AP130" i="22"/>
  <c r="AN71" i="22"/>
  <c r="AN75" i="22" s="1"/>
  <c r="P44" i="53"/>
  <c r="M43" i="53"/>
  <c r="P118" i="22"/>
  <c r="N118" i="22"/>
  <c r="Y129" i="22"/>
  <c r="V131" i="22"/>
  <c r="W63" i="53"/>
  <c r="V53" i="53"/>
  <c r="U43" i="53"/>
  <c r="Y43" i="53"/>
  <c r="V43" i="53"/>
  <c r="S53" i="53"/>
  <c r="K44" i="53"/>
  <c r="R43" i="53"/>
  <c r="N43" i="53"/>
  <c r="AN119" i="22"/>
  <c r="AN123" i="22" s="1"/>
  <c r="R118" i="22"/>
  <c r="N120" i="22"/>
  <c r="R59" i="22"/>
  <c r="V63" i="53"/>
  <c r="U53" i="53"/>
  <c r="W43" i="53"/>
  <c r="M96" i="22"/>
  <c r="AB43" i="53"/>
  <c r="X43" i="53"/>
  <c r="P43" i="53"/>
  <c r="L43" i="53"/>
  <c r="R44" i="53"/>
  <c r="N44" i="53"/>
  <c r="O108" i="22"/>
  <c r="N108" i="22"/>
  <c r="AE120" i="22"/>
  <c r="AD120" i="22"/>
  <c r="AD124" i="22" s="1"/>
  <c r="K119" i="22"/>
  <c r="AO129" i="22"/>
  <c r="AK130" i="22"/>
  <c r="AP53" i="53"/>
  <c r="AL63" i="53"/>
  <c r="U63" i="53"/>
  <c r="W53" i="53"/>
  <c r="AP43" i="53"/>
  <c r="AL43" i="53"/>
  <c r="AA43" i="53"/>
  <c r="T63" i="53"/>
  <c r="L71" i="22"/>
  <c r="Q44" i="53"/>
  <c r="Q43" i="53"/>
  <c r="K43" i="53"/>
  <c r="O43" i="53"/>
  <c r="AP63" i="53"/>
  <c r="AL53" i="53"/>
  <c r="N71" i="22"/>
  <c r="W83" i="22"/>
  <c r="Z43" i="53"/>
  <c r="S82" i="22"/>
  <c r="T53" i="53"/>
  <c r="V61" i="80"/>
  <c r="Q61" i="80"/>
  <c r="T61" i="80"/>
  <c r="AJ107" i="22"/>
  <c r="AF108" i="22"/>
  <c r="AF112" i="22"/>
  <c r="AF114" i="22" s="1"/>
  <c r="AF33" i="41" s="1"/>
  <c r="AF119" i="22"/>
  <c r="T118" i="22"/>
  <c r="AH131" i="22"/>
  <c r="AF131" i="22"/>
  <c r="AF135" i="22"/>
  <c r="AD131" i="22"/>
  <c r="AD135" i="22" s="1"/>
  <c r="AC131" i="22"/>
  <c r="N131" i="22"/>
  <c r="AB116" i="53"/>
  <c r="AB504" i="53" s="1"/>
  <c r="AB78" i="83" s="1"/>
  <c r="R72" i="22"/>
  <c r="Q72" i="22"/>
  <c r="O81" i="22"/>
  <c r="O70" i="22"/>
  <c r="Q98" i="22"/>
  <c r="P98" i="22"/>
  <c r="L70" i="22"/>
  <c r="M61" i="80"/>
  <c r="AL107" i="22"/>
  <c r="S108" i="22"/>
  <c r="M109" i="22"/>
  <c r="AH118" i="22"/>
  <c r="AG118" i="22"/>
  <c r="N119" i="22"/>
  <c r="M120" i="22"/>
  <c r="AI130" i="22"/>
  <c r="AI134" i="22" s="1"/>
  <c r="AG130" i="22"/>
  <c r="AE130" i="22"/>
  <c r="AE134" i="22" s="1"/>
  <c r="T129" i="22"/>
  <c r="S129" i="22"/>
  <c r="O130" i="22"/>
  <c r="K129" i="22"/>
  <c r="U83" i="22"/>
  <c r="T83" i="22"/>
  <c r="K71" i="22"/>
  <c r="AM109" i="22"/>
  <c r="AH107" i="22"/>
  <c r="AB108" i="22"/>
  <c r="AA109" i="22"/>
  <c r="X108" i="22"/>
  <c r="W108" i="22"/>
  <c r="V108" i="22"/>
  <c r="R109" i="22"/>
  <c r="Q109" i="22"/>
  <c r="P109" i="22"/>
  <c r="K107" i="22"/>
  <c r="AP118" i="22"/>
  <c r="AO118" i="22"/>
  <c r="AM129" i="22"/>
  <c r="M60" i="22"/>
  <c r="AO83" i="22"/>
  <c r="AO87" i="22" s="1"/>
  <c r="AO72" i="22"/>
  <c r="AO61" i="22"/>
  <c r="S70" i="22"/>
  <c r="AG70" i="22"/>
  <c r="AP108" i="22"/>
  <c r="AO109" i="22"/>
  <c r="AO113" i="22"/>
  <c r="V119" i="22"/>
  <c r="M70" i="22"/>
  <c r="O83" i="22"/>
  <c r="AH83" i="22"/>
  <c r="AH72" i="22"/>
  <c r="AH61" i="22"/>
  <c r="AE71" i="22"/>
  <c r="AE75" i="22" s="1"/>
  <c r="K81" i="22"/>
  <c r="K59" i="22"/>
  <c r="AP107" i="22"/>
  <c r="T109" i="22"/>
  <c r="P107" i="22"/>
  <c r="U108" i="22"/>
  <c r="AL118" i="22"/>
  <c r="AK118" i="22"/>
  <c r="AJ119" i="22"/>
  <c r="AI120" i="22"/>
  <c r="AH120" i="22"/>
  <c r="AH124" i="22"/>
  <c r="Z118" i="22"/>
  <c r="Y118" i="22"/>
  <c r="X119" i="22"/>
  <c r="W120" i="22"/>
  <c r="V120" i="22"/>
  <c r="R119" i="22"/>
  <c r="Q120" i="22"/>
  <c r="AI129" i="22"/>
  <c r="AD130" i="22"/>
  <c r="AD134" i="22" s="1"/>
  <c r="AA129" i="22"/>
  <c r="Z130" i="22"/>
  <c r="Y131" i="22"/>
  <c r="Q129" i="22"/>
  <c r="O129" i="22"/>
  <c r="M129" i="22"/>
  <c r="R82" i="22"/>
  <c r="AD82" i="22"/>
  <c r="K98" i="22"/>
  <c r="AN108" i="22"/>
  <c r="AL108" i="22"/>
  <c r="AL112" i="22" s="1"/>
  <c r="AK109" i="22"/>
  <c r="AK113" i="22" s="1"/>
  <c r="AH108" i="22"/>
  <c r="AG109" i="22"/>
  <c r="AE109" i="22"/>
  <c r="AE113" i="22" s="1"/>
  <c r="AC109" i="22"/>
  <c r="V109" i="22"/>
  <c r="V107" i="22"/>
  <c r="R108" i="22"/>
  <c r="N109" i="22"/>
  <c r="M107" i="22"/>
  <c r="AP120" i="22"/>
  <c r="AD118" i="22"/>
  <c r="AC118" i="22"/>
  <c r="AB119" i="22"/>
  <c r="AA120" i="22"/>
  <c r="Z120" i="22"/>
  <c r="U120" i="22"/>
  <c r="S120" i="22"/>
  <c r="AP131" i="22"/>
  <c r="AM130" i="22"/>
  <c r="AM134" i="22"/>
  <c r="AL131" i="22"/>
  <c r="AJ131" i="22"/>
  <c r="AE129" i="22"/>
  <c r="AC129" i="22"/>
  <c r="AB129" i="22"/>
  <c r="AA130" i="22"/>
  <c r="Z131" i="22"/>
  <c r="W130" i="22"/>
  <c r="U130" i="22"/>
  <c r="Q130" i="22"/>
  <c r="P131" i="22"/>
  <c r="N130" i="22"/>
  <c r="M131" i="22"/>
  <c r="R25" i="105"/>
  <c r="R131" i="105"/>
  <c r="R60" i="22"/>
  <c r="Q83" i="22"/>
  <c r="R70" i="22"/>
  <c r="Q26" i="105"/>
  <c r="Q93" i="105"/>
  <c r="Q71" i="22"/>
  <c r="Q18" i="105"/>
  <c r="Q179" i="105"/>
  <c r="Q81" i="22"/>
  <c r="AE72" i="22"/>
  <c r="AE76" i="22" s="1"/>
  <c r="AE70" i="22"/>
  <c r="AE59" i="22"/>
  <c r="S71" i="22"/>
  <c r="T71" i="22"/>
  <c r="P81" i="22"/>
  <c r="N81" i="22"/>
  <c r="N59" i="22"/>
  <c r="AP83" i="22"/>
  <c r="AP87" i="22"/>
  <c r="AI83" i="22"/>
  <c r="AI72" i="22"/>
  <c r="AI76" i="22"/>
  <c r="AI61" i="22"/>
  <c r="AC81" i="22"/>
  <c r="N97" i="22"/>
  <c r="S83" i="22"/>
  <c r="S81" i="22"/>
  <c r="T81" i="22"/>
  <c r="M71" i="22"/>
  <c r="M61" i="22"/>
  <c r="M59" i="22"/>
  <c r="O82" i="22"/>
  <c r="P61" i="22"/>
  <c r="AJ59" i="22"/>
  <c r="AP71" i="22"/>
  <c r="AN70" i="22"/>
  <c r="AF82" i="22"/>
  <c r="W82" i="22"/>
  <c r="AD61" i="22"/>
  <c r="AD65" i="22" s="1"/>
  <c r="AC61" i="22"/>
  <c r="AP98" i="22"/>
  <c r="AP102" i="22" s="1"/>
  <c r="AO98" i="22"/>
  <c r="AN98" i="22"/>
  <c r="AM98" i="22"/>
  <c r="AM102" i="22" s="1"/>
  <c r="AL98" i="22"/>
  <c r="AK98" i="22"/>
  <c r="AJ98" i="22"/>
  <c r="AI98" i="22"/>
  <c r="AH98" i="22"/>
  <c r="AG98" i="22"/>
  <c r="AF98" i="22"/>
  <c r="AE98" i="22"/>
  <c r="AE102" i="22"/>
  <c r="AD98" i="22"/>
  <c r="AD102" i="22" s="1"/>
  <c r="AC98" i="22"/>
  <c r="AC102" i="22" s="1"/>
  <c r="AB98" i="22"/>
  <c r="AA98" i="22"/>
  <c r="Z98" i="22"/>
  <c r="Y98" i="22"/>
  <c r="X98" i="22"/>
  <c r="W98" i="22"/>
  <c r="V98" i="22"/>
  <c r="U98" i="22"/>
  <c r="T98" i="22"/>
  <c r="S98" i="22"/>
  <c r="R98" i="22"/>
  <c r="U82" i="22"/>
  <c r="M81" i="22"/>
  <c r="O71" i="22"/>
  <c r="AJ81" i="22"/>
  <c r="AP59" i="22"/>
  <c r="AN83" i="22"/>
  <c r="AF70" i="22"/>
  <c r="AL70" i="22"/>
  <c r="AM82" i="22"/>
  <c r="AM86" i="22" s="1"/>
  <c r="W70" i="22"/>
  <c r="U70" i="22"/>
  <c r="AK61" i="22"/>
  <c r="V83" i="22"/>
  <c r="V72" i="22"/>
  <c r="V61" i="22"/>
  <c r="AD20" i="105"/>
  <c r="AD107" i="22"/>
  <c r="AE30" i="105"/>
  <c r="AE119" i="22"/>
  <c r="U21" i="105"/>
  <c r="U118" i="22"/>
  <c r="K39" i="105"/>
  <c r="K120" i="22"/>
  <c r="AK22" i="105"/>
  <c r="AK129" i="22"/>
  <c r="AC31" i="105"/>
  <c r="AC130" i="22"/>
  <c r="U40" i="105"/>
  <c r="U131" i="22"/>
  <c r="AH27" i="105"/>
  <c r="AH82" i="22"/>
  <c r="AJ36" i="105"/>
  <c r="AJ132" i="105" s="1"/>
  <c r="AJ83" i="22"/>
  <c r="AJ87" i="22"/>
  <c r="AG25" i="105"/>
  <c r="AG131" i="105" s="1"/>
  <c r="AG60" i="22"/>
  <c r="AI38" i="105"/>
  <c r="AI109" i="22"/>
  <c r="W38" i="105"/>
  <c r="W109" i="22"/>
  <c r="AI30" i="105"/>
  <c r="AI97" i="105" s="1"/>
  <c r="AI119" i="22"/>
  <c r="AI123" i="22"/>
  <c r="Q21" i="105"/>
  <c r="Q182" i="105"/>
  <c r="Q118" i="22"/>
  <c r="L30" i="105"/>
  <c r="L119" i="22"/>
  <c r="AN40" i="105"/>
  <c r="AN131" i="22"/>
  <c r="AN135" i="22"/>
  <c r="AK40" i="105"/>
  <c r="AK131" i="22"/>
  <c r="AG22" i="105"/>
  <c r="AG129" i="22"/>
  <c r="X40" i="105"/>
  <c r="X131" i="22"/>
  <c r="R40" i="105"/>
  <c r="R131" i="22"/>
  <c r="U38" i="105"/>
  <c r="U109" i="22"/>
  <c r="AJ29" i="105"/>
  <c r="AJ96" i="105" s="1"/>
  <c r="AJ108" i="22"/>
  <c r="AJ112" i="22" s="1"/>
  <c r="Y38" i="105"/>
  <c r="Y109" i="22"/>
  <c r="AM30" i="105"/>
  <c r="AM119" i="22"/>
  <c r="W30" i="105"/>
  <c r="W97" i="105" s="1"/>
  <c r="W119" i="22"/>
  <c r="T30" i="105"/>
  <c r="T119" i="22"/>
  <c r="O39" i="105"/>
  <c r="O120" i="22"/>
  <c r="AO31" i="105"/>
  <c r="AO98" i="105"/>
  <c r="AO130" i="22"/>
  <c r="AG40" i="105"/>
  <c r="AG131" i="22"/>
  <c r="AG135" i="22" s="1"/>
  <c r="Y31" i="105"/>
  <c r="Y130" i="22"/>
  <c r="V31" i="105"/>
  <c r="V98" i="105"/>
  <c r="V130" i="22"/>
  <c r="S31" i="105"/>
  <c r="S130" i="22"/>
  <c r="L40" i="105"/>
  <c r="L131" i="22"/>
  <c r="S20" i="105"/>
  <c r="S107" i="22"/>
  <c r="M29" i="105"/>
  <c r="M108" i="22"/>
  <c r="P22" i="105"/>
  <c r="P129" i="22"/>
  <c r="AN20" i="105"/>
  <c r="AN107" i="22"/>
  <c r="Z29" i="105"/>
  <c r="Z108" i="22"/>
  <c r="Q20" i="105"/>
  <c r="Q170" i="105"/>
  <c r="Q107" i="22"/>
  <c r="L38" i="105"/>
  <c r="L109" i="22"/>
  <c r="AA30" i="105"/>
  <c r="AA119" i="22"/>
  <c r="S30" i="105"/>
  <c r="S119" i="22"/>
  <c r="P30" i="105"/>
  <c r="P119" i="22"/>
  <c r="M21" i="105"/>
  <c r="M118" i="22"/>
  <c r="AL31" i="105"/>
  <c r="AL98" i="105" s="1"/>
  <c r="AL130" i="22"/>
  <c r="AB40" i="105"/>
  <c r="AB131" i="22"/>
  <c r="U22" i="105"/>
  <c r="U129" i="22"/>
  <c r="M31" i="105"/>
  <c r="M130" i="22"/>
  <c r="Z246" i="53"/>
  <c r="X246" i="53"/>
  <c r="AA246" i="53"/>
  <c r="AB246" i="53"/>
  <c r="S86" i="23"/>
  <c r="Q99" i="53"/>
  <c r="Q116" i="53"/>
  <c r="Q504" i="53" s="1"/>
  <c r="Q78" i="83" s="1"/>
  <c r="M36" i="105"/>
  <c r="M83" i="22"/>
  <c r="AI17" i="105"/>
  <c r="AI70" i="22"/>
  <c r="AD25" i="105"/>
  <c r="AD92" i="105" s="1"/>
  <c r="AD60" i="22"/>
  <c r="L107" i="22"/>
  <c r="V118" i="22"/>
  <c r="R120" i="22"/>
  <c r="O119" i="22"/>
  <c r="W129" i="22"/>
  <c r="R130" i="22"/>
  <c r="Q131" i="22"/>
  <c r="AN16" i="105"/>
  <c r="AN59" i="22"/>
  <c r="AL34" i="105"/>
  <c r="AL132" i="105"/>
  <c r="AL61" i="22"/>
  <c r="AL19" i="105"/>
  <c r="AL96" i="22"/>
  <c r="O25" i="105"/>
  <c r="O131" i="105" s="1"/>
  <c r="O60" i="22"/>
  <c r="V19" i="105"/>
  <c r="V169" i="105" s="1"/>
  <c r="V96" i="22"/>
  <c r="O61" i="22"/>
  <c r="O59" i="22"/>
  <c r="P35" i="105"/>
  <c r="P72" i="22"/>
  <c r="N36" i="105"/>
  <c r="N83" i="22"/>
  <c r="N34" i="105"/>
  <c r="N61" i="22"/>
  <c r="AH17" i="105"/>
  <c r="AH70" i="22"/>
  <c r="AH25" i="105"/>
  <c r="AH92" i="105" s="1"/>
  <c r="AH99" i="105" s="1"/>
  <c r="AH60" i="22"/>
  <c r="AH64" i="22" s="1"/>
  <c r="AJ26" i="105"/>
  <c r="AJ93" i="105"/>
  <c r="AJ71" i="22"/>
  <c r="AF25" i="105"/>
  <c r="AF131" i="105"/>
  <c r="AF60" i="22"/>
  <c r="AM17" i="105"/>
  <c r="AM70" i="22"/>
  <c r="W25" i="105"/>
  <c r="W131" i="105" s="1"/>
  <c r="W60" i="22"/>
  <c r="AC59" i="22"/>
  <c r="AJ19" i="105"/>
  <c r="AJ96" i="22"/>
  <c r="P26" i="105"/>
  <c r="P71" i="22"/>
  <c r="AP34" i="105"/>
  <c r="AP132" i="105" s="1"/>
  <c r="AP61" i="22"/>
  <c r="AN34" i="105"/>
  <c r="AN132" i="105" s="1"/>
  <c r="AN61" i="22"/>
  <c r="AL27" i="105"/>
  <c r="AL94" i="105" s="1"/>
  <c r="AL99" i="105" s="1"/>
  <c r="AL82" i="22"/>
  <c r="AL86" i="22" s="1"/>
  <c r="AP19" i="105"/>
  <c r="AP96" i="22"/>
  <c r="AH19" i="105"/>
  <c r="AH179" i="105" s="1"/>
  <c r="AH96" i="22"/>
  <c r="AC28" i="105"/>
  <c r="AC97" i="22"/>
  <c r="L36" i="105"/>
  <c r="L132" i="105" s="1"/>
  <c r="L83" i="22"/>
  <c r="L34" i="105"/>
  <c r="L61" i="22"/>
  <c r="P16" i="105"/>
  <c r="P59" i="22"/>
  <c r="AF35" i="105"/>
  <c r="AF103" i="105"/>
  <c r="AF109" i="105" s="1"/>
  <c r="AF72" i="22"/>
  <c r="AM35" i="105"/>
  <c r="AM72" i="22"/>
  <c r="AM25" i="105"/>
  <c r="AM131" i="105" s="1"/>
  <c r="AM60" i="22"/>
  <c r="W35" i="105"/>
  <c r="W72" i="22"/>
  <c r="AC35" i="105"/>
  <c r="AC132" i="105" s="1"/>
  <c r="AC72" i="22"/>
  <c r="AN19" i="105"/>
  <c r="AN166" i="105" s="1"/>
  <c r="AN96" i="22"/>
  <c r="AD19" i="105"/>
  <c r="AD183" i="105" s="1"/>
  <c r="AD96" i="22"/>
  <c r="U28" i="105"/>
  <c r="U97" i="22"/>
  <c r="S34" i="105"/>
  <c r="S61" i="22"/>
  <c r="AP81" i="22"/>
  <c r="AN60" i="22"/>
  <c r="AN64" i="22" s="1"/>
  <c r="AF83" i="22"/>
  <c r="AF61" i="22"/>
  <c r="AL83" i="22"/>
  <c r="AL87" i="22"/>
  <c r="AL60" i="22"/>
  <c r="AM71" i="22"/>
  <c r="AM75" i="22" s="1"/>
  <c r="AM59" i="22"/>
  <c r="W61" i="22"/>
  <c r="AI82" i="22"/>
  <c r="AI60" i="22"/>
  <c r="AD83" i="22"/>
  <c r="AD70" i="22"/>
  <c r="AC83" i="22"/>
  <c r="AC71" i="22"/>
  <c r="AO97" i="22"/>
  <c r="AM97" i="22"/>
  <c r="AM101" i="22" s="1"/>
  <c r="AK97" i="22"/>
  <c r="AI97" i="22"/>
  <c r="AG97" i="22"/>
  <c r="AG101" i="22" s="1"/>
  <c r="AB19" i="105"/>
  <c r="AB96" i="22"/>
  <c r="AA28" i="105"/>
  <c r="AA97" i="22"/>
  <c r="T19" i="105"/>
  <c r="T96" i="22"/>
  <c r="S28" i="105"/>
  <c r="S97" i="22"/>
  <c r="U34" i="105"/>
  <c r="U61" i="22"/>
  <c r="AO27" i="105"/>
  <c r="AO94" i="105" s="1"/>
  <c r="AO82" i="22"/>
  <c r="AO25" i="105"/>
  <c r="AO60" i="22"/>
  <c r="AO64" i="22"/>
  <c r="AK36" i="105"/>
  <c r="AK83" i="22"/>
  <c r="AK26" i="105"/>
  <c r="AK71" i="22"/>
  <c r="Z19" i="105"/>
  <c r="Z96" i="22"/>
  <c r="Y28" i="105"/>
  <c r="Y97" i="22"/>
  <c r="Q28" i="105"/>
  <c r="Q95" i="105" s="1"/>
  <c r="Q97" i="22"/>
  <c r="M37" i="105"/>
  <c r="M98" i="22"/>
  <c r="AK16" i="105"/>
  <c r="AK166" i="105"/>
  <c r="AK59" i="22"/>
  <c r="AE18" i="105"/>
  <c r="AE81" i="22"/>
  <c r="S16" i="105"/>
  <c r="S59" i="22"/>
  <c r="T25" i="105"/>
  <c r="T60" i="22"/>
  <c r="L16" i="105"/>
  <c r="L59" i="22"/>
  <c r="AF19" i="105"/>
  <c r="AF96" i="22"/>
  <c r="AE28" i="105"/>
  <c r="AE97" i="22"/>
  <c r="AE101" i="22"/>
  <c r="X19" i="105"/>
  <c r="X154" i="105" s="1"/>
  <c r="X96" i="22"/>
  <c r="W28" i="105"/>
  <c r="W95" i="105"/>
  <c r="W97" i="22"/>
  <c r="P19" i="105"/>
  <c r="P96" i="22"/>
  <c r="AK18" i="105"/>
  <c r="AK81" i="22"/>
  <c r="V17" i="105"/>
  <c r="V70" i="22"/>
  <c r="AG36" i="105"/>
  <c r="AG132" i="105" s="1"/>
  <c r="AG83" i="22"/>
  <c r="K35" i="105"/>
  <c r="K72" i="22"/>
  <c r="O98" i="22"/>
  <c r="L98" i="22"/>
  <c r="N98" i="22"/>
  <c r="U72" i="22"/>
  <c r="U60" i="22"/>
  <c r="AB83" i="22"/>
  <c r="AB72" i="22"/>
  <c r="AB61" i="22"/>
  <c r="AA83" i="22"/>
  <c r="AA72" i="22"/>
  <c r="AA61" i="22"/>
  <c r="Z83" i="22"/>
  <c r="Z72" i="22"/>
  <c r="Z61" i="22"/>
  <c r="Y83" i="22"/>
  <c r="Y72" i="22"/>
  <c r="Y61" i="22"/>
  <c r="X83" i="22"/>
  <c r="X72" i="22"/>
  <c r="X61" i="22"/>
  <c r="AO70" i="22"/>
  <c r="AK82" i="22"/>
  <c r="AK70" i="22"/>
  <c r="V82" i="22"/>
  <c r="V60" i="22"/>
  <c r="AE82" i="22"/>
  <c r="S60" i="22"/>
  <c r="T61" i="22"/>
  <c r="T59" i="22"/>
  <c r="AG82" i="22"/>
  <c r="AG61" i="22"/>
  <c r="AG65" i="22" s="1"/>
  <c r="L82" i="22"/>
  <c r="L60" i="22"/>
  <c r="K83" i="22"/>
  <c r="K61" i="22"/>
  <c r="O29" i="31"/>
  <c r="H49" i="80" s="1"/>
  <c r="T82" i="22"/>
  <c r="T70" i="22"/>
  <c r="AP109" i="22"/>
  <c r="AO107" i="22"/>
  <c r="AM108" i="22"/>
  <c r="AL109" i="22"/>
  <c r="AK107" i="22"/>
  <c r="AI108" i="22"/>
  <c r="AH109" i="22"/>
  <c r="AG107" i="22"/>
  <c r="AE108" i="22"/>
  <c r="AD109" i="22"/>
  <c r="AD113" i="22" s="1"/>
  <c r="AC107" i="22"/>
  <c r="AA108" i="22"/>
  <c r="Z109" i="22"/>
  <c r="Y107" i="22"/>
  <c r="AN129" i="22"/>
  <c r="AJ129" i="22"/>
  <c r="AH130" i="22"/>
  <c r="AF129" i="22"/>
  <c r="X129" i="22"/>
  <c r="L129" i="22"/>
  <c r="AO108" i="22"/>
  <c r="AO112" i="22" s="1"/>
  <c r="AO114" i="22" s="1"/>
  <c r="AO33" i="41" s="1"/>
  <c r="AN109" i="22"/>
  <c r="AM107" i="22"/>
  <c r="AK108" i="22"/>
  <c r="AJ109" i="22"/>
  <c r="AI107" i="22"/>
  <c r="AG108" i="22"/>
  <c r="AF109" i="22"/>
  <c r="AF113" i="22"/>
  <c r="AE107" i="22"/>
  <c r="AC108" i="22"/>
  <c r="AC112" i="22" s="1"/>
  <c r="AB109" i="22"/>
  <c r="AA107" i="22"/>
  <c r="Y108" i="22"/>
  <c r="X109" i="22"/>
  <c r="W107" i="22"/>
  <c r="T108" i="22"/>
  <c r="S109" i="22"/>
  <c r="R107" i="22"/>
  <c r="P108" i="22"/>
  <c r="O109" i="22"/>
  <c r="N107" i="22"/>
  <c r="L108" i="22"/>
  <c r="K109" i="22"/>
  <c r="U107" i="22"/>
  <c r="AO119" i="22"/>
  <c r="AN120" i="22"/>
  <c r="AN124" i="22" s="1"/>
  <c r="AM118" i="22"/>
  <c r="AK119" i="22"/>
  <c r="AJ120" i="22"/>
  <c r="AI118" i="22"/>
  <c r="AG119" i="22"/>
  <c r="AF120" i="22"/>
  <c r="AE118" i="22"/>
  <c r="AC119" i="22"/>
  <c r="AB120" i="22"/>
  <c r="AA118" i="22"/>
  <c r="Y119" i="22"/>
  <c r="X120" i="22"/>
  <c r="W118" i="22"/>
  <c r="U119" i="22"/>
  <c r="T120" i="22"/>
  <c r="S118" i="22"/>
  <c r="Q119" i="22"/>
  <c r="P120" i="22"/>
  <c r="O118" i="22"/>
  <c r="M119" i="22"/>
  <c r="L120" i="22"/>
  <c r="K118" i="22"/>
  <c r="AP129" i="22"/>
  <c r="AN130" i="22"/>
  <c r="AM131" i="22"/>
  <c r="AL129" i="22"/>
  <c r="AJ130" i="22"/>
  <c r="AI131" i="22"/>
  <c r="AH129" i="22"/>
  <c r="AF130" i="22"/>
  <c r="AF134" i="22"/>
  <c r="AE131" i="22"/>
  <c r="AD129" i="22"/>
  <c r="AB130" i="22"/>
  <c r="AA131" i="22"/>
  <c r="Z129" i="22"/>
  <c r="X130" i="22"/>
  <c r="W131" i="22"/>
  <c r="V129" i="22"/>
  <c r="T130" i="22"/>
  <c r="S131" i="22"/>
  <c r="R129" i="22"/>
  <c r="P130" i="22"/>
  <c r="O131" i="22"/>
  <c r="N129" i="22"/>
  <c r="L130" i="22"/>
  <c r="K131" i="22"/>
  <c r="AF107" i="22"/>
  <c r="X107" i="22"/>
  <c r="Q108" i="22"/>
  <c r="O107" i="22"/>
  <c r="AP119" i="22"/>
  <c r="AO120" i="22"/>
  <c r="AN118" i="22"/>
  <c r="AL119" i="22"/>
  <c r="AK120" i="22"/>
  <c r="AK124" i="22" s="1"/>
  <c r="AJ118" i="22"/>
  <c r="AH119" i="22"/>
  <c r="AG120" i="22"/>
  <c r="AG124" i="22" s="1"/>
  <c r="AF118" i="22"/>
  <c r="AD119" i="22"/>
  <c r="AC120" i="22"/>
  <c r="AB118" i="22"/>
  <c r="Z119" i="22"/>
  <c r="Y120" i="22"/>
  <c r="X118" i="22"/>
  <c r="Y236" i="53"/>
  <c r="AA216" i="53"/>
  <c r="X216" i="53"/>
  <c r="H152" i="53"/>
  <c r="AA217" i="53" s="1"/>
  <c r="Z216" i="53"/>
  <c r="AB216" i="53"/>
  <c r="Y211" i="53"/>
  <c r="Y241" i="53"/>
  <c r="AA241" i="53"/>
  <c r="X241" i="53"/>
  <c r="H192" i="53"/>
  <c r="AB242" i="53" s="1"/>
  <c r="Y221" i="53"/>
  <c r="AA221" i="53"/>
  <c r="X221" i="53"/>
  <c r="H160" i="53"/>
  <c r="Z221" i="53"/>
  <c r="AB221" i="53"/>
  <c r="P74" i="23"/>
  <c r="P86" i="23"/>
  <c r="S74" i="23"/>
  <c r="O74" i="23"/>
  <c r="R74" i="23"/>
  <c r="R83" i="22"/>
  <c r="R61" i="22"/>
  <c r="Q82" i="22"/>
  <c r="Q70" i="22"/>
  <c r="Q60" i="22"/>
  <c r="R81" i="22"/>
  <c r="R71" i="22"/>
  <c r="Q61" i="22"/>
  <c r="P27" i="105"/>
  <c r="P131" i="105" s="1"/>
  <c r="P82" i="22"/>
  <c r="M72" i="22"/>
  <c r="O72" i="22"/>
  <c r="M82" i="22"/>
  <c r="P83" i="22"/>
  <c r="P70" i="22"/>
  <c r="P60" i="22"/>
  <c r="N72" i="22"/>
  <c r="AH81" i="22"/>
  <c r="AH71" i="22"/>
  <c r="AH59" i="22"/>
  <c r="AJ82" i="22"/>
  <c r="AJ70" i="22"/>
  <c r="AJ60" i="22"/>
  <c r="AP82" i="22"/>
  <c r="AP70" i="22"/>
  <c r="AP60" i="22"/>
  <c r="AN72" i="22"/>
  <c r="AF81" i="22"/>
  <c r="AF71" i="22"/>
  <c r="AF59" i="22"/>
  <c r="AL72" i="22"/>
  <c r="AM83" i="22"/>
  <c r="AM87" i="22" s="1"/>
  <c r="AM61" i="22"/>
  <c r="W81" i="22"/>
  <c r="W71" i="22"/>
  <c r="W59" i="22"/>
  <c r="AI81" i="22"/>
  <c r="AI71" i="22"/>
  <c r="AI59" i="22"/>
  <c r="AD72" i="22"/>
  <c r="AD16" i="105"/>
  <c r="AD130" i="105" s="1"/>
  <c r="AD58" i="82" s="1"/>
  <c r="AD59" i="22"/>
  <c r="N82" i="22"/>
  <c r="N70" i="22"/>
  <c r="N60" i="22"/>
  <c r="AJ61" i="22"/>
  <c r="AN82" i="22"/>
  <c r="AM81" i="22"/>
  <c r="AC27" i="105"/>
  <c r="AC82" i="22"/>
  <c r="AD18" i="105"/>
  <c r="AD81" i="22"/>
  <c r="AD26" i="105"/>
  <c r="AD93" i="105" s="1"/>
  <c r="AD71" i="22"/>
  <c r="AJ72" i="22"/>
  <c r="AP72" i="22"/>
  <c r="AN81" i="22"/>
  <c r="AL81" i="22"/>
  <c r="AL71" i="22"/>
  <c r="AL59" i="22"/>
  <c r="AC17" i="105"/>
  <c r="AC70" i="22"/>
  <c r="AC25" i="105"/>
  <c r="AC131" i="105" s="1"/>
  <c r="AC60" i="22"/>
  <c r="V18" i="105"/>
  <c r="V81" i="22"/>
  <c r="R96" i="22"/>
  <c r="O97" i="22"/>
  <c r="L96" i="22"/>
  <c r="K97" i="22"/>
  <c r="AB81" i="22"/>
  <c r="AB71" i="22"/>
  <c r="AB59" i="22"/>
  <c r="AA81" i="22"/>
  <c r="AA71" i="22"/>
  <c r="AA59" i="22"/>
  <c r="Z81" i="22"/>
  <c r="Z71" i="22"/>
  <c r="Z59" i="22"/>
  <c r="Y81" i="22"/>
  <c r="Y71" i="22"/>
  <c r="Y59" i="22"/>
  <c r="X81" i="22"/>
  <c r="X71" i="22"/>
  <c r="X59" i="22"/>
  <c r="AO26" i="105"/>
  <c r="AO93" i="105"/>
  <c r="AO71" i="22"/>
  <c r="V16" i="105"/>
  <c r="V59" i="22"/>
  <c r="AK35" i="105"/>
  <c r="AK132" i="105" s="1"/>
  <c r="AK72" i="22"/>
  <c r="S217" i="31"/>
  <c r="S194" i="31"/>
  <c r="S200" i="31"/>
  <c r="S199" i="31"/>
  <c r="AP97" i="22"/>
  <c r="AO96" i="22"/>
  <c r="AN97" i="22"/>
  <c r="AM96" i="22"/>
  <c r="AL97" i="22"/>
  <c r="AK96" i="22"/>
  <c r="AJ97" i="22"/>
  <c r="AI96" i="22"/>
  <c r="AH97" i="22"/>
  <c r="AG96" i="22"/>
  <c r="AF97" i="22"/>
  <c r="AE96" i="22"/>
  <c r="AD97" i="22"/>
  <c r="AC96" i="22"/>
  <c r="AB97" i="22"/>
  <c r="AA96" i="22"/>
  <c r="Z97" i="22"/>
  <c r="Y96" i="22"/>
  <c r="X97" i="22"/>
  <c r="W96" i="22"/>
  <c r="V97" i="22"/>
  <c r="U96" i="22"/>
  <c r="T97" i="22"/>
  <c r="S96" i="22"/>
  <c r="R97" i="22"/>
  <c r="Q96" i="22"/>
  <c r="P97" i="22"/>
  <c r="O96" i="22"/>
  <c r="L97" i="22"/>
  <c r="N96" i="22"/>
  <c r="M97" i="22"/>
  <c r="K96" i="22"/>
  <c r="U81" i="22"/>
  <c r="U71" i="22"/>
  <c r="U59" i="22"/>
  <c r="AB82" i="22"/>
  <c r="AB70" i="22"/>
  <c r="AB60" i="22"/>
  <c r="AA82" i="22"/>
  <c r="AA70" i="22"/>
  <c r="AA60" i="22"/>
  <c r="Z82" i="22"/>
  <c r="Z70" i="22"/>
  <c r="Z60" i="22"/>
  <c r="Y82" i="22"/>
  <c r="Y70" i="22"/>
  <c r="Y60" i="22"/>
  <c r="X82" i="22"/>
  <c r="X70" i="22"/>
  <c r="X60" i="22"/>
  <c r="AO18" i="105"/>
  <c r="AO81" i="22"/>
  <c r="AO16" i="105"/>
  <c r="AO166" i="105" s="1"/>
  <c r="AO59" i="22"/>
  <c r="AK60" i="22"/>
  <c r="V26" i="105"/>
  <c r="V71" i="22"/>
  <c r="AE60" i="22"/>
  <c r="AG81" i="22"/>
  <c r="AG71" i="22"/>
  <c r="AG59" i="22"/>
  <c r="L81" i="22"/>
  <c r="AE83" i="22"/>
  <c r="AE61" i="22"/>
  <c r="S72" i="22"/>
  <c r="T72" i="22"/>
  <c r="AG72" i="22"/>
  <c r="L72" i="22"/>
  <c r="K82" i="22"/>
  <c r="K70" i="22"/>
  <c r="K60" i="22"/>
  <c r="AH178" i="105"/>
  <c r="AH166" i="105"/>
  <c r="AJ170" i="105"/>
  <c r="AJ166" i="105"/>
  <c r="AJ168" i="105"/>
  <c r="AJ183" i="105"/>
  <c r="AJ182" i="105"/>
  <c r="AJ181" i="105"/>
  <c r="AJ180" i="105"/>
  <c r="AJ177" i="105"/>
  <c r="AJ171" i="105"/>
  <c r="AJ167" i="105"/>
  <c r="V172" i="105"/>
  <c r="V168" i="105"/>
  <c r="Q181" i="105"/>
  <c r="AD172" i="105"/>
  <c r="AD167" i="105"/>
  <c r="AF170" i="105"/>
  <c r="AF166" i="105"/>
  <c r="AF169" i="105"/>
  <c r="AF172" i="105"/>
  <c r="AF168" i="105"/>
  <c r="AF167" i="105"/>
  <c r="AF183" i="105"/>
  <c r="AF182" i="105"/>
  <c r="AF181" i="105"/>
  <c r="AF180" i="105"/>
  <c r="AF179" i="105"/>
  <c r="AF178" i="105"/>
  <c r="AF177" i="105"/>
  <c r="AF171" i="105"/>
  <c r="AN170" i="105"/>
  <c r="AN169" i="105"/>
  <c r="AN183" i="105"/>
  <c r="AN179" i="105"/>
  <c r="AN171" i="105"/>
  <c r="AN167" i="105"/>
  <c r="AL168" i="105"/>
  <c r="AL171" i="105"/>
  <c r="Q171" i="105"/>
  <c r="AP172" i="105"/>
  <c r="AP168" i="105"/>
  <c r="AP183" i="105"/>
  <c r="AP182" i="105"/>
  <c r="AP181" i="105"/>
  <c r="AP180" i="105"/>
  <c r="AP179" i="105"/>
  <c r="AP178" i="105"/>
  <c r="AP184" i="105" s="1"/>
  <c r="AP177" i="105"/>
  <c r="AP171" i="105"/>
  <c r="AP167" i="105"/>
  <c r="AP170" i="105"/>
  <c r="AP166" i="105"/>
  <c r="AP169" i="105"/>
  <c r="Q168" i="105"/>
  <c r="AN130" i="105"/>
  <c r="AI154" i="105"/>
  <c r="AH131" i="105"/>
  <c r="AH109" i="105"/>
  <c r="AH126" i="105"/>
  <c r="AJ131" i="105"/>
  <c r="Q131" i="105"/>
  <c r="AL131" i="105"/>
  <c r="AO131" i="105"/>
  <c r="AF132" i="105"/>
  <c r="AF154" i="105"/>
  <c r="AF156" i="105" s="1"/>
  <c r="AN154" i="105"/>
  <c r="AN156" i="105" s="1"/>
  <c r="AF126" i="105"/>
  <c r="AO92" i="105"/>
  <c r="AF92" i="105"/>
  <c r="AF99" i="105" s="1"/>
  <c r="R92" i="105"/>
  <c r="AM92" i="105"/>
  <c r="AM99" i="105" s="1"/>
  <c r="AN102" i="105"/>
  <c r="AP102" i="105"/>
  <c r="W92" i="105"/>
  <c r="AL102" i="105"/>
  <c r="AN108" i="105"/>
  <c r="AK93" i="105"/>
  <c r="AJ104" i="105"/>
  <c r="R108" i="105"/>
  <c r="R126" i="105"/>
  <c r="AM97" i="105"/>
  <c r="AH94" i="105"/>
  <c r="T118" i="53"/>
  <c r="N118" i="53"/>
  <c r="AJ99" i="105"/>
  <c r="AL259" i="53"/>
  <c r="L21" i="31"/>
  <c r="L23" i="31" s="1"/>
  <c r="M20" i="31"/>
  <c r="M21" i="31" s="1"/>
  <c r="AL281" i="53"/>
  <c r="AL270" i="53"/>
  <c r="H105" i="87"/>
  <c r="H104" i="87"/>
  <c r="AI65" i="22"/>
  <c r="AC76" i="22"/>
  <c r="AL75" i="22"/>
  <c r="AL77" i="22" s="1"/>
  <c r="AL30" i="41" s="1"/>
  <c r="AI75" i="22"/>
  <c r="AL76" i="22"/>
  <c r="X222" i="53"/>
  <c r="Z222" i="53"/>
  <c r="AB222" i="53"/>
  <c r="Y222" i="53"/>
  <c r="AA222" i="53"/>
  <c r="AC64" i="22"/>
  <c r="AN76" i="22"/>
  <c r="AM103" i="22"/>
  <c r="AM16" i="111" s="1"/>
  <c r="AM27" i="111" s="1"/>
  <c r="AM33" i="111" s="1"/>
  <c r="AD75" i="22"/>
  <c r="AN86" i="22"/>
  <c r="AP64" i="22"/>
  <c r="Y217" i="53"/>
  <c r="AH123" i="22"/>
  <c r="AH125" i="22" s="1"/>
  <c r="AH189" i="80" s="1"/>
  <c r="AM135" i="22"/>
  <c r="AP113" i="22"/>
  <c r="AP101" i="22"/>
  <c r="X242" i="53"/>
  <c r="Z242" i="53"/>
  <c r="AK123" i="22"/>
  <c r="AG76" i="22"/>
  <c r="AJ86" i="22"/>
  <c r="AD123" i="22"/>
  <c r="AD125" i="22" s="1"/>
  <c r="AD34" i="41" s="1"/>
  <c r="AD149" i="41" s="1"/>
  <c r="AI135" i="22"/>
  <c r="AL113" i="22"/>
  <c r="AL109" i="105"/>
  <c r="AL126" i="105"/>
  <c r="AN125" i="105"/>
  <c r="V125" i="105"/>
  <c r="AM125" i="105"/>
  <c r="AJ109" i="105"/>
  <c r="AJ126" i="105"/>
  <c r="AP125" i="105"/>
  <c r="AL125" i="105"/>
  <c r="Q125" i="105"/>
  <c r="AI125" i="105"/>
  <c r="AJ125" i="105"/>
  <c r="AP126" i="105"/>
  <c r="AN109" i="105"/>
  <c r="AN126" i="105"/>
  <c r="R125" i="105"/>
  <c r="AK125" i="105"/>
  <c r="AF125" i="105"/>
  <c r="AF184" i="105"/>
  <c r="W125" i="105"/>
  <c r="AO125" i="105"/>
  <c r="AH125" i="105"/>
  <c r="AD125" i="105"/>
  <c r="AO30" i="74"/>
  <c r="AO75" i="74" s="1"/>
  <c r="AN30" i="74"/>
  <c r="AN75" i="74"/>
  <c r="AO29" i="74"/>
  <c r="AO74" i="74" s="1"/>
  <c r="AF30" i="74"/>
  <c r="AF75" i="74" s="1"/>
  <c r="AH29" i="74"/>
  <c r="AH74" i="74"/>
  <c r="AG28" i="74"/>
  <c r="AG73" i="74"/>
  <c r="AK27" i="74"/>
  <c r="AK72" i="74" s="1"/>
  <c r="AO28" i="74"/>
  <c r="AO73" i="74" s="1"/>
  <c r="AL29" i="74"/>
  <c r="AL74" i="74"/>
  <c r="AM27" i="74"/>
  <c r="AM72" i="74"/>
  <c r="AF29" i="74"/>
  <c r="AF74" i="74" s="1"/>
  <c r="AD31" i="74"/>
  <c r="AD76" i="74" s="1"/>
  <c r="AE27" i="74"/>
  <c r="AE72" i="74"/>
  <c r="AK29" i="74"/>
  <c r="AK74" i="74"/>
  <c r="AP27" i="74"/>
  <c r="AP72" i="74" s="1"/>
  <c r="AE29" i="74"/>
  <c r="AE74" i="74" s="1"/>
  <c r="AP28" i="74"/>
  <c r="AP73" i="74"/>
  <c r="AI31" i="74"/>
  <c r="AI76" i="74"/>
  <c r="AH28" i="74"/>
  <c r="AH73" i="74" s="1"/>
  <c r="AK28" i="74"/>
  <c r="AK73" i="74" s="1"/>
  <c r="AI27" i="74"/>
  <c r="AI72" i="74" s="1"/>
  <c r="AL27" i="74"/>
  <c r="AL72" i="74" s="1"/>
  <c r="AK31" i="74"/>
  <c r="AK76" i="74" s="1"/>
  <c r="AL28" i="74"/>
  <c r="AL73" i="74"/>
  <c r="AH27" i="74"/>
  <c r="AH72" i="74" s="1"/>
  <c r="AF28" i="74"/>
  <c r="AF73" i="74"/>
  <c r="AF31" i="74"/>
  <c r="AF76" i="74" s="1"/>
  <c r="AI28" i="74"/>
  <c r="AI73" i="74" s="1"/>
  <c r="AM28" i="74"/>
  <c r="AM73" i="74" s="1"/>
  <c r="AN31" i="74"/>
  <c r="AN76" i="74"/>
  <c r="AM31" i="74"/>
  <c r="AM76" i="74" s="1"/>
  <c r="AJ29" i="74"/>
  <c r="AJ74" i="74" s="1"/>
  <c r="AD28" i="74"/>
  <c r="AD73" i="74" s="1"/>
  <c r="AM29" i="74"/>
  <c r="AM74" i="74"/>
  <c r="AN29" i="74"/>
  <c r="AN74" i="74" s="1"/>
  <c r="AC27" i="74"/>
  <c r="AC72" i="74"/>
  <c r="AG29" i="74"/>
  <c r="AG74" i="74"/>
  <c r="AH31" i="74"/>
  <c r="AH76" i="74"/>
  <c r="AD29" i="74"/>
  <c r="AD74" i="74" s="1"/>
  <c r="AE31" i="74"/>
  <c r="AE76" i="74"/>
  <c r="AJ27" i="74"/>
  <c r="AJ72" i="74"/>
  <c r="AC29" i="74"/>
  <c r="AC74" i="74"/>
  <c r="AD27" i="74"/>
  <c r="AD72" i="74" s="1"/>
  <c r="AL31" i="74"/>
  <c r="AL76" i="74"/>
  <c r="AC28" i="74"/>
  <c r="AC73" i="74"/>
  <c r="AN27" i="74"/>
  <c r="AN72" i="74"/>
  <c r="AO27" i="74"/>
  <c r="AO72" i="74" s="1"/>
  <c r="AP31" i="74"/>
  <c r="AP76" i="74"/>
  <c r="AP29" i="74"/>
  <c r="AP74" i="74"/>
  <c r="AF27" i="74"/>
  <c r="AF72" i="74"/>
  <c r="AG31" i="74"/>
  <c r="AG76" i="74" s="1"/>
  <c r="AJ28" i="74"/>
  <c r="AJ73" i="74"/>
  <c r="AJ31" i="74"/>
  <c r="AJ76" i="74" s="1"/>
  <c r="AO31" i="74"/>
  <c r="AO76" i="74" s="1"/>
  <c r="AC31" i="74"/>
  <c r="AC76" i="74" s="1"/>
  <c r="AI29" i="74"/>
  <c r="AI74" i="74" s="1"/>
  <c r="AG27" i="74"/>
  <c r="AG72" i="74" s="1"/>
  <c r="AN28" i="74"/>
  <c r="AN73" i="74"/>
  <c r="AE28" i="74"/>
  <c r="AE73" i="74" s="1"/>
  <c r="AJ30" i="74"/>
  <c r="AJ75" i="74" s="1"/>
  <c r="AD30" i="74"/>
  <c r="AD75" i="74" s="1"/>
  <c r="AK30" i="74"/>
  <c r="AK75" i="74" s="1"/>
  <c r="AH30" i="74"/>
  <c r="AH75" i="74" s="1"/>
  <c r="AC30" i="74"/>
  <c r="AC75" i="74" s="1"/>
  <c r="AE30" i="74"/>
  <c r="AE75" i="74"/>
  <c r="AG30" i="74"/>
  <c r="AG75" i="74"/>
  <c r="AL30" i="74"/>
  <c r="AL75" i="74" s="1"/>
  <c r="AM30" i="74"/>
  <c r="AM75" i="74" s="1"/>
  <c r="AP30" i="74"/>
  <c r="AP75" i="74"/>
  <c r="AI30" i="74"/>
  <c r="AI75" i="74" s="1"/>
  <c r="H100" i="87" a="1"/>
  <c r="H100" i="87" s="1"/>
  <c r="AC39" i="74"/>
  <c r="AC84" i="74" s="1"/>
  <c r="AN39" i="74"/>
  <c r="AN84" i="74" s="1"/>
  <c r="AK39" i="74"/>
  <c r="AK84" i="74"/>
  <c r="AL32" i="74"/>
  <c r="AL77" i="74" s="1"/>
  <c r="AN32" i="74"/>
  <c r="AN77" i="74" s="1"/>
  <c r="AP39" i="74"/>
  <c r="AP84" i="74"/>
  <c r="AG39" i="74"/>
  <c r="AG84" i="74"/>
  <c r="AO32" i="74"/>
  <c r="AO77" i="74" s="1"/>
  <c r="AE32" i="74"/>
  <c r="AE77" i="74" s="1"/>
  <c r="AF32" i="74"/>
  <c r="AF77" i="74" s="1"/>
  <c r="AI39" i="74"/>
  <c r="AI84" i="74" s="1"/>
  <c r="AM39" i="74"/>
  <c r="AM84" i="74"/>
  <c r="AF39" i="74"/>
  <c r="AF84" i="74" s="1"/>
  <c r="AH39" i="74"/>
  <c r="AH84" i="74"/>
  <c r="AI32" i="74"/>
  <c r="AI77" i="74"/>
  <c r="AP32" i="74"/>
  <c r="AP77" i="74"/>
  <c r="AK32" i="74"/>
  <c r="AK77" i="74" s="1"/>
  <c r="AD32" i="74"/>
  <c r="AD77" i="74" s="1"/>
  <c r="AG32" i="74"/>
  <c r="AG77" i="74" s="1"/>
  <c r="AC32" i="74"/>
  <c r="AC77" i="74"/>
  <c r="AM32" i="74"/>
  <c r="AM77" i="74" s="1"/>
  <c r="AE39" i="74"/>
  <c r="AE84" i="74" s="1"/>
  <c r="AJ39" i="74"/>
  <c r="AJ84" i="74" s="1"/>
  <c r="AD39" i="74"/>
  <c r="AD84" i="74" s="1"/>
  <c r="AO39" i="74"/>
  <c r="AO84" i="74" s="1"/>
  <c r="AL39" i="74"/>
  <c r="AL84" i="74"/>
  <c r="AH32" i="74"/>
  <c r="AH77" i="74" s="1"/>
  <c r="AJ32" i="74"/>
  <c r="AJ77" i="74"/>
  <c r="AI45" i="74"/>
  <c r="AI90" i="74" s="1"/>
  <c r="AH45" i="74"/>
  <c r="AH90" i="74" s="1"/>
  <c r="AD45" i="74"/>
  <c r="AD90" i="74"/>
  <c r="AD43" i="74"/>
  <c r="AD88" i="74"/>
  <c r="AG43" i="74"/>
  <c r="AG88" i="74" s="1"/>
  <c r="AL43" i="74"/>
  <c r="AL88" i="74" s="1"/>
  <c r="AP43" i="74"/>
  <c r="AP88" i="74"/>
  <c r="AM45" i="74"/>
  <c r="AM90" i="74"/>
  <c r="AJ45" i="74"/>
  <c r="AJ90" i="74" s="1"/>
  <c r="AO45" i="74"/>
  <c r="AO90" i="74" s="1"/>
  <c r="AE43" i="74"/>
  <c r="AE88" i="74"/>
  <c r="AI43" i="74"/>
  <c r="AI88" i="74"/>
  <c r="AF43" i="74"/>
  <c r="AF88" i="74" s="1"/>
  <c r="AK43" i="74"/>
  <c r="AK88" i="74" s="1"/>
  <c r="AG45" i="74"/>
  <c r="AG90" i="74"/>
  <c r="AP45" i="74"/>
  <c r="AP90" i="74" s="1"/>
  <c r="AE45" i="74"/>
  <c r="AE90" i="74" s="1"/>
  <c r="AK45" i="74"/>
  <c r="AK90" i="74"/>
  <c r="AF45" i="74"/>
  <c r="AF90" i="74"/>
  <c r="AC43" i="74"/>
  <c r="AC88" i="74" s="1"/>
  <c r="AM43" i="74"/>
  <c r="AM88" i="74" s="1"/>
  <c r="AH43" i="74"/>
  <c r="AH88" i="74" s="1"/>
  <c r="AO43" i="74"/>
  <c r="AO88" i="74" s="1"/>
  <c r="AN43" i="74"/>
  <c r="AN88" i="74"/>
  <c r="AN45" i="74"/>
  <c r="AN90" i="74" s="1"/>
  <c r="AL45" i="74"/>
  <c r="AL90" i="74" s="1"/>
  <c r="AC45" i="74"/>
  <c r="AC90" i="74" s="1"/>
  <c r="AJ43" i="74"/>
  <c r="AJ88" i="74" s="1"/>
  <c r="AD33" i="74"/>
  <c r="AD78" i="74"/>
  <c r="AI33" i="74"/>
  <c r="AI78" i="74" s="1"/>
  <c r="AE33" i="74"/>
  <c r="AE78" i="74" s="1"/>
  <c r="AK33" i="74"/>
  <c r="AK78" i="74" s="1"/>
  <c r="AF33" i="74"/>
  <c r="AF78" i="74" s="1"/>
  <c r="AM33" i="74"/>
  <c r="AM78" i="74" s="1"/>
  <c r="AO33" i="74"/>
  <c r="AO78" i="74" s="1"/>
  <c r="AC33" i="74"/>
  <c r="AC78" i="74" s="1"/>
  <c r="AL33" i="74"/>
  <c r="AL78" i="74" s="1"/>
  <c r="AG33" i="74"/>
  <c r="AG78" i="74" s="1"/>
  <c r="AN33" i="74"/>
  <c r="AN78" i="74" s="1"/>
  <c r="AJ33" i="74"/>
  <c r="AJ78" i="74" s="1"/>
  <c r="AH33" i="74"/>
  <c r="AH78" i="74" s="1"/>
  <c r="AP33" i="74"/>
  <c r="AP78" i="74" s="1"/>
  <c r="AF42" i="74"/>
  <c r="AF87" i="74" s="1"/>
  <c r="AE42" i="74"/>
  <c r="AE87" i="74" s="1"/>
  <c r="AP41" i="74"/>
  <c r="AP86" i="74"/>
  <c r="AJ41" i="74"/>
  <c r="AJ86" i="74" s="1"/>
  <c r="AE41" i="74"/>
  <c r="AE86" i="74" s="1"/>
  <c r="AC41" i="74"/>
  <c r="AC86" i="74" s="1"/>
  <c r="AM41" i="74"/>
  <c r="AM86" i="74" s="1"/>
  <c r="AF41" i="74"/>
  <c r="AF86" i="74" s="1"/>
  <c r="AF40" i="74"/>
  <c r="AF85" i="74" s="1"/>
  <c r="AD40" i="74"/>
  <c r="AD85" i="74" s="1"/>
  <c r="AH40" i="74"/>
  <c r="AH85" i="74"/>
  <c r="AF44" i="74"/>
  <c r="AF89" i="74" s="1"/>
  <c r="AL44" i="74"/>
  <c r="AL89" i="74" s="1"/>
  <c r="AP44" i="74"/>
  <c r="AP89" i="74"/>
  <c r="AG42" i="74"/>
  <c r="AG87" i="74" s="1"/>
  <c r="AN42" i="74"/>
  <c r="AN87" i="74" s="1"/>
  <c r="AD42" i="74"/>
  <c r="AD87" i="74" s="1"/>
  <c r="AI42" i="74"/>
  <c r="AI87" i="74" s="1"/>
  <c r="AC40" i="74"/>
  <c r="AC85" i="74" s="1"/>
  <c r="AI40" i="74"/>
  <c r="AI85" i="74" s="1"/>
  <c r="AO40" i="74"/>
  <c r="AO85" i="74" s="1"/>
  <c r="AD44" i="74"/>
  <c r="AD89" i="74" s="1"/>
  <c r="AE44" i="74"/>
  <c r="AE89" i="74" s="1"/>
  <c r="AM42" i="74"/>
  <c r="AM87" i="74" s="1"/>
  <c r="AO42" i="74"/>
  <c r="AO87" i="74" s="1"/>
  <c r="AL41" i="74"/>
  <c r="AL86" i="74" s="1"/>
  <c r="AO41" i="74"/>
  <c r="AO86" i="74" s="1"/>
  <c r="AD41" i="74"/>
  <c r="AD86" i="74" s="1"/>
  <c r="AE40" i="74"/>
  <c r="AE85" i="74" s="1"/>
  <c r="AP40" i="74"/>
  <c r="AP85" i="74" s="1"/>
  <c r="AN40" i="74"/>
  <c r="AN85" i="74" s="1"/>
  <c r="AG40" i="74"/>
  <c r="AG85" i="74" s="1"/>
  <c r="AJ40" i="74"/>
  <c r="AJ85" i="74" s="1"/>
  <c r="AM40" i="74"/>
  <c r="AM85" i="74" s="1"/>
  <c r="AN44" i="74"/>
  <c r="AN89" i="74"/>
  <c r="AI44" i="74"/>
  <c r="AI89" i="74" s="1"/>
  <c r="AJ44" i="74"/>
  <c r="AJ89" i="74" s="1"/>
  <c r="AO44" i="74"/>
  <c r="AO89" i="74"/>
  <c r="AJ42" i="74"/>
  <c r="AJ87" i="74" s="1"/>
  <c r="AC42" i="74"/>
  <c r="AC87" i="74" s="1"/>
  <c r="AP42" i="74"/>
  <c r="AP87" i="74" s="1"/>
  <c r="AL42" i="74"/>
  <c r="AL87" i="74" s="1"/>
  <c r="AH42" i="74"/>
  <c r="AH87" i="74" s="1"/>
  <c r="AK42" i="74"/>
  <c r="AK87" i="74" s="1"/>
  <c r="AI41" i="74"/>
  <c r="AI86" i="74" s="1"/>
  <c r="AK41" i="74"/>
  <c r="AK86" i="74"/>
  <c r="AH41" i="74"/>
  <c r="AH86" i="74" s="1"/>
  <c r="AG41" i="74"/>
  <c r="AG86" i="74" s="1"/>
  <c r="AN41" i="74"/>
  <c r="AN86" i="74" s="1"/>
  <c r="AK40" i="74"/>
  <c r="AK85" i="74" s="1"/>
  <c r="AL40" i="74"/>
  <c r="AL85" i="74"/>
  <c r="AC44" i="74"/>
  <c r="AC89" i="74" s="1"/>
  <c r="AH44" i="74"/>
  <c r="AH89" i="74" s="1"/>
  <c r="AK44" i="74"/>
  <c r="AK89" i="74" s="1"/>
  <c r="AG44" i="74"/>
  <c r="AG89" i="74" s="1"/>
  <c r="AM44" i="74"/>
  <c r="AM89" i="74" s="1"/>
  <c r="AE46" i="74"/>
  <c r="AE91" i="74" s="1"/>
  <c r="AM46" i="74"/>
  <c r="AM91" i="74" s="1"/>
  <c r="AO46" i="74"/>
  <c r="AO91" i="74" s="1"/>
  <c r="AC46" i="74"/>
  <c r="AC91" i="74" s="1"/>
  <c r="AD46" i="74"/>
  <c r="AD91" i="74" s="1"/>
  <c r="AG46" i="74"/>
  <c r="AG91" i="74" s="1"/>
  <c r="AH46" i="74"/>
  <c r="AH91" i="74" s="1"/>
  <c r="AI46" i="74"/>
  <c r="AI91" i="74"/>
  <c r="AN46" i="74"/>
  <c r="AN91" i="74" s="1"/>
  <c r="AL46" i="74"/>
  <c r="AL91" i="74" s="1"/>
  <c r="AF46" i="74"/>
  <c r="AF91" i="74" s="1"/>
  <c r="AJ46" i="74"/>
  <c r="AJ91" i="74" s="1"/>
  <c r="AK46" i="74"/>
  <c r="AK91" i="74" s="1"/>
  <c r="AP46" i="74"/>
  <c r="AP91" i="74" s="1"/>
  <c r="AH47" i="74"/>
  <c r="AH92" i="74" s="1"/>
  <c r="AJ47" i="74"/>
  <c r="AJ92" i="74" s="1"/>
  <c r="AO47" i="74"/>
  <c r="AO92" i="74" s="1"/>
  <c r="AN47" i="74"/>
  <c r="AN92" i="74" s="1"/>
  <c r="AD47" i="74"/>
  <c r="AD92" i="74" s="1"/>
  <c r="AL47" i="74"/>
  <c r="AL92" i="74" s="1"/>
  <c r="AC47" i="74"/>
  <c r="AC92" i="74" s="1"/>
  <c r="AM47" i="74"/>
  <c r="AM92" i="74" s="1"/>
  <c r="AI47" i="74"/>
  <c r="AI92" i="74" s="1"/>
  <c r="AP47" i="74"/>
  <c r="AP92" i="74" s="1"/>
  <c r="AK47" i="74"/>
  <c r="AK92" i="74" s="1"/>
  <c r="AF47" i="74"/>
  <c r="AF92" i="74" s="1"/>
  <c r="AE47" i="74"/>
  <c r="AE92" i="74" s="1"/>
  <c r="AG47" i="74"/>
  <c r="AG92" i="74"/>
  <c r="AK25" i="41"/>
  <c r="AP25" i="41"/>
  <c r="AP25" i="65" s="1"/>
  <c r="AP83" i="65" s="1"/>
  <c r="AP94" i="65" s="1"/>
  <c r="AP50" i="105" s="1"/>
  <c r="AP87" i="105" s="1"/>
  <c r="AM25" i="41"/>
  <c r="AD25" i="41"/>
  <c r="AH34" i="74"/>
  <c r="AH79" i="74" s="1"/>
  <c r="AN25" i="41"/>
  <c r="AN25" i="65" s="1"/>
  <c r="AN83" i="65" s="1"/>
  <c r="AN94" i="65" s="1"/>
  <c r="AN50" i="105" s="1"/>
  <c r="AN87" i="105" s="1"/>
  <c r="AC25" i="41"/>
  <c r="AL25" i="41"/>
  <c r="AJ25" i="41"/>
  <c r="AH25" i="41"/>
  <c r="AF25" i="41"/>
  <c r="AE25" i="41"/>
  <c r="AE34" i="74"/>
  <c r="AE79" i="74" s="1"/>
  <c r="AD34" i="74"/>
  <c r="AD79" i="74" s="1"/>
  <c r="AO25" i="41"/>
  <c r="AO25" i="65" s="1"/>
  <c r="AO83" i="65" s="1"/>
  <c r="AL34" i="74"/>
  <c r="AL79" i="74"/>
  <c r="AC34" i="74"/>
  <c r="AC79" i="74" s="1"/>
  <c r="AI25" i="41"/>
  <c r="AG25" i="41"/>
  <c r="AI34" i="74"/>
  <c r="AI79" i="74" s="1"/>
  <c r="AM34" i="74"/>
  <c r="AM79" i="74" s="1"/>
  <c r="AM25" i="65"/>
  <c r="AM83" i="65"/>
  <c r="AM94" i="65" s="1"/>
  <c r="AN34" i="74"/>
  <c r="AN79" i="74"/>
  <c r="AG34" i="74"/>
  <c r="AG79" i="74" s="1"/>
  <c r="AP34" i="74"/>
  <c r="AP79" i="74" s="1"/>
  <c r="AH25" i="65"/>
  <c r="AH83" i="65" s="1"/>
  <c r="AH94" i="65" s="1"/>
  <c r="AH50" i="105" s="1"/>
  <c r="AH87" i="105" s="1"/>
  <c r="AI25" i="65"/>
  <c r="AI83" i="65" s="1"/>
  <c r="AI94" i="65" s="1"/>
  <c r="AJ34" i="74"/>
  <c r="AJ79" i="74"/>
  <c r="AJ25" i="65"/>
  <c r="AJ83" i="65" s="1"/>
  <c r="AJ94" i="65" s="1"/>
  <c r="AJ50" i="105" s="1"/>
  <c r="AJ87" i="105" s="1"/>
  <c r="AK34" i="74"/>
  <c r="AK79" i="74"/>
  <c r="AF34" i="74"/>
  <c r="AF79" i="74" s="1"/>
  <c r="AO94" i="65"/>
  <c r="AO34" i="74"/>
  <c r="AO79" i="74" s="1"/>
  <c r="AK182" i="105"/>
  <c r="AI48" i="74"/>
  <c r="AI93" i="74" s="1"/>
  <c r="AI24" i="41"/>
  <c r="AN48" i="74"/>
  <c r="AN93" i="74" s="1"/>
  <c r="AN24" i="41"/>
  <c r="AF48" i="74"/>
  <c r="AF93" i="74" s="1"/>
  <c r="AF24" i="41"/>
  <c r="AM48" i="74"/>
  <c r="AM93" i="74"/>
  <c r="AM24" i="41"/>
  <c r="AL48" i="74"/>
  <c r="AL93" i="74" s="1"/>
  <c r="AL24" i="41"/>
  <c r="AO24" i="41"/>
  <c r="AO48" i="74"/>
  <c r="AO93" i="74" s="1"/>
  <c r="AG24" i="41"/>
  <c r="AG48" i="74"/>
  <c r="AG93" i="74"/>
  <c r="AP24" i="41"/>
  <c r="AP48" i="74"/>
  <c r="AP93" i="74" s="1"/>
  <c r="AD48" i="74"/>
  <c r="AD93" i="74" s="1"/>
  <c r="AD24" i="41"/>
  <c r="AC48" i="74"/>
  <c r="AC93" i="74"/>
  <c r="AC24" i="41"/>
  <c r="AC24" i="65" s="1"/>
  <c r="AC82" i="65" s="1"/>
  <c r="AC93" i="65" s="1"/>
  <c r="AK24" i="41"/>
  <c r="AK48" i="74"/>
  <c r="AK93" i="74" s="1"/>
  <c r="AE24" i="41"/>
  <c r="AE48" i="74"/>
  <c r="AE93" i="74" s="1"/>
  <c r="AJ24" i="41"/>
  <c r="AJ24" i="65" s="1"/>
  <c r="AJ48" i="74"/>
  <c r="AJ93" i="74"/>
  <c r="AH24" i="41"/>
  <c r="AH48" i="74"/>
  <c r="AH93" i="74" s="1"/>
  <c r="AM24" i="65"/>
  <c r="AM82" i="65" s="1"/>
  <c r="AM93" i="65" s="1"/>
  <c r="AD24" i="65"/>
  <c r="AD82" i="65" s="1"/>
  <c r="AD93" i="65" s="1"/>
  <c r="AP24" i="65"/>
  <c r="AP82" i="65" s="1"/>
  <c r="AP93" i="65" s="1"/>
  <c r="AP49" i="105" s="1"/>
  <c r="AP86" i="105" s="1"/>
  <c r="AO24" i="65"/>
  <c r="AO82" i="65" s="1"/>
  <c r="AO93" i="65" s="1"/>
  <c r="AE24" i="65"/>
  <c r="AE82" i="65" s="1"/>
  <c r="AE93" i="65" s="1"/>
  <c r="AE49" i="105" s="1"/>
  <c r="AE86" i="105" s="1"/>
  <c r="AH24" i="65"/>
  <c r="AH82" i="65"/>
  <c r="AH93" i="65"/>
  <c r="AH49" i="105" s="1"/>
  <c r="AH86" i="105" s="1"/>
  <c r="AJ82" i="65"/>
  <c r="AJ93" i="65" s="1"/>
  <c r="AJ49" i="105" s="1"/>
  <c r="AJ86" i="105" s="1"/>
  <c r="AL24" i="65"/>
  <c r="AL82" i="65" s="1"/>
  <c r="AL93" i="65" s="1"/>
  <c r="AL49" i="105" s="1"/>
  <c r="AL86" i="105" s="1"/>
  <c r="AF24" i="65"/>
  <c r="AF82" i="65" s="1"/>
  <c r="AF93" i="65" s="1"/>
  <c r="AF49" i="105" s="1"/>
  <c r="AF86" i="105" s="1"/>
  <c r="K76" i="81"/>
  <c r="K108" i="81"/>
  <c r="AK181" i="105"/>
  <c r="Z157" i="74"/>
  <c r="Y156" i="74"/>
  <c r="AB156" i="74"/>
  <c r="Z156" i="74"/>
  <c r="AA157" i="74"/>
  <c r="AB157" i="74"/>
  <c r="AA156" i="74"/>
  <c r="Y157" i="74"/>
  <c r="X157" i="74"/>
  <c r="X156" i="74"/>
  <c r="AK183" i="105"/>
  <c r="AK179" i="105"/>
  <c r="AK178" i="105"/>
  <c r="AK180" i="105"/>
  <c r="AK177" i="105"/>
  <c r="AD126" i="105"/>
  <c r="AN124" i="105"/>
  <c r="AF124" i="105"/>
  <c r="AF190" i="105" s="1"/>
  <c r="AP124" i="105"/>
  <c r="AP190" i="105" s="1"/>
  <c r="AJ124" i="105"/>
  <c r="AJ190" i="105" s="1"/>
  <c r="AL124" i="105"/>
  <c r="AL191" i="105" s="1"/>
  <c r="AH124" i="105"/>
  <c r="AH191" i="105" s="1"/>
  <c r="AI126" i="105"/>
  <c r="AK130" i="105"/>
  <c r="AH58" i="82" s="1"/>
  <c r="AC126" i="105"/>
  <c r="AD124" i="105"/>
  <c r="AD191" i="105" s="1"/>
  <c r="AD69" i="82" s="1"/>
  <c r="AO126" i="105"/>
  <c r="AM126" i="105"/>
  <c r="AK124" i="105"/>
  <c r="AK191" i="105" s="1"/>
  <c r="AH69" i="82" s="1"/>
  <c r="AG126" i="105"/>
  <c r="AC125" i="105"/>
  <c r="AE125" i="105"/>
  <c r="AG125" i="105"/>
  <c r="AE132" i="105"/>
  <c r="AE126" i="105"/>
  <c r="Z126" i="105"/>
  <c r="O125" i="105"/>
  <c r="L126" i="105"/>
  <c r="Z125" i="105"/>
  <c r="L125" i="105"/>
  <c r="O126" i="105"/>
  <c r="AA126" i="105"/>
  <c r="X126" i="105"/>
  <c r="Y125" i="105"/>
  <c r="AA125" i="105"/>
  <c r="X125" i="105"/>
  <c r="S125" i="105"/>
  <c r="Q130" i="105"/>
  <c r="Q58" i="82" s="1"/>
  <c r="P126" i="105"/>
  <c r="Q124" i="105"/>
  <c r="Q190" i="105" s="1"/>
  <c r="N132" i="105"/>
  <c r="AB125" i="105"/>
  <c r="T125" i="105"/>
  <c r="T126" i="105"/>
  <c r="Y131" i="105"/>
  <c r="AB126" i="105"/>
  <c r="Z132" i="105"/>
  <c r="W126" i="105"/>
  <c r="X132" i="105"/>
  <c r="X131" i="105"/>
  <c r="N125" i="105"/>
  <c r="N126" i="105"/>
  <c r="T132" i="105"/>
  <c r="W132" i="105"/>
  <c r="M23" i="31" l="1"/>
  <c r="P22" i="31"/>
  <c r="P23" i="31" s="1"/>
  <c r="N20" i="31"/>
  <c r="N21" i="31" s="1"/>
  <c r="N23" i="31" s="1"/>
  <c r="AE64" i="22"/>
  <c r="AH101" i="22"/>
  <c r="AG75" i="22"/>
  <c r="AH65" i="22"/>
  <c r="AK86" i="22"/>
  <c r="AH66" i="22"/>
  <c r="AN49" i="65"/>
  <c r="AH76" i="22"/>
  <c r="AE87" i="22"/>
  <c r="AD76" i="22"/>
  <c r="AE135" i="22"/>
  <c r="AK87" i="22"/>
  <c r="AC101" i="22"/>
  <c r="AC103" i="22" s="1"/>
  <c r="AF64" i="22"/>
  <c r="AE124" i="22"/>
  <c r="AG123" i="22"/>
  <c r="AM112" i="22"/>
  <c r="AC75" i="22"/>
  <c r="AC77" i="22" s="1"/>
  <c r="AK65" i="22"/>
  <c r="AN102" i="22"/>
  <c r="AD86" i="22"/>
  <c r="AN113" i="22"/>
  <c r="AM136" i="22"/>
  <c r="AM35" i="41" s="1"/>
  <c r="AE86" i="22"/>
  <c r="AH102" i="22"/>
  <c r="AO102" i="22"/>
  <c r="AP75" i="22"/>
  <c r="AJ135" i="22"/>
  <c r="AD34" i="22"/>
  <c r="AM88" i="22"/>
  <c r="AO65" i="22"/>
  <c r="AO134" i="22"/>
  <c r="AM76" i="22"/>
  <c r="AM77" i="22" s="1"/>
  <c r="AH86" i="22"/>
  <c r="AH88" i="22" s="1"/>
  <c r="AI87" i="22"/>
  <c r="AH112" i="22"/>
  <c r="AM38" i="53"/>
  <c r="AM58" i="80"/>
  <c r="AJ65" i="22"/>
  <c r="AM65" i="22"/>
  <c r="AI125" i="22"/>
  <c r="AI34" i="41" s="1"/>
  <c r="AI50" i="41" s="1"/>
  <c r="AJ102" i="22"/>
  <c r="AC65" i="22"/>
  <c r="AO76" i="22"/>
  <c r="AC49" i="65"/>
  <c r="AF65" i="22"/>
  <c r="AF66" i="22" s="1"/>
  <c r="AF36" i="53" s="1"/>
  <c r="AF47" i="53" s="1"/>
  <c r="AL114" i="22"/>
  <c r="AN101" i="22"/>
  <c r="AA35" i="22"/>
  <c r="AA74" i="22" s="1"/>
  <c r="AA53" i="65" s="1"/>
  <c r="AN114" i="22"/>
  <c r="AJ101" i="22"/>
  <c r="AJ103" i="22" s="1"/>
  <c r="AD101" i="22"/>
  <c r="AP123" i="22"/>
  <c r="AH113" i="22"/>
  <c r="AK75" i="22"/>
  <c r="AL64" i="22"/>
  <c r="AM123" i="22"/>
  <c r="AG102" i="22"/>
  <c r="AG103" i="22" s="1"/>
  <c r="AG16" i="111" s="1"/>
  <c r="AF86" i="22"/>
  <c r="AP135" i="22"/>
  <c r="AC113" i="22"/>
  <c r="AI124" i="22"/>
  <c r="AP112" i="22"/>
  <c r="AP114" i="22" s="1"/>
  <c r="AP33" i="41" s="1"/>
  <c r="AP148" i="41" s="1"/>
  <c r="N133" i="22"/>
  <c r="N58" i="65" s="1"/>
  <c r="Z35" i="22"/>
  <c r="Z111" i="22" s="1"/>
  <c r="M35" i="22"/>
  <c r="M111" i="22" s="1"/>
  <c r="M56" i="65" s="1"/>
  <c r="AO75" i="22"/>
  <c r="AL101" i="22"/>
  <c r="AG87" i="22"/>
  <c r="AK102" i="22"/>
  <c r="AC123" i="22"/>
  <c r="AG112" i="22"/>
  <c r="AN87" i="22"/>
  <c r="AN88" i="22" s="1"/>
  <c r="AF102" i="22"/>
  <c r="AN112" i="22"/>
  <c r="AC135" i="22"/>
  <c r="U35" i="22"/>
  <c r="U111" i="22" s="1"/>
  <c r="U56" i="65" s="1"/>
  <c r="AD111" i="65"/>
  <c r="AD67" i="105" s="1"/>
  <c r="AD106" i="105" s="1"/>
  <c r="AM18" i="74"/>
  <c r="AF101" i="22"/>
  <c r="AL123" i="22"/>
  <c r="AL125" i="22" s="1"/>
  <c r="AH75" i="22"/>
  <c r="AJ113" i="22"/>
  <c r="AJ114" i="22" s="1"/>
  <c r="AP86" i="22"/>
  <c r="AP88" i="22" s="1"/>
  <c r="AP38" i="53" s="1"/>
  <c r="AP66" i="53" s="1"/>
  <c r="AP76" i="22"/>
  <c r="AP77" i="22" s="1"/>
  <c r="AC86" i="22"/>
  <c r="AO123" i="22"/>
  <c r="AI64" i="22"/>
  <c r="AP65" i="22"/>
  <c r="AP66" i="22" s="1"/>
  <c r="AJ75" i="22"/>
  <c r="AL65" i="22"/>
  <c r="AL66" i="22" s="1"/>
  <c r="AP124" i="22"/>
  <c r="AP125" i="22" s="1"/>
  <c r="AJ123" i="22"/>
  <c r="AH87" i="22"/>
  <c r="AG35" i="22"/>
  <c r="AE34" i="22"/>
  <c r="AC87" i="22"/>
  <c r="AC88" i="22" s="1"/>
  <c r="AM124" i="22"/>
  <c r="AL102" i="22"/>
  <c r="AH77" i="22"/>
  <c r="AH37" i="53" s="1"/>
  <c r="AM113" i="22"/>
  <c r="K35" i="22"/>
  <c r="K100" i="22" s="1"/>
  <c r="K55" i="65" s="1"/>
  <c r="AC35" i="22"/>
  <c r="O34" i="22"/>
  <c r="O132" i="22" s="1"/>
  <c r="O49" i="65" s="1"/>
  <c r="AK64" i="22"/>
  <c r="AF75" i="22"/>
  <c r="AJ64" i="22"/>
  <c r="AJ76" i="22"/>
  <c r="AO124" i="22"/>
  <c r="AK112" i="22"/>
  <c r="AH134" i="22"/>
  <c r="AH136" i="22" s="1"/>
  <c r="AH35" i="41" s="1"/>
  <c r="AO101" i="22"/>
  <c r="AI86" i="22"/>
  <c r="AI88" i="22" s="1"/>
  <c r="AI58" i="80" s="1"/>
  <c r="AF76" i="22"/>
  <c r="AI113" i="22"/>
  <c r="AI102" i="22"/>
  <c r="AG113" i="22"/>
  <c r="AG114" i="22" s="1"/>
  <c r="AG33" i="41" s="1"/>
  <c r="AD112" i="22"/>
  <c r="AI34" i="22"/>
  <c r="AA231" i="53"/>
  <c r="X217" i="53"/>
  <c r="X271" i="53" s="1"/>
  <c r="AB218" i="53"/>
  <c r="X218" i="53"/>
  <c r="AI217" i="53"/>
  <c r="AK217" i="53"/>
  <c r="AK271" i="53" s="1"/>
  <c r="U217" i="53"/>
  <c r="U260" i="53" s="1"/>
  <c r="AB217" i="53"/>
  <c r="AB271" i="53" s="1"/>
  <c r="K216" i="53"/>
  <c r="K271" i="53" s="1"/>
  <c r="U216" i="53"/>
  <c r="M216" i="53"/>
  <c r="M260" i="53" s="1"/>
  <c r="L216" i="53"/>
  <c r="L271" i="53" s="1"/>
  <c r="Z217" i="53"/>
  <c r="Z260" i="53" s="1"/>
  <c r="AM216" i="53"/>
  <c r="AM271" i="53" s="1"/>
  <c r="S216" i="53"/>
  <c r="S282" i="53" s="1"/>
  <c r="T216" i="53"/>
  <c r="P216" i="53"/>
  <c r="R216" i="53"/>
  <c r="R271" i="53" s="1"/>
  <c r="AG216" i="53"/>
  <c r="AP216" i="53"/>
  <c r="AP260" i="53" s="1"/>
  <c r="Q216" i="53"/>
  <c r="Q271" i="53" s="1"/>
  <c r="AE216" i="53"/>
  <c r="AE282" i="53" s="1"/>
  <c r="H54" i="86"/>
  <c r="AJ216" i="53"/>
  <c r="AO216" i="53"/>
  <c r="AO260" i="53" s="1"/>
  <c r="J216" i="53"/>
  <c r="O216" i="53"/>
  <c r="W216" i="53"/>
  <c r="W260" i="53" s="1"/>
  <c r="AI216" i="53"/>
  <c r="AI271" i="53" s="1"/>
  <c r="AD216" i="53"/>
  <c r="AB211" i="53"/>
  <c r="Z211" i="53"/>
  <c r="H144" i="53"/>
  <c r="X211" i="53"/>
  <c r="M259" i="53"/>
  <c r="AC211" i="53"/>
  <c r="AC270" i="53" s="1"/>
  <c r="AI211" i="53"/>
  <c r="AI270" i="53" s="1"/>
  <c r="V211" i="53"/>
  <c r="U211" i="53"/>
  <c r="AE211" i="53"/>
  <c r="AK211" i="53"/>
  <c r="AP211" i="53"/>
  <c r="AH211" i="53"/>
  <c r="T211" i="53"/>
  <c r="K211" i="53"/>
  <c r="AD211" i="53"/>
  <c r="AD270" i="53" s="1"/>
  <c r="O211" i="53"/>
  <c r="J211" i="53"/>
  <c r="AN211" i="53"/>
  <c r="AN270" i="53" s="1"/>
  <c r="R24" i="80"/>
  <c r="U45" i="70"/>
  <c r="AB113" i="71"/>
  <c r="R113" i="71"/>
  <c r="V45" i="70"/>
  <c r="AB24" i="80"/>
  <c r="Z45" i="70"/>
  <c r="N45" i="70"/>
  <c r="AB95" i="73"/>
  <c r="M45" i="70"/>
  <c r="S45" i="70"/>
  <c r="AH56" i="80"/>
  <c r="AH36" i="53"/>
  <c r="AH29" i="41"/>
  <c r="AI189" i="80"/>
  <c r="AC16" i="111"/>
  <c r="AC32" i="41"/>
  <c r="AM65" i="53"/>
  <c r="AM66" i="53"/>
  <c r="AH57" i="80"/>
  <c r="AH30" i="41"/>
  <c r="AG125" i="22"/>
  <c r="AG34" i="41" s="1"/>
  <c r="AB87" i="22"/>
  <c r="AM31" i="41"/>
  <c r="AD189" i="80"/>
  <c r="AN103" i="22"/>
  <c r="AN16" i="111" s="1"/>
  <c r="AP103" i="22"/>
  <c r="AP18" i="74" s="1"/>
  <c r="AC136" i="22"/>
  <c r="AC35" i="41" s="1"/>
  <c r="AH135" i="22"/>
  <c r="AA122" i="22"/>
  <c r="AA57" i="65" s="1"/>
  <c r="AE88" i="22"/>
  <c r="AE38" i="53" s="1"/>
  <c r="AE65" i="53" s="1"/>
  <c r="AL57" i="80"/>
  <c r="AI77" i="22"/>
  <c r="AI30" i="41" s="1"/>
  <c r="AJ66" i="22"/>
  <c r="AF136" i="22"/>
  <c r="AF35" i="41" s="1"/>
  <c r="AL37" i="53"/>
  <c r="AL56" i="53" s="1"/>
  <c r="AH34" i="41"/>
  <c r="AH50" i="41" s="1"/>
  <c r="AI136" i="22"/>
  <c r="AI35" i="41" s="1"/>
  <c r="AG77" i="22"/>
  <c r="AG30" i="41" s="1"/>
  <c r="AD114" i="22"/>
  <c r="AD33" i="41" s="1"/>
  <c r="AD148" i="41" s="1"/>
  <c r="AM114" i="22"/>
  <c r="AO77" i="22"/>
  <c r="AO37" i="53" s="1"/>
  <c r="AO57" i="53" s="1"/>
  <c r="W34" i="22"/>
  <c r="AO34" i="22"/>
  <c r="Z34" i="22"/>
  <c r="K34" i="22"/>
  <c r="K62" i="22" s="1"/>
  <c r="AH34" i="22"/>
  <c r="R34" i="22"/>
  <c r="R121" i="22" s="1"/>
  <c r="M34" i="22"/>
  <c r="M132" i="22" s="1"/>
  <c r="AB85" i="22"/>
  <c r="AB54" i="65" s="1"/>
  <c r="Y34" i="22"/>
  <c r="Y84" i="22" s="1"/>
  <c r="Y45" i="65" s="1"/>
  <c r="H26" i="72"/>
  <c r="H24" i="72"/>
  <c r="H22" i="72"/>
  <c r="H30" i="72"/>
  <c r="H29" i="72"/>
  <c r="H28" i="72"/>
  <c r="H27" i="72"/>
  <c r="H25" i="72"/>
  <c r="AG154" i="105"/>
  <c r="K29" i="31"/>
  <c r="H45" i="80" s="1"/>
  <c r="N48" i="82"/>
  <c r="N31" i="81"/>
  <c r="AF148" i="41"/>
  <c r="AF49" i="41"/>
  <c r="AL34" i="41"/>
  <c r="AL50" i="41" s="1"/>
  <c r="AL189" i="80"/>
  <c r="AJ56" i="80"/>
  <c r="AJ36" i="53"/>
  <c r="AJ29" i="41"/>
  <c r="AM112" i="65"/>
  <c r="AM68" i="105" s="1"/>
  <c r="AM107" i="105" s="1"/>
  <c r="AM50" i="105"/>
  <c r="AM87" i="105" s="1"/>
  <c r="AM111" i="65"/>
  <c r="AM67" i="105" s="1"/>
  <c r="AM106" i="105" s="1"/>
  <c r="AM49" i="105"/>
  <c r="AM86" i="105" s="1"/>
  <c r="AL57" i="53"/>
  <c r="AC18" i="74"/>
  <c r="AD77" i="22"/>
  <c r="O31" i="81"/>
  <c r="AN180" i="105"/>
  <c r="AD170" i="105"/>
  <c r="AJ169" i="105"/>
  <c r="AJ179" i="105"/>
  <c r="AJ184" i="105" s="1"/>
  <c r="AJ172" i="105"/>
  <c r="AJ178" i="105"/>
  <c r="R99" i="105"/>
  <c r="X236" i="53"/>
  <c r="AA236" i="53"/>
  <c r="AK49" i="65"/>
  <c r="AK134" i="22"/>
  <c r="L85" i="72"/>
  <c r="AF188" i="80"/>
  <c r="AN181" i="105"/>
  <c r="AH172" i="105"/>
  <c r="AH181" i="105"/>
  <c r="V171" i="105"/>
  <c r="AK92" i="105"/>
  <c r="AK131" i="105"/>
  <c r="V63" i="22"/>
  <c r="V111" i="22"/>
  <c r="V56" i="65" s="1"/>
  <c r="O173" i="31"/>
  <c r="O100" i="31"/>
  <c r="O101" i="31"/>
  <c r="O172" i="31"/>
  <c r="O112" i="31"/>
  <c r="O96" i="31"/>
  <c r="O110" i="31"/>
  <c r="O94" i="31"/>
  <c r="O95" i="31"/>
  <c r="O106" i="31"/>
  <c r="O87" i="31"/>
  <c r="L114" i="71"/>
  <c r="L96" i="73"/>
  <c r="L25" i="80"/>
  <c r="T114" i="71"/>
  <c r="T83" i="72"/>
  <c r="T96" i="73"/>
  <c r="AB114" i="71"/>
  <c r="AB83" i="72"/>
  <c r="AB96" i="73"/>
  <c r="Q26" i="80"/>
  <c r="Q97" i="73"/>
  <c r="Q84" i="72"/>
  <c r="Y26" i="80"/>
  <c r="Y84" i="72"/>
  <c r="Y97" i="73"/>
  <c r="Y115" i="71"/>
  <c r="N116" i="71"/>
  <c r="N27" i="80"/>
  <c r="N85" i="72"/>
  <c r="V116" i="71"/>
  <c r="V85" i="72"/>
  <c r="V98" i="73"/>
  <c r="V27" i="80"/>
  <c r="L87" i="72"/>
  <c r="L118" i="71"/>
  <c r="L100" i="73"/>
  <c r="L29" i="80"/>
  <c r="T87" i="72"/>
  <c r="T29" i="80"/>
  <c r="T100" i="73"/>
  <c r="AB87" i="72"/>
  <c r="AB100" i="73"/>
  <c r="AB118" i="71"/>
  <c r="Q101" i="73"/>
  <c r="Q30" i="80"/>
  <c r="Q119" i="71"/>
  <c r="Y101" i="73"/>
  <c r="Y119" i="71"/>
  <c r="Y88" i="72"/>
  <c r="N102" i="73"/>
  <c r="N89" i="72"/>
  <c r="N120" i="71"/>
  <c r="V120" i="71"/>
  <c r="V102" i="73"/>
  <c r="V89" i="72"/>
  <c r="V31" i="80"/>
  <c r="AA28" i="80"/>
  <c r="AA86" i="72"/>
  <c r="AA117" i="71"/>
  <c r="AM64" i="53"/>
  <c r="AF103" i="22"/>
  <c r="AF18" i="74" s="1"/>
  <c r="AN182" i="105"/>
  <c r="AH132" i="105"/>
  <c r="R102" i="105"/>
  <c r="R109" i="105" s="1"/>
  <c r="R132" i="105"/>
  <c r="AO172" i="105"/>
  <c r="AO168" i="105"/>
  <c r="AA132" i="105"/>
  <c r="X122" i="22"/>
  <c r="X57" i="65" s="1"/>
  <c r="O108" i="31"/>
  <c r="O176" i="31"/>
  <c r="H51" i="80"/>
  <c r="T118" i="71"/>
  <c r="AF130" i="105"/>
  <c r="R183" i="105"/>
  <c r="R172" i="105"/>
  <c r="R181" i="105"/>
  <c r="R184" i="105" s="1"/>
  <c r="R166" i="105"/>
  <c r="R180" i="105"/>
  <c r="R168" i="105"/>
  <c r="R178" i="105"/>
  <c r="R171" i="105"/>
  <c r="K122" i="22"/>
  <c r="K57" i="65" s="1"/>
  <c r="AA100" i="22"/>
  <c r="AA85" i="22"/>
  <c r="AA54" i="65" s="1"/>
  <c r="U74" i="22"/>
  <c r="U53" i="65" s="1"/>
  <c r="U63" i="22"/>
  <c r="AB25" i="80"/>
  <c r="AD49" i="105"/>
  <c r="AD86" i="105" s="1"/>
  <c r="AN125" i="22"/>
  <c r="AA76" i="22"/>
  <c r="W99" i="105"/>
  <c r="AD181" i="105"/>
  <c r="AD182" i="105"/>
  <c r="AD177" i="105"/>
  <c r="V170" i="105"/>
  <c r="V166" i="105"/>
  <c r="AC66" i="22"/>
  <c r="R86" i="23"/>
  <c r="AI132" i="105"/>
  <c r="AD99" i="105"/>
  <c r="W170" i="105"/>
  <c r="W167" i="105"/>
  <c r="Q105" i="105"/>
  <c r="Q126" i="105"/>
  <c r="U100" i="22"/>
  <c r="U55" i="65" s="1"/>
  <c r="O88" i="31"/>
  <c r="T25" i="80"/>
  <c r="AM32" i="41"/>
  <c r="AN178" i="105"/>
  <c r="V167" i="105"/>
  <c r="AA87" i="22"/>
  <c r="AP131" i="105"/>
  <c r="AI166" i="105"/>
  <c r="AI167" i="105"/>
  <c r="O85" i="31"/>
  <c r="AO45" i="65"/>
  <c r="AO86" i="22"/>
  <c r="AO88" i="22" s="1"/>
  <c r="Y30" i="80"/>
  <c r="N98" i="73"/>
  <c r="V95" i="73"/>
  <c r="V82" i="72"/>
  <c r="M281" i="53"/>
  <c r="M270" i="53"/>
  <c r="P38" i="31"/>
  <c r="N38" i="31"/>
  <c r="M38" i="31"/>
  <c r="M168" i="31" s="1"/>
  <c r="V221" i="53"/>
  <c r="AL221" i="53"/>
  <c r="AI221" i="53"/>
  <c r="Q221" i="53"/>
  <c r="Q272" i="53" s="1"/>
  <c r="R221" i="53"/>
  <c r="U221" i="53"/>
  <c r="M221" i="53"/>
  <c r="S221" i="53"/>
  <c r="S283" i="53" s="1"/>
  <c r="AF221" i="53"/>
  <c r="AN221" i="53"/>
  <c r="AD221" i="53"/>
  <c r="AD272" i="53" s="1"/>
  <c r="AC221" i="53"/>
  <c r="K221" i="53"/>
  <c r="AE221" i="53"/>
  <c r="L221" i="53"/>
  <c r="AI66" i="22"/>
  <c r="AI56" i="80" s="1"/>
  <c r="AN172" i="105"/>
  <c r="AN168" i="105"/>
  <c r="AN173" i="105" s="1"/>
  <c r="AN177" i="105"/>
  <c r="AK66" i="22"/>
  <c r="AK56" i="80" s="1"/>
  <c r="Q88" i="72"/>
  <c r="L83" i="72"/>
  <c r="J83" i="72"/>
  <c r="J96" i="73"/>
  <c r="AN504" i="53"/>
  <c r="AN78" i="83" s="1"/>
  <c r="AN118" i="53"/>
  <c r="AC114" i="22"/>
  <c r="AC33" i="41" s="1"/>
  <c r="S132" i="105"/>
  <c r="AN65" i="22"/>
  <c r="AN66" i="22" s="1"/>
  <c r="AG64" i="22"/>
  <c r="AG66" i="22" s="1"/>
  <c r="AB154" i="105"/>
  <c r="R104" i="105"/>
  <c r="AP95" i="105"/>
  <c r="AP99" i="105" s="1"/>
  <c r="X116" i="53"/>
  <c r="X504" i="53" s="1"/>
  <c r="X78" i="83" s="1"/>
  <c r="K99" i="73"/>
  <c r="AB101" i="73"/>
  <c r="T31" i="80"/>
  <c r="L102" i="73"/>
  <c r="U85" i="72"/>
  <c r="AO504" i="53"/>
  <c r="AO78" i="83" s="1"/>
  <c r="AO118" i="53"/>
  <c r="X86" i="72"/>
  <c r="K86" i="72"/>
  <c r="AB88" i="72"/>
  <c r="M115" i="71"/>
  <c r="AB31" i="80"/>
  <c r="T102" i="73"/>
  <c r="L89" i="72"/>
  <c r="M116" i="71"/>
  <c r="Z208" i="53"/>
  <c r="AA208" i="53"/>
  <c r="AB208" i="53"/>
  <c r="AJ124" i="22"/>
  <c r="AJ125" i="22" s="1"/>
  <c r="AI101" i="22"/>
  <c r="AF87" i="22"/>
  <c r="AA124" i="22"/>
  <c r="N135" i="22"/>
  <c r="AP134" i="22"/>
  <c r="AP136" i="22" s="1"/>
  <c r="AP35" i="41" s="1"/>
  <c r="AP109" i="105"/>
  <c r="M74" i="23"/>
  <c r="AK99" i="105"/>
  <c r="AA116" i="53"/>
  <c r="AA504" i="53" s="1"/>
  <c r="AA78" i="83" s="1"/>
  <c r="L282" i="53"/>
  <c r="AB102" i="73"/>
  <c r="T89" i="72"/>
  <c r="J27" i="80"/>
  <c r="J85" i="72"/>
  <c r="Y31" i="80"/>
  <c r="Y102" i="73"/>
  <c r="AK125" i="22"/>
  <c r="AK34" i="41" s="1"/>
  <c r="AK50" i="41" s="1"/>
  <c r="AB124" i="22"/>
  <c r="Q99" i="105"/>
  <c r="AK101" i="22"/>
  <c r="AD87" i="22"/>
  <c r="AD88" i="22" s="1"/>
  <c r="AH130" i="105"/>
  <c r="AL134" i="22"/>
  <c r="AK135" i="22"/>
  <c r="AK136" i="22" s="1"/>
  <c r="AK35" i="41" s="1"/>
  <c r="AE123" i="22"/>
  <c r="AE125" i="22" s="1"/>
  <c r="AM132" i="105"/>
  <c r="W116" i="53"/>
  <c r="T30" i="80"/>
  <c r="O29" i="80"/>
  <c r="R98" i="73"/>
  <c r="M84" i="72"/>
  <c r="AB89" i="72"/>
  <c r="AL228" i="53"/>
  <c r="V228" i="53"/>
  <c r="O228" i="53"/>
  <c r="AC228" i="53"/>
  <c r="Q228" i="53"/>
  <c r="Q284" i="53" s="1"/>
  <c r="AG134" i="22"/>
  <c r="AG136" i="22" s="1"/>
  <c r="AG35" i="41" s="1"/>
  <c r="AD136" i="22"/>
  <c r="AD35" i="41" s="1"/>
  <c r="AO135" i="22"/>
  <c r="AO136" i="22" s="1"/>
  <c r="AO35" i="41" s="1"/>
  <c r="N74" i="23"/>
  <c r="AA131" i="105"/>
  <c r="Y116" i="53"/>
  <c r="Y504" i="53" s="1"/>
  <c r="Y78" i="83" s="1"/>
  <c r="V116" i="53"/>
  <c r="V504" i="53" s="1"/>
  <c r="V78" i="83" s="1"/>
  <c r="K96" i="73"/>
  <c r="K25" i="80"/>
  <c r="K83" i="72"/>
  <c r="S96" i="73"/>
  <c r="S25" i="80"/>
  <c r="AA96" i="73"/>
  <c r="AA83" i="72"/>
  <c r="P84" i="72"/>
  <c r="P97" i="73"/>
  <c r="P115" i="71"/>
  <c r="M98" i="73"/>
  <c r="M27" i="80"/>
  <c r="J87" i="72"/>
  <c r="J100" i="73"/>
  <c r="J118" i="71"/>
  <c r="R87" i="72"/>
  <c r="R100" i="73"/>
  <c r="R118" i="71"/>
  <c r="Z87" i="72"/>
  <c r="Z100" i="73"/>
  <c r="Z118" i="71"/>
  <c r="O88" i="72"/>
  <c r="O101" i="73"/>
  <c r="W88" i="72"/>
  <c r="W101" i="73"/>
  <c r="H200" i="53"/>
  <c r="T208" i="53"/>
  <c r="R208" i="53"/>
  <c r="AL208" i="53"/>
  <c r="AJ208" i="53"/>
  <c r="L208" i="53"/>
  <c r="AE208" i="53"/>
  <c r="AN247" i="53"/>
  <c r="P247" i="53"/>
  <c r="AC247" i="53"/>
  <c r="L247" i="53"/>
  <c r="AO247" i="53"/>
  <c r="S227" i="53"/>
  <c r="O227" i="53"/>
  <c r="P227" i="53"/>
  <c r="P273" i="53" s="1"/>
  <c r="AG227" i="53"/>
  <c r="AE227" i="53"/>
  <c r="AF227" i="53"/>
  <c r="R227" i="53"/>
  <c r="AL222" i="53"/>
  <c r="AH222" i="53"/>
  <c r="O222" i="53"/>
  <c r="Q222" i="53"/>
  <c r="AC222" i="53"/>
  <c r="AC283" i="53" s="1"/>
  <c r="V222" i="53"/>
  <c r="R231" i="53"/>
  <c r="R274" i="53" s="1"/>
  <c r="M231" i="53"/>
  <c r="M263" i="53" s="1"/>
  <c r="K231" i="53"/>
  <c r="W206" i="53"/>
  <c r="AG206" i="53"/>
  <c r="AM227" i="53"/>
  <c r="J227" i="53"/>
  <c r="AC227" i="53"/>
  <c r="T222" i="53"/>
  <c r="W222" i="53"/>
  <c r="AK222" i="53"/>
  <c r="AM208" i="53"/>
  <c r="M243" i="53"/>
  <c r="Q243" i="53"/>
  <c r="L243" i="53"/>
  <c r="S207" i="53"/>
  <c r="K207" i="53"/>
  <c r="AE207" i="53"/>
  <c r="AN207" i="53"/>
  <c r="AD207" i="53"/>
  <c r="AD269" i="53" s="1"/>
  <c r="W242" i="53"/>
  <c r="AH242" i="53"/>
  <c r="L86" i="23"/>
  <c r="T232" i="53"/>
  <c r="AL232" i="53"/>
  <c r="K232" i="53"/>
  <c r="AG232" i="53"/>
  <c r="AG285" i="53" s="1"/>
  <c r="R232" i="53"/>
  <c r="AO223" i="53"/>
  <c r="AF223" i="53"/>
  <c r="AN223" i="53"/>
  <c r="AC223" i="53"/>
  <c r="S223" i="53"/>
  <c r="J223" i="53"/>
  <c r="L293" i="73"/>
  <c r="AG293" i="73"/>
  <c r="J86" i="72"/>
  <c r="S120" i="71"/>
  <c r="Z101" i="73"/>
  <c r="N101" i="73"/>
  <c r="U87" i="72"/>
  <c r="P98" i="73"/>
  <c r="S26" i="80"/>
  <c r="V114" i="71"/>
  <c r="AD118" i="53"/>
  <c r="Z207" i="53"/>
  <c r="AM231" i="53"/>
  <c r="W231" i="53"/>
  <c r="W263" i="53" s="1"/>
  <c r="AF211" i="53"/>
  <c r="AG211" i="53"/>
  <c r="AO211" i="53"/>
  <c r="AO270" i="53" s="1"/>
  <c r="AL216" i="53"/>
  <c r="AN216" i="53"/>
  <c r="AN271" i="53" s="1"/>
  <c r="AH216" i="53"/>
  <c r="AH271" i="53" s="1"/>
  <c r="AG226" i="53"/>
  <c r="AP226" i="53"/>
  <c r="AJ206" i="53"/>
  <c r="AJ280" i="53" s="1"/>
  <c r="T206" i="53"/>
  <c r="K227" i="53"/>
  <c r="T227" i="53"/>
  <c r="AC207" i="53"/>
  <c r="AO207" i="53"/>
  <c r="AP247" i="53"/>
  <c r="AH247" i="53"/>
  <c r="AL223" i="53"/>
  <c r="AL272" i="53" s="1"/>
  <c r="AG223" i="53"/>
  <c r="L223" i="53"/>
  <c r="AI222" i="53"/>
  <c r="AG222" i="53"/>
  <c r="AM222" i="53"/>
  <c r="J208" i="53"/>
  <c r="AI208" i="53"/>
  <c r="AJ222" i="53"/>
  <c r="J222" i="53"/>
  <c r="S44" i="53"/>
  <c r="S258" i="53" s="1"/>
  <c r="S45" i="53"/>
  <c r="N232" i="53"/>
  <c r="N274" i="53" s="1"/>
  <c r="U213" i="53"/>
  <c r="U222" i="53"/>
  <c r="U223" i="53"/>
  <c r="U248" i="53"/>
  <c r="AI233" i="53"/>
  <c r="AI285" i="53" s="1"/>
  <c r="AI237" i="53"/>
  <c r="AI247" i="53"/>
  <c r="AI228" i="53"/>
  <c r="AI284" i="53" s="1"/>
  <c r="AI227" i="53"/>
  <c r="AP213" i="53"/>
  <c r="AP222" i="53"/>
  <c r="AP207" i="53"/>
  <c r="AP248" i="53"/>
  <c r="AP31" i="53"/>
  <c r="AP255" i="53" s="1"/>
  <c r="AP238" i="53"/>
  <c r="AP29" i="53"/>
  <c r="AP253" i="53" s="1"/>
  <c r="O114" i="31"/>
  <c r="O102" i="31"/>
  <c r="P186" i="31"/>
  <c r="AO293" i="73"/>
  <c r="H171" i="90"/>
  <c r="AF248" i="53"/>
  <c r="H201" i="53"/>
  <c r="AF233" i="53"/>
  <c r="V233" i="53"/>
  <c r="H177" i="53"/>
  <c r="AA233" i="53" s="1"/>
  <c r="AH233" i="53"/>
  <c r="AH274" i="53" s="1"/>
  <c r="AF237" i="53"/>
  <c r="O237" i="53"/>
  <c r="J237" i="53"/>
  <c r="Q51" i="31"/>
  <c r="Q87" i="31" s="1"/>
  <c r="K46" i="31"/>
  <c r="K82" i="31" s="1"/>
  <c r="M54" i="31"/>
  <c r="S63" i="31"/>
  <c r="S99" i="31" s="1"/>
  <c r="M70" i="31"/>
  <c r="K47" i="31"/>
  <c r="K83" i="31" s="1"/>
  <c r="J69" i="31"/>
  <c r="J105" i="31" s="1"/>
  <c r="Q66" i="31"/>
  <c r="Q102" i="31" s="1"/>
  <c r="Q214" i="31" s="1"/>
  <c r="R76" i="31"/>
  <c r="R112" i="31" s="1"/>
  <c r="M58" i="31"/>
  <c r="R74" i="31"/>
  <c r="R110" i="31" s="1"/>
  <c r="P121" i="31"/>
  <c r="N132" i="31"/>
  <c r="M121" i="31"/>
  <c r="O144" i="31"/>
  <c r="O181" i="31" s="1"/>
  <c r="J131" i="31"/>
  <c r="J168" i="31" s="1"/>
  <c r="R147" i="31"/>
  <c r="R184" i="31" s="1"/>
  <c r="L71" i="31"/>
  <c r="L107" i="31" s="1"/>
  <c r="Q140" i="31"/>
  <c r="Q177" i="31" s="1"/>
  <c r="M51" i="23"/>
  <c r="M38" i="23"/>
  <c r="J21" i="23"/>
  <c r="J52" i="23"/>
  <c r="L50" i="23"/>
  <c r="L36" i="23"/>
  <c r="L23" i="23"/>
  <c r="K32" i="23"/>
  <c r="J41" i="23"/>
  <c r="J293" i="73"/>
  <c r="Q293" i="73"/>
  <c r="AB293" i="73"/>
  <c r="H165" i="90"/>
  <c r="H168" i="90"/>
  <c r="AK282" i="53"/>
  <c r="L248" i="53"/>
  <c r="AE233" i="53"/>
  <c r="AM233" i="53"/>
  <c r="O233" i="53"/>
  <c r="P237" i="53"/>
  <c r="AJ237" i="53"/>
  <c r="S237" i="53"/>
  <c r="Q74" i="23"/>
  <c r="Q77" i="31"/>
  <c r="Q113" i="31" s="1"/>
  <c r="Q73" i="31"/>
  <c r="Q109" i="31" s="1"/>
  <c r="Q69" i="31"/>
  <c r="Q105" i="31" s="1"/>
  <c r="Q65" i="31"/>
  <c r="Q101" i="31" s="1"/>
  <c r="Q61" i="31"/>
  <c r="Q97" i="31" s="1"/>
  <c r="K56" i="31"/>
  <c r="K92" i="31" s="1"/>
  <c r="O50" i="31"/>
  <c r="O86" i="31" s="1"/>
  <c r="S47" i="31"/>
  <c r="S83" i="31" s="1"/>
  <c r="S195" i="31" s="1"/>
  <c r="N56" i="31"/>
  <c r="J65" i="31"/>
  <c r="J101" i="31" s="1"/>
  <c r="N72" i="31"/>
  <c r="O53" i="31"/>
  <c r="O89" i="31" s="1"/>
  <c r="O69" i="31"/>
  <c r="O105" i="31" s="1"/>
  <c r="J56" i="31"/>
  <c r="J92" i="31" s="1"/>
  <c r="R67" i="31"/>
  <c r="R103" i="31" s="1"/>
  <c r="N77" i="31"/>
  <c r="J77" i="31"/>
  <c r="J113" i="31" s="1"/>
  <c r="N134" i="31"/>
  <c r="S130" i="31"/>
  <c r="S167" i="31" s="1"/>
  <c r="Q147" i="31"/>
  <c r="Q184" i="31" s="1"/>
  <c r="L132" i="31"/>
  <c r="L169" i="31" s="1"/>
  <c r="R149" i="31"/>
  <c r="R186" i="31" s="1"/>
  <c r="S143" i="31"/>
  <c r="S180" i="31" s="1"/>
  <c r="M49" i="23"/>
  <c r="M32" i="23"/>
  <c r="K52" i="23"/>
  <c r="J49" i="23"/>
  <c r="L48" i="23"/>
  <c r="L35" i="23"/>
  <c r="K50" i="23"/>
  <c r="K30" i="23"/>
  <c r="X45" i="70"/>
  <c r="R293" i="73"/>
  <c r="AM293" i="73"/>
  <c r="H170" i="90"/>
  <c r="Z293" i="73"/>
  <c r="H172" i="90"/>
  <c r="N154" i="105"/>
  <c r="N102" i="31"/>
  <c r="AO66" i="22"/>
  <c r="AO36" i="53" s="1"/>
  <c r="AO132" i="105"/>
  <c r="AK76" i="22"/>
  <c r="AK77" i="22" s="1"/>
  <c r="AK37" i="53" s="1"/>
  <c r="AB132" i="105"/>
  <c r="AD103" i="22"/>
  <c r="AD18" i="74" s="1"/>
  <c r="AC36" i="53"/>
  <c r="AC29" i="41"/>
  <c r="P132" i="105"/>
  <c r="Z131" i="105"/>
  <c r="T131" i="105"/>
  <c r="S131" i="105"/>
  <c r="AE136" i="22"/>
  <c r="AE35" i="41" s="1"/>
  <c r="AM182" i="105"/>
  <c r="AN184" i="105"/>
  <c r="AJ173" i="105"/>
  <c r="AM154" i="105"/>
  <c r="AK103" i="22"/>
  <c r="AK18" i="74" s="1"/>
  <c r="AI172" i="105"/>
  <c r="AM170" i="105"/>
  <c r="W169" i="105"/>
  <c r="AM167" i="105"/>
  <c r="W168" i="105"/>
  <c r="W171" i="105"/>
  <c r="W166" i="105"/>
  <c r="AE154" i="105"/>
  <c r="Q184" i="105"/>
  <c r="M154" i="105"/>
  <c r="AK154" i="105"/>
  <c r="AK156" i="105" s="1"/>
  <c r="AH59" i="82" s="1"/>
  <c r="AC56" i="80"/>
  <c r="T154" i="105"/>
  <c r="K154" i="105"/>
  <c r="AP173" i="105"/>
  <c r="Q173" i="105"/>
  <c r="Z154" i="105"/>
  <c r="AJ154" i="105"/>
  <c r="AJ156" i="105" s="1"/>
  <c r="AD154" i="105"/>
  <c r="AD156" i="105" s="1"/>
  <c r="AD59" i="82" s="1"/>
  <c r="AC154" i="105"/>
  <c r="AA154" i="105"/>
  <c r="J154" i="105"/>
  <c r="L154" i="105"/>
  <c r="AF173" i="105"/>
  <c r="AO99" i="105"/>
  <c r="AF32" i="41"/>
  <c r="AD37" i="53"/>
  <c r="AD30" i="41"/>
  <c r="AD57" i="80"/>
  <c r="R48" i="65"/>
  <c r="R123" i="22"/>
  <c r="AK189" i="80"/>
  <c r="AO148" i="41"/>
  <c r="AO49" i="41"/>
  <c r="X58" i="65"/>
  <c r="X135" i="22"/>
  <c r="M49" i="65"/>
  <c r="M134" i="22"/>
  <c r="AP16" i="111"/>
  <c r="AP27" i="111" s="1"/>
  <c r="AP33" i="111" s="1"/>
  <c r="AE112" i="22"/>
  <c r="AE114" i="22" s="1"/>
  <c r="AO103" i="22"/>
  <c r="R62" i="22"/>
  <c r="R43" i="65" s="1"/>
  <c r="AM28" i="111"/>
  <c r="AM34" i="111" s="1"/>
  <c r="AK88" i="22"/>
  <c r="AK31" i="41" s="1"/>
  <c r="R132" i="22"/>
  <c r="R49" i="65" s="1"/>
  <c r="AF124" i="22"/>
  <c r="AI112" i="22"/>
  <c r="AI114" i="22" s="1"/>
  <c r="AF123" i="22"/>
  <c r="R84" i="22"/>
  <c r="AJ134" i="22"/>
  <c r="AJ136" i="22" s="1"/>
  <c r="AJ35" i="41" s="1"/>
  <c r="R110" i="22"/>
  <c r="R47" i="65" s="1"/>
  <c r="AJ88" i="22"/>
  <c r="M99" i="22"/>
  <c r="AM64" i="22"/>
  <c r="AM66" i="22" s="1"/>
  <c r="AM36" i="53" s="1"/>
  <c r="M73" i="22"/>
  <c r="M62" i="22"/>
  <c r="M43" i="65" s="1"/>
  <c r="W110" i="22"/>
  <c r="AP49" i="41"/>
  <c r="AE103" i="22"/>
  <c r="M110" i="22"/>
  <c r="AL88" i="22"/>
  <c r="W73" i="22"/>
  <c r="AO188" i="80"/>
  <c r="AH114" i="22"/>
  <c r="AN77" i="22"/>
  <c r="AK114" i="22"/>
  <c r="M85" i="22"/>
  <c r="AL135" i="22"/>
  <c r="AC124" i="22"/>
  <c r="N65" i="22"/>
  <c r="AP188" i="80"/>
  <c r="AE65" i="22"/>
  <c r="AE66" i="22" s="1"/>
  <c r="AG86" i="22"/>
  <c r="AG88" i="22" s="1"/>
  <c r="AL103" i="22"/>
  <c r="AD64" i="22"/>
  <c r="AD66" i="22" s="1"/>
  <c r="X100" i="22"/>
  <c r="X55" i="65" s="1"/>
  <c r="X74" i="22"/>
  <c r="X53" i="65" s="1"/>
  <c r="K63" i="22"/>
  <c r="AD275" i="53"/>
  <c r="K286" i="53"/>
  <c r="N285" i="53"/>
  <c r="U280" i="53"/>
  <c r="K282" i="53"/>
  <c r="AE271" i="53"/>
  <c r="W284" i="53"/>
  <c r="W273" i="53"/>
  <c r="V261" i="53"/>
  <c r="Z269" i="53"/>
  <c r="J270" i="53"/>
  <c r="J281" i="53"/>
  <c r="Q282" i="53"/>
  <c r="Q283" i="53"/>
  <c r="V282" i="53"/>
  <c r="V272" i="53"/>
  <c r="V283" i="53"/>
  <c r="V271" i="53"/>
  <c r="V284" i="53"/>
  <c r="V274" i="53"/>
  <c r="V285" i="53"/>
  <c r="V273" i="53"/>
  <c r="R283" i="53"/>
  <c r="R272" i="53"/>
  <c r="X282" i="53"/>
  <c r="W262" i="53"/>
  <c r="AN272" i="53"/>
  <c r="Q274" i="53"/>
  <c r="K283" i="53"/>
  <c r="W258" i="53"/>
  <c r="Z258" i="53"/>
  <c r="S261" i="53"/>
  <c r="L274" i="53"/>
  <c r="V260" i="53"/>
  <c r="Z280" i="53"/>
  <c r="Q270" i="53"/>
  <c r="V263" i="53"/>
  <c r="P284" i="53"/>
  <c r="AN281" i="53"/>
  <c r="V262" i="53"/>
  <c r="U275" i="53"/>
  <c r="P274" i="53"/>
  <c r="U271" i="53"/>
  <c r="P282" i="53"/>
  <c r="U269" i="53"/>
  <c r="L260" i="53"/>
  <c r="AF283" i="53"/>
  <c r="U286" i="53"/>
  <c r="U272" i="53"/>
  <c r="M271" i="53"/>
  <c r="U283" i="53"/>
  <c r="U258" i="53"/>
  <c r="Q281" i="53"/>
  <c r="T263" i="53"/>
  <c r="AO285" i="53"/>
  <c r="AD274" i="53"/>
  <c r="S280" i="53"/>
  <c r="U264" i="53"/>
  <c r="S281" i="53"/>
  <c r="AD282" i="53"/>
  <c r="K285" i="53"/>
  <c r="AN282" i="53"/>
  <c r="L272" i="53"/>
  <c r="J285" i="53"/>
  <c r="AM281" i="53"/>
  <c r="AF271" i="53"/>
  <c r="AD286" i="53"/>
  <c r="AC281" i="53"/>
  <c r="AO274" i="53"/>
  <c r="L281" i="53"/>
  <c r="L285" i="53"/>
  <c r="P280" i="53"/>
  <c r="AB272" i="53"/>
  <c r="AB283" i="53"/>
  <c r="Z282" i="53"/>
  <c r="AB269" i="53"/>
  <c r="AB280" i="53"/>
  <c r="L273" i="53"/>
  <c r="L284" i="53"/>
  <c r="L262" i="53"/>
  <c r="AB247" i="53"/>
  <c r="Y247" i="53"/>
  <c r="X247" i="53"/>
  <c r="AA247" i="53"/>
  <c r="AA277" i="53" s="1"/>
  <c r="Z247" i="53"/>
  <c r="K275" i="53"/>
  <c r="W269" i="53"/>
  <c r="AL261" i="53"/>
  <c r="AB241" i="53"/>
  <c r="AB231" i="53"/>
  <c r="Q259" i="53"/>
  <c r="P285" i="53"/>
  <c r="P269" i="53"/>
  <c r="AM270" i="53"/>
  <c r="AC243" i="53"/>
  <c r="AF243" i="53"/>
  <c r="Z231" i="53"/>
  <c r="Q285" i="53"/>
  <c r="AA248" i="53"/>
  <c r="K226" i="53"/>
  <c r="AN206" i="53"/>
  <c r="R212" i="53"/>
  <c r="R259" i="53" s="1"/>
  <c r="AK243" i="53"/>
  <c r="H176" i="53"/>
  <c r="AO263" i="53"/>
  <c r="V243" i="53"/>
  <c r="X231" i="53"/>
  <c r="W243" i="53"/>
  <c r="W265" i="53" s="1"/>
  <c r="W282" i="53"/>
  <c r="AB226" i="53"/>
  <c r="J263" i="53"/>
  <c r="O212" i="53"/>
  <c r="J243" i="53"/>
  <c r="T274" i="53"/>
  <c r="Z226" i="53"/>
  <c r="AD271" i="53"/>
  <c r="AE226" i="53"/>
  <c r="O206" i="53"/>
  <c r="N212" i="53"/>
  <c r="N259" i="53" s="1"/>
  <c r="AD243" i="53"/>
  <c r="W280" i="53"/>
  <c r="H168" i="53"/>
  <c r="AL226" i="53"/>
  <c r="O226" i="53"/>
  <c r="AF212" i="53"/>
  <c r="K243" i="53"/>
  <c r="U261" i="53"/>
  <c r="S269" i="53"/>
  <c r="X226" i="53"/>
  <c r="T236" i="53"/>
  <c r="AD226" i="53"/>
  <c r="AJ226" i="53"/>
  <c r="K212" i="53"/>
  <c r="P243" i="53"/>
  <c r="AA226" i="53"/>
  <c r="AL283" i="53"/>
  <c r="AF272" i="53"/>
  <c r="P271" i="53"/>
  <c r="M282" i="53"/>
  <c r="AN243" i="53"/>
  <c r="Q236" i="53"/>
  <c r="S226" i="53"/>
  <c r="AO226" i="53"/>
  <c r="AK206" i="53"/>
  <c r="AE212" i="53"/>
  <c r="AN226" i="53"/>
  <c r="Y218" i="53"/>
  <c r="Y260" i="53" s="1"/>
  <c r="Q206" i="53"/>
  <c r="T212" i="53"/>
  <c r="W212" i="53"/>
  <c r="AG243" i="53"/>
  <c r="N226" i="53"/>
  <c r="AA218" i="53"/>
  <c r="AK212" i="53"/>
  <c r="V212" i="53"/>
  <c r="U243" i="53"/>
  <c r="AC226" i="53"/>
  <c r="AC284" i="53" s="1"/>
  <c r="V206" i="53"/>
  <c r="P212" i="53"/>
  <c r="P259" i="53" s="1"/>
  <c r="AH212" i="53"/>
  <c r="AL243" i="53"/>
  <c r="R226" i="53"/>
  <c r="R206" i="53"/>
  <c r="AJ212" i="53"/>
  <c r="AJ281" i="53" s="1"/>
  <c r="AH243" i="53"/>
  <c r="H53" i="86"/>
  <c r="AB236" i="53"/>
  <c r="J274" i="53"/>
  <c r="AM226" i="53"/>
  <c r="AI206" i="53"/>
  <c r="AP212" i="53"/>
  <c r="AP281" i="53" s="1"/>
  <c r="N243" i="53"/>
  <c r="AA242" i="53"/>
  <c r="Z236" i="53"/>
  <c r="O243" i="53"/>
  <c r="Y242" i="53"/>
  <c r="H184" i="53"/>
  <c r="K263" i="53"/>
  <c r="M206" i="53"/>
  <c r="AG212" i="53"/>
  <c r="T243" i="53"/>
  <c r="Q95" i="23"/>
  <c r="Q86" i="23"/>
  <c r="M86" i="23"/>
  <c r="L95" i="23"/>
  <c r="M95" i="23"/>
  <c r="O86" i="23"/>
  <c r="N95" i="23"/>
  <c r="N86" i="23"/>
  <c r="R199" i="31"/>
  <c r="R31" i="81"/>
  <c r="R40" i="81" s="1"/>
  <c r="R48" i="81" s="1"/>
  <c r="R222" i="31"/>
  <c r="R214" i="31"/>
  <c r="H52" i="80"/>
  <c r="R224" i="31"/>
  <c r="Q199" i="31"/>
  <c r="H50" i="80"/>
  <c r="P31" i="81"/>
  <c r="P40" i="81" s="1"/>
  <c r="P48" i="81" s="1"/>
  <c r="O48" i="82"/>
  <c r="H46" i="80"/>
  <c r="H43" i="83" a="1"/>
  <c r="L31" i="81"/>
  <c r="L40" i="81" s="1"/>
  <c r="L48" i="81" s="1"/>
  <c r="L55" i="81" s="1"/>
  <c r="L56" i="81" s="1"/>
  <c r="L114" i="81" s="1"/>
  <c r="H35" i="72" a="1"/>
  <c r="K48" i="82"/>
  <c r="H37" i="73" a="1"/>
  <c r="H39" i="73" s="1"/>
  <c r="N40" i="81"/>
  <c r="N48" i="81" s="1"/>
  <c r="N55" i="81" s="1"/>
  <c r="N56" i="81" s="1"/>
  <c r="N114" i="81" s="1"/>
  <c r="O20" i="31"/>
  <c r="M40" i="81"/>
  <c r="M48" i="81" s="1"/>
  <c r="M55" i="81" s="1"/>
  <c r="M56" i="81" s="1"/>
  <c r="M114" i="81" s="1"/>
  <c r="O40" i="81"/>
  <c r="O48" i="81" s="1"/>
  <c r="W154" i="105"/>
  <c r="V154" i="105"/>
  <c r="U154" i="105"/>
  <c r="AO154" i="105"/>
  <c r="K272" i="53"/>
  <c r="K261" i="53"/>
  <c r="H103" i="87"/>
  <c r="H107" i="87" s="1"/>
  <c r="J35" i="55" s="1"/>
  <c r="Q263" i="53"/>
  <c r="K264" i="53"/>
  <c r="L261" i="53"/>
  <c r="L263" i="53"/>
  <c r="R261" i="53"/>
  <c r="L259" i="53"/>
  <c r="N263" i="53"/>
  <c r="R118" i="53"/>
  <c r="R504" i="53"/>
  <c r="R78" i="83" s="1"/>
  <c r="M118" i="53"/>
  <c r="O118" i="53"/>
  <c r="O504" i="53"/>
  <c r="O78" i="83" s="1"/>
  <c r="K504" i="53"/>
  <c r="K78" i="83" s="1"/>
  <c r="K118" i="53"/>
  <c r="U118" i="53"/>
  <c r="P116" i="53"/>
  <c r="Q118" i="53"/>
  <c r="L118" i="53"/>
  <c r="A3" i="80"/>
  <c r="AC49" i="105"/>
  <c r="AC86" i="105" s="1"/>
  <c r="AC102" i="65"/>
  <c r="AC58" i="105" s="1"/>
  <c r="AC111" i="65"/>
  <c r="AC67" i="105" s="1"/>
  <c r="AK24" i="65"/>
  <c r="AK82" i="65" s="1"/>
  <c r="AK93" i="65" s="1"/>
  <c r="AI24" i="65"/>
  <c r="AI82" i="65" s="1"/>
  <c r="AI93" i="65" s="1"/>
  <c r="AK25" i="65"/>
  <c r="AK83" i="65" s="1"/>
  <c r="AK94" i="65" s="1"/>
  <c r="AC25" i="65"/>
  <c r="AC83" i="65" s="1"/>
  <c r="AC94" i="65" s="1"/>
  <c r="AO50" i="105"/>
  <c r="AO87" i="105" s="1"/>
  <c r="AO112" i="65"/>
  <c r="AO68" i="105" s="1"/>
  <c r="AI50" i="105"/>
  <c r="AI87" i="105" s="1"/>
  <c r="AI112" i="65"/>
  <c r="AI68" i="105" s="1"/>
  <c r="AE25" i="65"/>
  <c r="AE83" i="65" s="1"/>
  <c r="AE94" i="65" s="1"/>
  <c r="AH190" i="105"/>
  <c r="AF25" i="65"/>
  <c r="AF83" i="65" s="1"/>
  <c r="AF94" i="65" s="1"/>
  <c r="AF50" i="105" s="1"/>
  <c r="AF87" i="105" s="1"/>
  <c r="AG24" i="65"/>
  <c r="AG82" i="65" s="1"/>
  <c r="AG93" i="65" s="1"/>
  <c r="AL190" i="105"/>
  <c r="AE102" i="65"/>
  <c r="AE58" i="105" s="1"/>
  <c r="AE96" i="105" s="1"/>
  <c r="AN24" i="65"/>
  <c r="AN82" i="65" s="1"/>
  <c r="AN93" i="65" s="1"/>
  <c r="AN49" i="105" s="1"/>
  <c r="AN86" i="105" s="1"/>
  <c r="AG25" i="65"/>
  <c r="AG83" i="65" s="1"/>
  <c r="AG94" i="65" s="1"/>
  <c r="AD25" i="65"/>
  <c r="AD83" i="65" s="1"/>
  <c r="AD94" i="65" s="1"/>
  <c r="AD50" i="41"/>
  <c r="AL25" i="65"/>
  <c r="AL83" i="65" s="1"/>
  <c r="AL94" i="65" s="1"/>
  <c r="AL50" i="105" s="1"/>
  <c r="AL87" i="105" s="1"/>
  <c r="AO49" i="105"/>
  <c r="AO86" i="105" s="1"/>
  <c r="AO111" i="65"/>
  <c r="AO67" i="105" s="1"/>
  <c r="AE111" i="65"/>
  <c r="AE67" i="105" s="1"/>
  <c r="AE106" i="105" s="1"/>
  <c r="AL149" i="41"/>
  <c r="AH47" i="53"/>
  <c r="AH46" i="53"/>
  <c r="AI57" i="80"/>
  <c r="AO55" i="53"/>
  <c r="X272" i="53"/>
  <c r="AC28" i="111"/>
  <c r="AC34" i="111" s="1"/>
  <c r="AC27" i="111"/>
  <c r="AC33" i="111" s="1"/>
  <c r="AO125" i="22"/>
  <c r="V93" i="105"/>
  <c r="V99" i="105" s="1"/>
  <c r="V131" i="105"/>
  <c r="W504" i="53"/>
  <c r="W78" i="83" s="1"/>
  <c r="W118" i="53"/>
  <c r="T285" i="53"/>
  <c r="T286" i="53"/>
  <c r="P260" i="53"/>
  <c r="P262" i="53"/>
  <c r="P263" i="53"/>
  <c r="P258" i="53"/>
  <c r="H38" i="73"/>
  <c r="H43" i="73"/>
  <c r="H44" i="73"/>
  <c r="AE77" i="22"/>
  <c r="AL183" i="105"/>
  <c r="AL167" i="105"/>
  <c r="AL182" i="105"/>
  <c r="AL170" i="105"/>
  <c r="AL181" i="105"/>
  <c r="AL166" i="105"/>
  <c r="AL180" i="105"/>
  <c r="AL169" i="105"/>
  <c r="AL154" i="105"/>
  <c r="AL156" i="105" s="1"/>
  <c r="AL179" i="105"/>
  <c r="AL178" i="105"/>
  <c r="AL172" i="105"/>
  <c r="AL177" i="105"/>
  <c r="Q154" i="105"/>
  <c r="Q156" i="105" s="1"/>
  <c r="Q59" i="82" s="1"/>
  <c r="N129" i="81"/>
  <c r="S116" i="53"/>
  <c r="S272" i="53"/>
  <c r="S270" i="53"/>
  <c r="H41" i="73"/>
  <c r="P154" i="105"/>
  <c r="R154" i="105"/>
  <c r="AN93" i="105"/>
  <c r="AN99" i="105" s="1"/>
  <c r="AN131" i="105"/>
  <c r="AD131" i="105"/>
  <c r="AD171" i="105"/>
  <c r="AD168" i="105"/>
  <c r="AH169" i="105"/>
  <c r="AH180" i="105"/>
  <c r="Q103" i="105"/>
  <c r="Q109" i="105" s="1"/>
  <c r="Q132" i="105"/>
  <c r="AI171" i="105"/>
  <c r="AI170" i="105"/>
  <c r="AI169" i="105"/>
  <c r="AI168" i="105"/>
  <c r="S224" i="31"/>
  <c r="S212" i="31"/>
  <c r="S220" i="31"/>
  <c r="S208" i="31"/>
  <c r="S211" i="31"/>
  <c r="S202" i="31"/>
  <c r="H53" i="80"/>
  <c r="S216" i="31"/>
  <c r="S31" i="81"/>
  <c r="S40" i="81" s="1"/>
  <c r="S48" i="81" s="1"/>
  <c r="S210" i="31"/>
  <c r="S226" i="31"/>
  <c r="S201" i="31"/>
  <c r="S222" i="31"/>
  <c r="H48" i="80"/>
  <c r="AK169" i="105"/>
  <c r="AK171" i="105"/>
  <c r="AK170" i="105"/>
  <c r="H47" i="80"/>
  <c r="AD178" i="105"/>
  <c r="AH170" i="105"/>
  <c r="AH182" i="105"/>
  <c r="L48" i="82"/>
  <c r="AK172" i="105"/>
  <c r="Y154" i="105"/>
  <c r="O132" i="105"/>
  <c r="AI94" i="105"/>
  <c r="AI99" i="105" s="1"/>
  <c r="AI131" i="105"/>
  <c r="AM166" i="105"/>
  <c r="AM169" i="105"/>
  <c r="AM168" i="105"/>
  <c r="AM172" i="105"/>
  <c r="AM171" i="105"/>
  <c r="AD179" i="105"/>
  <c r="AH167" i="105"/>
  <c r="AH183" i="105"/>
  <c r="AO171" i="105"/>
  <c r="AO167" i="105"/>
  <c r="AO170" i="105"/>
  <c r="AO169" i="105"/>
  <c r="AE131" i="105"/>
  <c r="AH154" i="105"/>
  <c r="AH156" i="105" s="1"/>
  <c r="AD169" i="105"/>
  <c r="AD180" i="105"/>
  <c r="AH171" i="105"/>
  <c r="AH168" i="105"/>
  <c r="AD166" i="105"/>
  <c r="AH177" i="105"/>
  <c r="AK167" i="105"/>
  <c r="AD285" i="53"/>
  <c r="H110" i="89"/>
  <c r="H109" i="89"/>
  <c r="AN43" i="53"/>
  <c r="AN44" i="53"/>
  <c r="AC44" i="53"/>
  <c r="AC47" i="53" s="1"/>
  <c r="AE44" i="53"/>
  <c r="AD45" i="53"/>
  <c r="AM43" i="53"/>
  <c r="AI44" i="53"/>
  <c r="AM45" i="53"/>
  <c r="AF43" i="53"/>
  <c r="AM44" i="53"/>
  <c r="AE45" i="53"/>
  <c r="AC45" i="53"/>
  <c r="AC48" i="53" s="1"/>
  <c r="AI45" i="53"/>
  <c r="AF282" i="53"/>
  <c r="AI273" i="53"/>
  <c r="AH285" i="53"/>
  <c r="AJ269" i="53"/>
  <c r="AC43" i="53"/>
  <c r="AE43" i="53"/>
  <c r="AD44" i="53"/>
  <c r="AO282" i="53"/>
  <c r="AI43" i="53"/>
  <c r="AJ45" i="53"/>
  <c r="AO271" i="53"/>
  <c r="AN45" i="53"/>
  <c r="J259" i="53"/>
  <c r="AJ43" i="53"/>
  <c r="J266" i="53"/>
  <c r="AF45" i="53"/>
  <c r="AJ44" i="53"/>
  <c r="L270" i="53"/>
  <c r="AI118" i="53"/>
  <c r="AI504" i="53"/>
  <c r="AI78" i="83" s="1"/>
  <c r="X114" i="71"/>
  <c r="X96" i="73"/>
  <c r="X83" i="72"/>
  <c r="X25" i="80"/>
  <c r="N26" i="80"/>
  <c r="N97" i="73"/>
  <c r="N115" i="71"/>
  <c r="N84" i="72"/>
  <c r="W115" i="71"/>
  <c r="W26" i="80"/>
  <c r="W97" i="73"/>
  <c r="W84" i="72"/>
  <c r="L119" i="71"/>
  <c r="L101" i="73"/>
  <c r="L30" i="80"/>
  <c r="U30" i="80"/>
  <c r="U101" i="73"/>
  <c r="U119" i="71"/>
  <c r="U88" i="72"/>
  <c r="K31" i="80"/>
  <c r="K102" i="73"/>
  <c r="K89" i="72"/>
  <c r="K120" i="71"/>
  <c r="AH504" i="53"/>
  <c r="AH78" i="83" s="1"/>
  <c r="AH118" i="53"/>
  <c r="AP154" i="105"/>
  <c r="AP156" i="105" s="1"/>
  <c r="N111" i="22"/>
  <c r="N56" i="65" s="1"/>
  <c r="N85" i="22"/>
  <c r="N54" i="65" s="1"/>
  <c r="N74" i="22"/>
  <c r="N53" i="65" s="1"/>
  <c r="N100" i="22"/>
  <c r="N122" i="22"/>
  <c r="L88" i="72"/>
  <c r="J118" i="53"/>
  <c r="J504" i="53"/>
  <c r="J78" i="83" s="1"/>
  <c r="V85" i="22"/>
  <c r="V54" i="65" s="1"/>
  <c r="V74" i="22"/>
  <c r="V122" i="22"/>
  <c r="V100" i="22"/>
  <c r="V55" i="65" s="1"/>
  <c r="V133" i="22"/>
  <c r="V58" i="65" s="1"/>
  <c r="AB63" i="22"/>
  <c r="AB100" i="22"/>
  <c r="AB55" i="65" s="1"/>
  <c r="AB133" i="22"/>
  <c r="AB111" i="22"/>
  <c r="AB74" i="22"/>
  <c r="M121" i="22"/>
  <c r="M84" i="22"/>
  <c r="K274" i="53"/>
  <c r="S246" i="53"/>
  <c r="AE246" i="53"/>
  <c r="AE288" i="53" s="1"/>
  <c r="L246" i="53"/>
  <c r="AP246" i="53"/>
  <c r="P246" i="53"/>
  <c r="AF246" i="53"/>
  <c r="AL246" i="53"/>
  <c r="O246" i="53"/>
  <c r="W246" i="53"/>
  <c r="J246" i="53"/>
  <c r="R246" i="53"/>
  <c r="AI246" i="53"/>
  <c r="AI288" i="53" s="1"/>
  <c r="AO246" i="53"/>
  <c r="AC246" i="53"/>
  <c r="N246" i="53"/>
  <c r="AG246" i="53"/>
  <c r="K246" i="53"/>
  <c r="AH246" i="53"/>
  <c r="T246" i="53"/>
  <c r="M246" i="53"/>
  <c r="AM246" i="53"/>
  <c r="AD246" i="53"/>
  <c r="U246" i="53"/>
  <c r="AN246" i="53"/>
  <c r="AJ246" i="53"/>
  <c r="AK246" i="53"/>
  <c r="Q246" i="53"/>
  <c r="P35" i="22"/>
  <c r="T35" i="22"/>
  <c r="AH35" i="22"/>
  <c r="AP35" i="22"/>
  <c r="L35" i="22"/>
  <c r="O35" i="22"/>
  <c r="S35" i="22"/>
  <c r="AJ35" i="22"/>
  <c r="AI35" i="22"/>
  <c r="AN35" i="22"/>
  <c r="W35" i="22"/>
  <c r="R35" i="22"/>
  <c r="AM35" i="22"/>
  <c r="Q35" i="22"/>
  <c r="AE35" i="22"/>
  <c r="Y35" i="22"/>
  <c r="J35" i="22"/>
  <c r="AO35" i="22"/>
  <c r="P83" i="72"/>
  <c r="P25" i="80"/>
  <c r="Y96" i="73"/>
  <c r="Y83" i="72"/>
  <c r="Y25" i="80"/>
  <c r="Y114" i="71"/>
  <c r="O26" i="80"/>
  <c r="O84" i="72"/>
  <c r="O97" i="73"/>
  <c r="O115" i="71"/>
  <c r="W29" i="80"/>
  <c r="W87" i="72"/>
  <c r="W100" i="73"/>
  <c r="W118" i="71"/>
  <c r="M30" i="80"/>
  <c r="M88" i="72"/>
  <c r="M101" i="73"/>
  <c r="M119" i="71"/>
  <c r="V30" i="80"/>
  <c r="V88" i="72"/>
  <c r="V101" i="73"/>
  <c r="V117" i="71"/>
  <c r="V86" i="72"/>
  <c r="V28" i="80"/>
  <c r="V99" i="73"/>
  <c r="X63" i="22"/>
  <c r="X85" i="22"/>
  <c r="X111" i="22"/>
  <c r="X56" i="65" s="1"/>
  <c r="L283" i="53"/>
  <c r="V246" i="53"/>
  <c r="AB233" i="53"/>
  <c r="AA111" i="22"/>
  <c r="AA63" i="22"/>
  <c r="AA133" i="22"/>
  <c r="M122" i="22"/>
  <c r="R73" i="22"/>
  <c r="R99" i="22"/>
  <c r="R46" i="65" s="1"/>
  <c r="M170" i="31"/>
  <c r="M158" i="31"/>
  <c r="K85" i="22"/>
  <c r="K54" i="65" s="1"/>
  <c r="K74" i="22"/>
  <c r="K53" i="65" s="1"/>
  <c r="W62" i="22"/>
  <c r="W99" i="22"/>
  <c r="L34" i="22"/>
  <c r="N34" i="22"/>
  <c r="AP34" i="22"/>
  <c r="AC34" i="22"/>
  <c r="U34" i="22"/>
  <c r="AK34" i="22"/>
  <c r="AN34" i="22"/>
  <c r="Q34" i="22"/>
  <c r="S34" i="22"/>
  <c r="AM34" i="22"/>
  <c r="AB34" i="22"/>
  <c r="AA34" i="22"/>
  <c r="X34" i="22"/>
  <c r="V34" i="22"/>
  <c r="P34" i="22"/>
  <c r="J34" i="22"/>
  <c r="AG34" i="22"/>
  <c r="T34" i="22"/>
  <c r="AJ34" i="22"/>
  <c r="AL34" i="22"/>
  <c r="N242" i="53"/>
  <c r="M242" i="53"/>
  <c r="R242" i="53"/>
  <c r="AN242" i="53"/>
  <c r="O242" i="53"/>
  <c r="Q242" i="53"/>
  <c r="AL242" i="53"/>
  <c r="S242" i="53"/>
  <c r="AK242" i="53"/>
  <c r="P242" i="53"/>
  <c r="AI242" i="53"/>
  <c r="AI276" i="53" s="1"/>
  <c r="AF242" i="53"/>
  <c r="K242" i="53"/>
  <c r="K265" i="53" s="1"/>
  <c r="AO242" i="53"/>
  <c r="AD242" i="53"/>
  <c r="AM242" i="53"/>
  <c r="T242" i="53"/>
  <c r="AG242" i="53"/>
  <c r="L242" i="53"/>
  <c r="L287" i="53" s="1"/>
  <c r="AC242" i="53"/>
  <c r="AP242" i="53"/>
  <c r="AJ242" i="53"/>
  <c r="J242" i="53"/>
  <c r="J265" i="53" s="1"/>
  <c r="AE242" i="53"/>
  <c r="V242" i="53"/>
  <c r="U242" i="53"/>
  <c r="Q31" i="81"/>
  <c r="Q40" i="81" s="1"/>
  <c r="Q48" i="81" s="1"/>
  <c r="R96" i="73"/>
  <c r="R25" i="80"/>
  <c r="R83" i="72"/>
  <c r="Z98" i="73"/>
  <c r="Z85" i="72"/>
  <c r="Z116" i="71"/>
  <c r="P118" i="71"/>
  <c r="P100" i="73"/>
  <c r="Y29" i="80"/>
  <c r="Y87" i="72"/>
  <c r="Y100" i="73"/>
  <c r="AJ504" i="53"/>
  <c r="AJ78" i="83" s="1"/>
  <c r="AJ118" i="53"/>
  <c r="Y223" i="53"/>
  <c r="AA223" i="53"/>
  <c r="Z223" i="53"/>
  <c r="X223" i="53"/>
  <c r="X283" i="53" s="1"/>
  <c r="Z213" i="53"/>
  <c r="X213" i="53"/>
  <c r="AA213" i="53"/>
  <c r="Y213" i="53"/>
  <c r="H70" i="89"/>
  <c r="H78" i="89" s="1"/>
  <c r="H85" i="89" s="1"/>
  <c r="O114" i="71"/>
  <c r="O83" i="72"/>
  <c r="O25" i="80"/>
  <c r="W83" i="72"/>
  <c r="W25" i="80"/>
  <c r="W114" i="71"/>
  <c r="L84" i="72"/>
  <c r="L97" i="73"/>
  <c r="L26" i="80"/>
  <c r="T97" i="73"/>
  <c r="T115" i="71"/>
  <c r="T26" i="80"/>
  <c r="AB84" i="72"/>
  <c r="AB115" i="71"/>
  <c r="AB26" i="80"/>
  <c r="Q98" i="73"/>
  <c r="Q85" i="72"/>
  <c r="Q116" i="71"/>
  <c r="Q27" i="80"/>
  <c r="Y49" i="70"/>
  <c r="Y48" i="70"/>
  <c r="K29" i="80"/>
  <c r="K87" i="72"/>
  <c r="K118" i="71"/>
  <c r="S29" i="80"/>
  <c r="S87" i="72"/>
  <c r="S118" i="71"/>
  <c r="AA29" i="80"/>
  <c r="AA100" i="73"/>
  <c r="AA118" i="71"/>
  <c r="P30" i="80"/>
  <c r="P88" i="72"/>
  <c r="X30" i="80"/>
  <c r="X88" i="72"/>
  <c r="X119" i="71"/>
  <c r="M31" i="80"/>
  <c r="M102" i="73"/>
  <c r="M120" i="71"/>
  <c r="U120" i="71"/>
  <c r="U31" i="80"/>
  <c r="U89" i="72"/>
  <c r="J48" i="82"/>
  <c r="K31" i="81"/>
  <c r="K40" i="81" s="1"/>
  <c r="K48" i="81" s="1"/>
  <c r="J98" i="73"/>
  <c r="J116" i="71"/>
  <c r="S116" i="71"/>
  <c r="S98" i="73"/>
  <c r="AB27" i="80"/>
  <c r="AB98" i="73"/>
  <c r="Q31" i="80"/>
  <c r="Q89" i="72"/>
  <c r="Z120" i="71"/>
  <c r="Z102" i="73"/>
  <c r="W28" i="80"/>
  <c r="W99" i="73"/>
  <c r="W117" i="71"/>
  <c r="Q99" i="73"/>
  <c r="Q117" i="71"/>
  <c r="Q28" i="80"/>
  <c r="AP504" i="53"/>
  <c r="AP78" i="83" s="1"/>
  <c r="AP118" i="53"/>
  <c r="A3" i="53"/>
  <c r="Z25" i="80"/>
  <c r="Z114" i="71"/>
  <c r="AK236" i="53"/>
  <c r="L236" i="53"/>
  <c r="AO236" i="53"/>
  <c r="O236" i="53"/>
  <c r="J236" i="53"/>
  <c r="J264" i="53" s="1"/>
  <c r="AL236" i="53"/>
  <c r="AN236" i="53"/>
  <c r="AN286" i="53" s="1"/>
  <c r="AH236" i="53"/>
  <c r="AG236" i="53"/>
  <c r="R236" i="53"/>
  <c r="AP236" i="53"/>
  <c r="W236" i="53"/>
  <c r="AE236" i="53"/>
  <c r="P236" i="53"/>
  <c r="N236" i="53"/>
  <c r="AC236" i="53"/>
  <c r="AF236" i="53"/>
  <c r="M236" i="53"/>
  <c r="S236" i="53"/>
  <c r="X29" i="80"/>
  <c r="Q25" i="80"/>
  <c r="Z83" i="72"/>
  <c r="J25" i="80"/>
  <c r="J114" i="71"/>
  <c r="AJ236" i="53"/>
  <c r="X207" i="53"/>
  <c r="AA207" i="53"/>
  <c r="Y207" i="53"/>
  <c r="X87" i="72"/>
  <c r="Q83" i="72"/>
  <c r="T27" i="80"/>
  <c r="T116" i="71"/>
  <c r="AM236" i="53"/>
  <c r="AM275" i="53" s="1"/>
  <c r="AM228" i="53"/>
  <c r="AH228" i="53"/>
  <c r="K228" i="53"/>
  <c r="AP228" i="53"/>
  <c r="T228" i="53"/>
  <c r="M228" i="53"/>
  <c r="AD228" i="53"/>
  <c r="AF228" i="53"/>
  <c r="AK228" i="53"/>
  <c r="AN228" i="53"/>
  <c r="S228" i="53"/>
  <c r="AE228" i="53"/>
  <c r="AG228" i="53"/>
  <c r="R228" i="53"/>
  <c r="U228" i="53"/>
  <c r="AJ228" i="53"/>
  <c r="H169" i="53"/>
  <c r="J228" i="53"/>
  <c r="N112" i="31"/>
  <c r="AB30" i="80"/>
  <c r="O87" i="72"/>
  <c r="U115" i="71"/>
  <c r="AA120" i="71"/>
  <c r="N119" i="71"/>
  <c r="T98" i="73"/>
  <c r="L27" i="80"/>
  <c r="L116" i="71"/>
  <c r="V236" i="53"/>
  <c r="AO228" i="53"/>
  <c r="AO273" i="53" s="1"/>
  <c r="AE504" i="53"/>
  <c r="AE78" i="83" s="1"/>
  <c r="O221" i="53"/>
  <c r="Q45" i="70"/>
  <c r="L45" i="70"/>
  <c r="AE238" i="53"/>
  <c r="L238" i="53"/>
  <c r="AF238" i="53"/>
  <c r="AC238" i="53"/>
  <c r="AO238" i="53"/>
  <c r="AI238" i="53"/>
  <c r="AH238" i="53"/>
  <c r="AE232" i="53"/>
  <c r="AP232" i="53"/>
  <c r="O232" i="53"/>
  <c r="AN232" i="53"/>
  <c r="AN274" i="53" s="1"/>
  <c r="S232" i="53"/>
  <c r="AM232" i="53"/>
  <c r="AC232" i="53"/>
  <c r="AJ223" i="53"/>
  <c r="AM223" i="53"/>
  <c r="O223" i="53"/>
  <c r="AE223" i="53"/>
  <c r="AK223" i="53"/>
  <c r="M223" i="53"/>
  <c r="AP223" i="53"/>
  <c r="W45" i="70"/>
  <c r="P221" i="53"/>
  <c r="AG221" i="53"/>
  <c r="AO221" i="53"/>
  <c r="AM221" i="53"/>
  <c r="AP221" i="53"/>
  <c r="J221" i="53"/>
  <c r="N221" i="53"/>
  <c r="AH221" i="53"/>
  <c r="AJ231" i="53"/>
  <c r="AF231" i="53"/>
  <c r="AC231" i="53"/>
  <c r="U231" i="53"/>
  <c r="AE231" i="53"/>
  <c r="AK231" i="53"/>
  <c r="AK285" i="53" s="1"/>
  <c r="AP231" i="53"/>
  <c r="AO206" i="53"/>
  <c r="AL206" i="53"/>
  <c r="AC206" i="53"/>
  <c r="AE206" i="53"/>
  <c r="AF206" i="53"/>
  <c r="J206" i="53"/>
  <c r="J258" i="53" s="1"/>
  <c r="AM206" i="53"/>
  <c r="AM269" i="53" s="1"/>
  <c r="AH208" i="53"/>
  <c r="AN208" i="53"/>
  <c r="AN280" i="53" s="1"/>
  <c r="AG208" i="53"/>
  <c r="AF208" i="53"/>
  <c r="N208" i="53"/>
  <c r="K208" i="53"/>
  <c r="AK208" i="53"/>
  <c r="AJ248" i="53"/>
  <c r="AG248" i="53"/>
  <c r="AG288" i="53" s="1"/>
  <c r="AD248" i="53"/>
  <c r="R248" i="53"/>
  <c r="O248" i="53"/>
  <c r="AO248" i="53"/>
  <c r="V248" i="53"/>
  <c r="AF504" i="53"/>
  <c r="AF78" i="83" s="1"/>
  <c r="AF118" i="53"/>
  <c r="K45" i="70"/>
  <c r="Y45" i="70"/>
  <c r="T45" i="70"/>
  <c r="O45" i="70"/>
  <c r="J45" i="70"/>
  <c r="O207" i="53"/>
  <c r="T207" i="53"/>
  <c r="L207" i="53"/>
  <c r="V207" i="53"/>
  <c r="AM207" i="53"/>
  <c r="AG207" i="53"/>
  <c r="AG269" i="53" s="1"/>
  <c r="M207" i="53"/>
  <c r="AC217" i="53"/>
  <c r="AC282" i="53" s="1"/>
  <c r="T217" i="53"/>
  <c r="O217" i="53"/>
  <c r="N217" i="53"/>
  <c r="J217" i="53"/>
  <c r="AG217" i="53"/>
  <c r="AJ217" i="53"/>
  <c r="T221" i="53"/>
  <c r="W221" i="53"/>
  <c r="AK221" i="53"/>
  <c r="P45" i="70"/>
  <c r="AA45" i="70"/>
  <c r="AE243" i="53"/>
  <c r="AP243" i="53"/>
  <c r="AI243" i="53"/>
  <c r="H193" i="53"/>
  <c r="AO243" i="53"/>
  <c r="AJ243" i="53"/>
  <c r="AJ287" i="53" s="1"/>
  <c r="S243" i="53"/>
  <c r="AM243" i="53"/>
  <c r="W247" i="53"/>
  <c r="S247" i="53"/>
  <c r="AD247" i="53"/>
  <c r="O247" i="53"/>
  <c r="T247" i="53"/>
  <c r="AK247" i="53"/>
  <c r="V247" i="53"/>
  <c r="K57" i="31"/>
  <c r="K93" i="31" s="1"/>
  <c r="R60" i="31"/>
  <c r="R96" i="31" s="1"/>
  <c r="R208" i="31" s="1"/>
  <c r="P64" i="31"/>
  <c r="P100" i="31" s="1"/>
  <c r="N78" i="31"/>
  <c r="N114" i="31" s="1"/>
  <c r="L57" i="31"/>
  <c r="L93" i="31" s="1"/>
  <c r="J51" i="31"/>
  <c r="J87" i="31" s="1"/>
  <c r="J60" i="31"/>
  <c r="J96" i="31" s="1"/>
  <c r="S73" i="31"/>
  <c r="S109" i="31" s="1"/>
  <c r="S221" i="31" s="1"/>
  <c r="P119" i="31"/>
  <c r="P156" i="31" s="1"/>
  <c r="P123" i="31"/>
  <c r="P160" i="31" s="1"/>
  <c r="J130" i="31"/>
  <c r="J167" i="31" s="1"/>
  <c r="J134" i="31"/>
  <c r="J171" i="31" s="1"/>
  <c r="P137" i="31"/>
  <c r="P174" i="31" s="1"/>
  <c r="P141" i="31"/>
  <c r="P178" i="31" s="1"/>
  <c r="R146" i="31"/>
  <c r="R183" i="31" s="1"/>
  <c r="O118" i="31"/>
  <c r="O155" i="31" s="1"/>
  <c r="Q123" i="31"/>
  <c r="Q160" i="31" s="1"/>
  <c r="M141" i="31"/>
  <c r="M178" i="31" s="1"/>
  <c r="M147" i="31"/>
  <c r="P118" i="31"/>
  <c r="P155" i="31" s="1"/>
  <c r="R123" i="31"/>
  <c r="R160" i="31" s="1"/>
  <c r="R129" i="31"/>
  <c r="R166" i="31" s="1"/>
  <c r="J135" i="31"/>
  <c r="J172" i="31" s="1"/>
  <c r="P140" i="31"/>
  <c r="P177" i="31" s="1"/>
  <c r="Q126" i="31"/>
  <c r="Q163" i="31" s="1"/>
  <c r="K149" i="31"/>
  <c r="K186" i="31" s="1"/>
  <c r="O67" i="31"/>
  <c r="O103" i="31" s="1"/>
  <c r="S133" i="31"/>
  <c r="S170" i="31" s="1"/>
  <c r="M56" i="31"/>
  <c r="K139" i="31"/>
  <c r="K176" i="31" s="1"/>
  <c r="Q128" i="31"/>
  <c r="Q165" i="31" s="1"/>
  <c r="R56" i="31"/>
  <c r="R92" i="31" s="1"/>
  <c r="L46" i="31"/>
  <c r="L82" i="31" s="1"/>
  <c r="M77" i="31"/>
  <c r="M75" i="31"/>
  <c r="M111" i="31" s="1"/>
  <c r="M73" i="31"/>
  <c r="M71" i="31"/>
  <c r="M69" i="31"/>
  <c r="M67" i="31"/>
  <c r="M103" i="31" s="1"/>
  <c r="M65" i="31"/>
  <c r="M63" i="31"/>
  <c r="M61" i="31"/>
  <c r="M97" i="31" s="1"/>
  <c r="S56" i="31"/>
  <c r="S92" i="31" s="1"/>
  <c r="S204" i="31" s="1"/>
  <c r="O54" i="31"/>
  <c r="O90" i="31" s="1"/>
  <c r="K50" i="31"/>
  <c r="K86" i="31" s="1"/>
  <c r="R46" i="31"/>
  <c r="R82" i="31" s="1"/>
  <c r="R194" i="31" s="1"/>
  <c r="P50" i="31"/>
  <c r="P86" i="31" s="1"/>
  <c r="J57" i="31"/>
  <c r="J93" i="31" s="1"/>
  <c r="N64" i="31"/>
  <c r="N100" i="31" s="1"/>
  <c r="K75" i="31"/>
  <c r="K111" i="31" s="1"/>
  <c r="M78" i="31"/>
  <c r="Q56" i="31"/>
  <c r="Q92" i="31" s="1"/>
  <c r="J62" i="31"/>
  <c r="J98" i="31" s="1"/>
  <c r="N67" i="31"/>
  <c r="N103" i="31" s="1"/>
  <c r="N54" i="31"/>
  <c r="N90" i="31" s="1"/>
  <c r="K65" i="31"/>
  <c r="K101" i="31" s="1"/>
  <c r="R68" i="31"/>
  <c r="R104" i="31" s="1"/>
  <c r="R216" i="31" s="1"/>
  <c r="P72" i="31"/>
  <c r="P108" i="31" s="1"/>
  <c r="L48" i="31"/>
  <c r="L84" i="31" s="1"/>
  <c r="N59" i="31"/>
  <c r="N95" i="31" s="1"/>
  <c r="L47" i="31"/>
  <c r="L83" i="31" s="1"/>
  <c r="L62" i="31"/>
  <c r="L98" i="31" s="1"/>
  <c r="J76" i="31"/>
  <c r="J112" i="31" s="1"/>
  <c r="J124" i="31"/>
  <c r="J161" i="31" s="1"/>
  <c r="P127" i="31"/>
  <c r="P164" i="31" s="1"/>
  <c r="P131" i="31"/>
  <c r="P168" i="31" s="1"/>
  <c r="J138" i="31"/>
  <c r="J175" i="31" s="1"/>
  <c r="L143" i="31"/>
  <c r="L180" i="31" s="1"/>
  <c r="M131" i="31"/>
  <c r="J119" i="31"/>
  <c r="J156" i="31" s="1"/>
  <c r="L126" i="31"/>
  <c r="L163" i="31" s="1"/>
  <c r="L148" i="31"/>
  <c r="L185" i="31" s="1"/>
  <c r="S129" i="31"/>
  <c r="S166" i="31" s="1"/>
  <c r="Q62" i="31"/>
  <c r="Q98" i="31" s="1"/>
  <c r="Q210" i="31" s="1"/>
  <c r="Q78" i="31"/>
  <c r="Q114" i="31" s="1"/>
  <c r="M140" i="31"/>
  <c r="O77" i="31"/>
  <c r="O113" i="31" s="1"/>
  <c r="M142" i="31"/>
  <c r="S131" i="31"/>
  <c r="S168" i="31" s="1"/>
  <c r="AH45" i="53"/>
  <c r="AH48" i="53" s="1"/>
  <c r="S58" i="31"/>
  <c r="S94" i="31" s="1"/>
  <c r="S206" i="31" s="1"/>
  <c r="O56" i="31"/>
  <c r="O92" i="31" s="1"/>
  <c r="K52" i="31"/>
  <c r="K88" i="31" s="1"/>
  <c r="Q47" i="31"/>
  <c r="Q83" i="31" s="1"/>
  <c r="Q195" i="31" s="1"/>
  <c r="R53" i="31"/>
  <c r="R89" i="31" s="1"/>
  <c r="R201" i="31" s="1"/>
  <c r="O57" i="31"/>
  <c r="O93" i="31" s="1"/>
  <c r="L61" i="31"/>
  <c r="L97" i="31" s="1"/>
  <c r="L68" i="31"/>
  <c r="L104" i="31" s="1"/>
  <c r="S71" i="31"/>
  <c r="S107" i="31" s="1"/>
  <c r="S219" i="31" s="1"/>
  <c r="P75" i="31"/>
  <c r="P111" i="31" s="1"/>
  <c r="J48" i="31"/>
  <c r="J84" i="31" s="1"/>
  <c r="L51" i="31"/>
  <c r="L87" i="31" s="1"/>
  <c r="Q58" i="31"/>
  <c r="Q94" i="31" s="1"/>
  <c r="S61" i="31"/>
  <c r="S97" i="31" s="1"/>
  <c r="P65" i="31"/>
  <c r="P101" i="31" s="1"/>
  <c r="N69" i="31"/>
  <c r="N105" i="31" s="1"/>
  <c r="R75" i="31"/>
  <c r="R111" i="31" s="1"/>
  <c r="J53" i="31"/>
  <c r="J89" i="31" s="1"/>
  <c r="O61" i="31"/>
  <c r="O97" i="31" s="1"/>
  <c r="L72" i="31"/>
  <c r="L108" i="31" s="1"/>
  <c r="L55" i="31"/>
  <c r="L91" i="31" s="1"/>
  <c r="L70" i="31"/>
  <c r="L106" i="31" s="1"/>
  <c r="N49" i="31"/>
  <c r="N85" i="31" s="1"/>
  <c r="L121" i="31"/>
  <c r="L158" i="31" s="1"/>
  <c r="N124" i="31"/>
  <c r="N161" i="31" s="1"/>
  <c r="L135" i="31"/>
  <c r="L172" i="31" s="1"/>
  <c r="N138" i="31"/>
  <c r="N175" i="31" s="1"/>
  <c r="P143" i="31"/>
  <c r="P180" i="31" s="1"/>
  <c r="R148" i="31"/>
  <c r="R185" i="31" s="1"/>
  <c r="O120" i="31"/>
  <c r="O157" i="31" s="1"/>
  <c r="O126" i="31"/>
  <c r="O163" i="31" s="1"/>
  <c r="Q131" i="31"/>
  <c r="Q168" i="31" s="1"/>
  <c r="S136" i="31"/>
  <c r="S173" i="31" s="1"/>
  <c r="M149" i="31"/>
  <c r="P120" i="31"/>
  <c r="P157" i="31" s="1"/>
  <c r="P126" i="31"/>
  <c r="P163" i="31" s="1"/>
  <c r="R131" i="31"/>
  <c r="R168" i="31" s="1"/>
  <c r="J137" i="31"/>
  <c r="J174" i="31" s="1"/>
  <c r="J143" i="31"/>
  <c r="J180" i="31" s="1"/>
  <c r="P148" i="31"/>
  <c r="P185" i="31" s="1"/>
  <c r="O131" i="31"/>
  <c r="O168" i="31" s="1"/>
  <c r="K121" i="31"/>
  <c r="K158" i="31" s="1"/>
  <c r="P69" i="31"/>
  <c r="P105" i="31" s="1"/>
  <c r="K69" i="31"/>
  <c r="K105" i="31" s="1"/>
  <c r="R47" i="31"/>
  <c r="R83" i="31" s="1"/>
  <c r="R195" i="31" s="1"/>
  <c r="L63" i="31"/>
  <c r="L99" i="31" s="1"/>
  <c r="N76" i="31"/>
  <c r="N58" i="31"/>
  <c r="N94" i="31" s="1"/>
  <c r="J46" i="31"/>
  <c r="J82" i="31" s="1"/>
  <c r="K61" i="31"/>
  <c r="K97" i="31" s="1"/>
  <c r="P76" i="31"/>
  <c r="P112" i="31" s="1"/>
  <c r="S49" i="31"/>
  <c r="S85" i="31" s="1"/>
  <c r="S197" i="31" s="1"/>
  <c r="M48" i="31"/>
  <c r="M84" i="31" s="1"/>
  <c r="N65" i="31"/>
  <c r="N101" i="31" s="1"/>
  <c r="N74" i="31"/>
  <c r="N110" i="31" s="1"/>
  <c r="N50" i="31"/>
  <c r="N86" i="31" s="1"/>
  <c r="L54" i="31"/>
  <c r="L90" i="31" s="1"/>
  <c r="P52" i="31"/>
  <c r="P88" i="31" s="1"/>
  <c r="R64" i="31"/>
  <c r="R100" i="31" s="1"/>
  <c r="R71" i="31"/>
  <c r="R107" i="31" s="1"/>
  <c r="P78" i="31"/>
  <c r="P114" i="31" s="1"/>
  <c r="J75" i="31"/>
  <c r="J111" i="31" s="1"/>
  <c r="P68" i="31"/>
  <c r="P104" i="31" s="1"/>
  <c r="J78" i="31"/>
  <c r="J114" i="31" s="1"/>
  <c r="R73" i="31"/>
  <c r="R109" i="31" s="1"/>
  <c r="Q221" i="31" s="1"/>
  <c r="K53" i="31"/>
  <c r="K89" i="31" s="1"/>
  <c r="L73" i="31"/>
  <c r="L109" i="31" s="1"/>
  <c r="N68" i="31"/>
  <c r="N104" i="31" s="1"/>
  <c r="N60" i="31"/>
  <c r="N96" i="31" s="1"/>
  <c r="M50" i="31"/>
  <c r="N73" i="31"/>
  <c r="N109" i="31" s="1"/>
  <c r="N75" i="31"/>
  <c r="N111" i="31" s="1"/>
  <c r="K71" i="31"/>
  <c r="K107" i="31" s="1"/>
  <c r="P63" i="31"/>
  <c r="P99" i="31" s="1"/>
  <c r="N51" i="31"/>
  <c r="N87" i="31" s="1"/>
  <c r="L74" i="31"/>
  <c r="L110" i="31" s="1"/>
  <c r="O71" i="31"/>
  <c r="O107" i="31" s="1"/>
  <c r="L66" i="31"/>
  <c r="L102" i="31" s="1"/>
  <c r="O63" i="31"/>
  <c r="O99" i="31" s="1"/>
  <c r="L58" i="31"/>
  <c r="L94" i="31" s="1"/>
  <c r="O55" i="31"/>
  <c r="O91" i="31" s="1"/>
  <c r="L50" i="31"/>
  <c r="L86" i="31" s="1"/>
  <c r="O47" i="31"/>
  <c r="O83" i="31" s="1"/>
  <c r="Q76" i="31"/>
  <c r="Q112" i="31" s="1"/>
  <c r="Q224" i="31" s="1"/>
  <c r="J74" i="31"/>
  <c r="J110" i="31" s="1"/>
  <c r="N71" i="31"/>
  <c r="N107" i="31" s="1"/>
  <c r="Q68" i="31"/>
  <c r="Q104" i="31" s="1"/>
  <c r="J66" i="31"/>
  <c r="J102" i="31" s="1"/>
  <c r="N63" i="31"/>
  <c r="N99" i="31" s="1"/>
  <c r="Q60" i="31"/>
  <c r="Q96" i="31" s="1"/>
  <c r="J58" i="31"/>
  <c r="J94" i="31" s="1"/>
  <c r="N55" i="31"/>
  <c r="N91" i="31" s="1"/>
  <c r="Q52" i="31"/>
  <c r="Q88" i="31" s="1"/>
  <c r="Q200" i="31" s="1"/>
  <c r="J50" i="31"/>
  <c r="J86" i="31" s="1"/>
  <c r="N47" i="31"/>
  <c r="N83" i="31" s="1"/>
  <c r="M47" i="31"/>
  <c r="M49" i="31"/>
  <c r="M51" i="31"/>
  <c r="M53" i="31"/>
  <c r="M89" i="31" s="1"/>
  <c r="M55" i="31"/>
  <c r="M57" i="31"/>
  <c r="M59" i="31"/>
  <c r="M95" i="31" s="1"/>
  <c r="O75" i="31"/>
  <c r="O111" i="31" s="1"/>
  <c r="R72" i="31"/>
  <c r="R108" i="31" s="1"/>
  <c r="R220" i="31" s="1"/>
  <c r="J59" i="31"/>
  <c r="J95" i="31" s="1"/>
  <c r="K77" i="31"/>
  <c r="K113" i="31" s="1"/>
  <c r="Q70" i="31"/>
  <c r="Q106" i="31" s="1"/>
  <c r="Q218" i="31" s="1"/>
  <c r="S57" i="31"/>
  <c r="S93" i="31" s="1"/>
  <c r="M72" i="31"/>
  <c r="M108" i="31" s="1"/>
  <c r="P61" i="31"/>
  <c r="P97" i="31" s="1"/>
  <c r="R48" i="31"/>
  <c r="R84" i="31" s="1"/>
  <c r="P62" i="31"/>
  <c r="P98" i="31" s="1"/>
  <c r="K55" i="31"/>
  <c r="K91" i="31" s="1"/>
  <c r="R49" i="31"/>
  <c r="R85" i="31" s="1"/>
  <c r="P47" i="31"/>
  <c r="P83" i="31" s="1"/>
  <c r="M76" i="31"/>
  <c r="M112" i="31" s="1"/>
  <c r="J71" i="31"/>
  <c r="J107" i="31" s="1"/>
  <c r="M68" i="31"/>
  <c r="J63" i="31"/>
  <c r="J99" i="31" s="1"/>
  <c r="M60" i="31"/>
  <c r="M96" i="31" s="1"/>
  <c r="J55" i="31"/>
  <c r="J91" i="31" s="1"/>
  <c r="M52" i="31"/>
  <c r="J47" i="31"/>
  <c r="J83" i="31" s="1"/>
  <c r="S67" i="31"/>
  <c r="S103" i="31" s="1"/>
  <c r="L64" i="31"/>
  <c r="L100" i="31" s="1"/>
  <c r="S59" i="31"/>
  <c r="S95" i="31" s="1"/>
  <c r="S207" i="31" s="1"/>
  <c r="P55" i="31"/>
  <c r="P91" i="31" s="1"/>
  <c r="R78" i="31"/>
  <c r="R114" i="31" s="1"/>
  <c r="R226" i="31" s="1"/>
  <c r="R70" i="31"/>
  <c r="R106" i="31" s="1"/>
  <c r="R218" i="31" s="1"/>
  <c r="R62" i="31"/>
  <c r="R98" i="31" s="1"/>
  <c r="R210" i="31" s="1"/>
  <c r="R54" i="31"/>
  <c r="R90" i="31" s="1"/>
  <c r="R202" i="31" s="1"/>
  <c r="O149" i="31"/>
  <c r="O186" i="31" s="1"/>
  <c r="O141" i="31"/>
  <c r="O178" i="31" s="1"/>
  <c r="O133" i="31"/>
  <c r="O170" i="31" s="1"/>
  <c r="O125" i="31"/>
  <c r="O162" i="31" s="1"/>
  <c r="K150" i="31"/>
  <c r="K187" i="31" s="1"/>
  <c r="K148" i="31"/>
  <c r="K185" i="31" s="1"/>
  <c r="K146" i="31"/>
  <c r="K183" i="31" s="1"/>
  <c r="K144" i="31"/>
  <c r="K181" i="31" s="1"/>
  <c r="K142" i="31"/>
  <c r="K179" i="31" s="1"/>
  <c r="K140" i="31"/>
  <c r="K177" i="31" s="1"/>
  <c r="K138" i="31"/>
  <c r="K175" i="31" s="1"/>
  <c r="K136" i="31"/>
  <c r="K173" i="31" s="1"/>
  <c r="K134" i="31"/>
  <c r="K171" i="31" s="1"/>
  <c r="K132" i="31"/>
  <c r="K169" i="31" s="1"/>
  <c r="K130" i="31"/>
  <c r="K167" i="31" s="1"/>
  <c r="K128" i="31"/>
  <c r="K165" i="31" s="1"/>
  <c r="K126" i="31"/>
  <c r="K163" i="31" s="1"/>
  <c r="K124" i="31"/>
  <c r="K161" i="31" s="1"/>
  <c r="K122" i="31"/>
  <c r="K159" i="31" s="1"/>
  <c r="K120" i="31"/>
  <c r="K157" i="31" s="1"/>
  <c r="K118" i="31"/>
  <c r="K155" i="31" s="1"/>
  <c r="J150" i="31"/>
  <c r="J187" i="31" s="1"/>
  <c r="J148" i="31"/>
  <c r="J185" i="31" s="1"/>
  <c r="J146" i="31"/>
  <c r="J183" i="31" s="1"/>
  <c r="J144" i="31"/>
  <c r="J181" i="31" s="1"/>
  <c r="M146" i="31"/>
  <c r="M138" i="31"/>
  <c r="M175" i="31" s="1"/>
  <c r="M130" i="31"/>
  <c r="M122" i="31"/>
  <c r="O145" i="31"/>
  <c r="O182" i="31" s="1"/>
  <c r="O137" i="31"/>
  <c r="O174" i="31" s="1"/>
  <c r="O129" i="31"/>
  <c r="O166" i="31" s="1"/>
  <c r="O121" i="31"/>
  <c r="O158" i="31" s="1"/>
  <c r="N149" i="31"/>
  <c r="N186" i="31" s="1"/>
  <c r="N147" i="31"/>
  <c r="N184" i="31" s="1"/>
  <c r="N145" i="31"/>
  <c r="N182" i="31" s="1"/>
  <c r="N143" i="31"/>
  <c r="N180" i="31" s="1"/>
  <c r="N141" i="31"/>
  <c r="N178" i="31" s="1"/>
  <c r="N139" i="31"/>
  <c r="N176" i="31" s="1"/>
  <c r="N137" i="31"/>
  <c r="N174" i="31" s="1"/>
  <c r="N135" i="31"/>
  <c r="N172" i="31" s="1"/>
  <c r="N133" i="31"/>
  <c r="N170" i="31" s="1"/>
  <c r="N131" i="31"/>
  <c r="N168" i="31" s="1"/>
  <c r="N129" i="31"/>
  <c r="N166" i="31" s="1"/>
  <c r="N127" i="31"/>
  <c r="N164" i="31" s="1"/>
  <c r="N125" i="31"/>
  <c r="N162" i="31" s="1"/>
  <c r="N123" i="31"/>
  <c r="N160" i="31" s="1"/>
  <c r="N121" i="31"/>
  <c r="N158" i="31" s="1"/>
  <c r="N119" i="31"/>
  <c r="N156" i="31" s="1"/>
  <c r="K119" i="31"/>
  <c r="K156" i="31" s="1"/>
  <c r="Q118" i="31"/>
  <c r="Q155" i="31" s="1"/>
  <c r="L149" i="31"/>
  <c r="L186" i="31" s="1"/>
  <c r="L147" i="31"/>
  <c r="L184" i="31" s="1"/>
  <c r="L145" i="31"/>
  <c r="L182" i="31" s="1"/>
  <c r="Q148" i="31"/>
  <c r="Q185" i="31" s="1"/>
  <c r="S149" i="31"/>
  <c r="S186" i="31" s="1"/>
  <c r="Q138" i="31"/>
  <c r="Q175" i="31" s="1"/>
  <c r="K129" i="31"/>
  <c r="K166" i="31" s="1"/>
  <c r="S145" i="31"/>
  <c r="S182" i="31" s="1"/>
  <c r="Q134" i="31"/>
  <c r="Q171" i="31" s="1"/>
  <c r="K125" i="31"/>
  <c r="K162" i="31" s="1"/>
  <c r="L144" i="31"/>
  <c r="L181" i="31" s="1"/>
  <c r="L136" i="31"/>
  <c r="L173" i="31" s="1"/>
  <c r="L128" i="31"/>
  <c r="L165" i="31" s="1"/>
  <c r="L120" i="31"/>
  <c r="L157" i="31" s="1"/>
  <c r="S148" i="31"/>
  <c r="S185" i="31" s="1"/>
  <c r="O146" i="31"/>
  <c r="O183" i="31" s="1"/>
  <c r="Q143" i="31"/>
  <c r="Q180" i="31" s="1"/>
  <c r="S140" i="31"/>
  <c r="S177" i="31" s="1"/>
  <c r="O138" i="31"/>
  <c r="O175" i="31" s="1"/>
  <c r="Q135" i="31"/>
  <c r="Q172" i="31" s="1"/>
  <c r="S132" i="31"/>
  <c r="S169" i="31" s="1"/>
  <c r="O130" i="31"/>
  <c r="O167" i="31" s="1"/>
  <c r="Q127" i="31"/>
  <c r="Q164" i="31" s="1"/>
  <c r="S124" i="31"/>
  <c r="S161" i="31" s="1"/>
  <c r="O122" i="31"/>
  <c r="O159" i="31" s="1"/>
  <c r="Q119" i="31"/>
  <c r="Q156" i="31" s="1"/>
  <c r="R150" i="31"/>
  <c r="R187" i="31" s="1"/>
  <c r="N148" i="31"/>
  <c r="N185" i="31" s="1"/>
  <c r="P145" i="31"/>
  <c r="P182" i="31" s="1"/>
  <c r="S147" i="31"/>
  <c r="S184" i="31" s="1"/>
  <c r="Q136" i="31"/>
  <c r="Q173" i="31" s="1"/>
  <c r="K127" i="31"/>
  <c r="K164" i="31" s="1"/>
  <c r="K147" i="31"/>
  <c r="K184" i="31" s="1"/>
  <c r="S135" i="31"/>
  <c r="S172" i="31" s="1"/>
  <c r="M126" i="31"/>
  <c r="M148" i="31"/>
  <c r="M185" i="31" s="1"/>
  <c r="O127" i="31"/>
  <c r="O164" i="31" s="1"/>
  <c r="M144" i="31"/>
  <c r="O123" i="31"/>
  <c r="O160" i="31" s="1"/>
  <c r="J149" i="31"/>
  <c r="J186" i="31" s="1"/>
  <c r="P146" i="31"/>
  <c r="P183" i="31" s="1"/>
  <c r="R143" i="31"/>
  <c r="R180" i="31" s="1"/>
  <c r="J141" i="31"/>
  <c r="J178" i="31" s="1"/>
  <c r="P138" i="31"/>
  <c r="P175" i="31" s="1"/>
  <c r="R135" i="31"/>
  <c r="R172" i="31" s="1"/>
  <c r="J133" i="31"/>
  <c r="J170" i="31" s="1"/>
  <c r="P130" i="31"/>
  <c r="P167" i="31" s="1"/>
  <c r="R127" i="31"/>
  <c r="R164" i="31" s="1"/>
  <c r="J125" i="31"/>
  <c r="J162" i="31" s="1"/>
  <c r="P122" i="31"/>
  <c r="P159" i="31" s="1"/>
  <c r="R119" i="31"/>
  <c r="R156" i="31" s="1"/>
  <c r="M143" i="31"/>
  <c r="M135" i="31"/>
  <c r="M172" i="31" s="1"/>
  <c r="M127" i="31"/>
  <c r="M119" i="31"/>
  <c r="R142" i="31"/>
  <c r="R179" i="31" s="1"/>
  <c r="R140" i="31"/>
  <c r="R177" i="31" s="1"/>
  <c r="R138" i="31"/>
  <c r="R175" i="31" s="1"/>
  <c r="R136" i="31"/>
  <c r="R173" i="31" s="1"/>
  <c r="R134" i="31"/>
  <c r="R171" i="31" s="1"/>
  <c r="R132" i="31"/>
  <c r="R169" i="31" s="1"/>
  <c r="R130" i="31"/>
  <c r="R167" i="31" s="1"/>
  <c r="R128" i="31"/>
  <c r="R165" i="31" s="1"/>
  <c r="R126" i="31"/>
  <c r="R163" i="31" s="1"/>
  <c r="R124" i="31"/>
  <c r="R161" i="31" s="1"/>
  <c r="R122" i="31"/>
  <c r="R159" i="31" s="1"/>
  <c r="R120" i="31"/>
  <c r="R157" i="31" s="1"/>
  <c r="R118" i="31"/>
  <c r="R155" i="31" s="1"/>
  <c r="Q124" i="31"/>
  <c r="Q161" i="31" s="1"/>
  <c r="Q146" i="31"/>
  <c r="Q183" i="31" s="1"/>
  <c r="K137" i="31"/>
  <c r="K174" i="31" s="1"/>
  <c r="S125" i="31"/>
  <c r="S162" i="31" s="1"/>
  <c r="Q142" i="31"/>
  <c r="Q179" i="31" s="1"/>
  <c r="K133" i="31"/>
  <c r="K170" i="31" s="1"/>
  <c r="S121" i="31"/>
  <c r="S158" i="31" s="1"/>
  <c r="L146" i="31"/>
  <c r="L183" i="31" s="1"/>
  <c r="L138" i="31"/>
  <c r="L175" i="31" s="1"/>
  <c r="L130" i="31"/>
  <c r="L167" i="31" s="1"/>
  <c r="L122" i="31"/>
  <c r="L159" i="31" s="1"/>
  <c r="S150" i="31"/>
  <c r="S187" i="31" s="1"/>
  <c r="O148" i="31"/>
  <c r="O185" i="31" s="1"/>
  <c r="Q145" i="31"/>
  <c r="Q182" i="31" s="1"/>
  <c r="S142" i="31"/>
  <c r="S179" i="31" s="1"/>
  <c r="O140" i="31"/>
  <c r="O177" i="31" s="1"/>
  <c r="Q137" i="31"/>
  <c r="Q174" i="31" s="1"/>
  <c r="S134" i="31"/>
  <c r="S171" i="31" s="1"/>
  <c r="O132" i="31"/>
  <c r="O169" i="31" s="1"/>
  <c r="Q129" i="31"/>
  <c r="Q166" i="31" s="1"/>
  <c r="S126" i="31"/>
  <c r="S163" i="31" s="1"/>
  <c r="O124" i="31"/>
  <c r="O161" i="31" s="1"/>
  <c r="Q121" i="31"/>
  <c r="Q158" i="31" s="1"/>
  <c r="S118" i="31"/>
  <c r="S155" i="31" s="1"/>
  <c r="N150" i="31"/>
  <c r="N187" i="31" s="1"/>
  <c r="P147" i="31"/>
  <c r="P184" i="31" s="1"/>
  <c r="R144" i="31"/>
  <c r="R181" i="31" s="1"/>
  <c r="J118" i="31"/>
  <c r="J155" i="31" s="1"/>
  <c r="S139" i="31"/>
  <c r="S176" i="31" s="1"/>
  <c r="Q120" i="31"/>
  <c r="Q157" i="31" s="1"/>
  <c r="M134" i="31"/>
  <c r="M171" i="31" s="1"/>
  <c r="K145" i="31"/>
  <c r="K182" i="31" s="1"/>
  <c r="S137" i="31"/>
  <c r="S174" i="31" s="1"/>
  <c r="M118" i="31"/>
  <c r="J147" i="31"/>
  <c r="J184" i="31" s="1"/>
  <c r="P142" i="31"/>
  <c r="P179" i="31" s="1"/>
  <c r="R137" i="31"/>
  <c r="R174" i="31" s="1"/>
  <c r="L134" i="31"/>
  <c r="L171" i="31" s="1"/>
  <c r="R125" i="31"/>
  <c r="R162" i="31" s="1"/>
  <c r="J121" i="31"/>
  <c r="J158" i="31" s="1"/>
  <c r="S146" i="31"/>
  <c r="S183" i="31" s="1"/>
  <c r="O142" i="31"/>
  <c r="O179" i="31" s="1"/>
  <c r="M129" i="31"/>
  <c r="Q125" i="31"/>
  <c r="Q162" i="31" s="1"/>
  <c r="S120" i="31"/>
  <c r="S157" i="31" s="1"/>
  <c r="N142" i="31"/>
  <c r="N179" i="31" s="1"/>
  <c r="P139" i="31"/>
  <c r="P176" i="31" s="1"/>
  <c r="N136" i="31"/>
  <c r="N173" i="31" s="1"/>
  <c r="L131" i="31"/>
  <c r="L168" i="31" s="1"/>
  <c r="N128" i="31"/>
  <c r="N165" i="31" s="1"/>
  <c r="L123" i="31"/>
  <c r="L160" i="31" s="1"/>
  <c r="N120" i="31"/>
  <c r="N157" i="31" s="1"/>
  <c r="K135" i="31"/>
  <c r="K172" i="31" s="1"/>
  <c r="Q132" i="31"/>
  <c r="Q169" i="31" s="1"/>
  <c r="O143" i="31"/>
  <c r="O180" i="31" s="1"/>
  <c r="M124" i="31"/>
  <c r="Q150" i="31"/>
  <c r="Q187" i="31" s="1"/>
  <c r="M136" i="31"/>
  <c r="P150" i="31"/>
  <c r="P187" i="31" s="1"/>
  <c r="R145" i="31"/>
  <c r="R182" i="31" s="1"/>
  <c r="L142" i="31"/>
  <c r="L179" i="31" s="1"/>
  <c r="R133" i="31"/>
  <c r="R170" i="31" s="1"/>
  <c r="J129" i="31"/>
  <c r="J166" i="31" s="1"/>
  <c r="P124" i="31"/>
  <c r="P161" i="31" s="1"/>
  <c r="O150" i="31"/>
  <c r="O187" i="31" s="1"/>
  <c r="M137" i="31"/>
  <c r="M174" i="31" s="1"/>
  <c r="Q133" i="31"/>
  <c r="Q170" i="31" s="1"/>
  <c r="S128" i="31"/>
  <c r="S165" i="31" s="1"/>
  <c r="M125" i="31"/>
  <c r="M162" i="31" s="1"/>
  <c r="N146" i="31"/>
  <c r="N183" i="31" s="1"/>
  <c r="J142" i="31"/>
  <c r="J179" i="31" s="1"/>
  <c r="L139" i="31"/>
  <c r="L176" i="31" s="1"/>
  <c r="J136" i="31"/>
  <c r="J173" i="31" s="1"/>
  <c r="P133" i="31"/>
  <c r="P170" i="31" s="1"/>
  <c r="J128" i="31"/>
  <c r="J165" i="31" s="1"/>
  <c r="P125" i="31"/>
  <c r="P162" i="31" s="1"/>
  <c r="J120" i="31"/>
  <c r="J157" i="31" s="1"/>
  <c r="K58" i="31"/>
  <c r="K94" i="31" s="1"/>
  <c r="Q53" i="31"/>
  <c r="Q89" i="31" s="1"/>
  <c r="S48" i="31"/>
  <c r="S84" i="31" s="1"/>
  <c r="S196" i="31" s="1"/>
  <c r="O46" i="31"/>
  <c r="O82" i="31" s="1"/>
  <c r="K59" i="31"/>
  <c r="K95" i="31" s="1"/>
  <c r="M62" i="31"/>
  <c r="M98" i="31" s="1"/>
  <c r="P66" i="31"/>
  <c r="P102" i="31" s="1"/>
  <c r="J73" i="31"/>
  <c r="J109" i="31" s="1"/>
  <c r="R50" i="31"/>
  <c r="R86" i="31" s="1"/>
  <c r="R58" i="31"/>
  <c r="R94" i="31" s="1"/>
  <c r="R206" i="31" s="1"/>
  <c r="L65" i="31"/>
  <c r="L101" i="31" s="1"/>
  <c r="P70" i="31"/>
  <c r="P106" i="31" s="1"/>
  <c r="K49" i="31"/>
  <c r="K85" i="31" s="1"/>
  <c r="R52" i="31"/>
  <c r="R88" i="31" s="1"/>
  <c r="R200" i="31" s="1"/>
  <c r="P56" i="31"/>
  <c r="P92" i="31" s="1"/>
  <c r="N70" i="31"/>
  <c r="N106" i="31" s="1"/>
  <c r="L49" i="31"/>
  <c r="L85" i="31" s="1"/>
  <c r="L56" i="31"/>
  <c r="L92" i="31" s="1"/>
  <c r="Q46" i="31"/>
  <c r="Q82" i="31" s="1"/>
  <c r="R63" i="31"/>
  <c r="R99" i="31" s="1"/>
  <c r="Q72" i="31"/>
  <c r="Q108" i="31" s="1"/>
  <c r="J122" i="31"/>
  <c r="J159" i="31" s="1"/>
  <c r="J126" i="31"/>
  <c r="J163" i="31" s="1"/>
  <c r="P129" i="31"/>
  <c r="P166" i="31" s="1"/>
  <c r="N140" i="31"/>
  <c r="N177" i="31" s="1"/>
  <c r="O119" i="31"/>
  <c r="O156" i="31" s="1"/>
  <c r="S122" i="31"/>
  <c r="S159" i="31" s="1"/>
  <c r="O128" i="31"/>
  <c r="O165" i="31" s="1"/>
  <c r="O134" i="31"/>
  <c r="O171" i="31" s="1"/>
  <c r="Q139" i="31"/>
  <c r="Q176" i="31" s="1"/>
  <c r="S144" i="31"/>
  <c r="S181" i="31" s="1"/>
  <c r="S119" i="31"/>
  <c r="S156" i="31" s="1"/>
  <c r="J123" i="31"/>
  <c r="J160" i="31" s="1"/>
  <c r="P128" i="31"/>
  <c r="P165" i="31" s="1"/>
  <c r="P134" i="31"/>
  <c r="P171" i="31" s="1"/>
  <c r="R139" i="31"/>
  <c r="R176" i="31" s="1"/>
  <c r="J145" i="31"/>
  <c r="J182" i="31" s="1"/>
  <c r="M120" i="31"/>
  <c r="M157" i="31" s="1"/>
  <c r="M74" i="31"/>
  <c r="Q130" i="31"/>
  <c r="Q167" i="31" s="1"/>
  <c r="K78" i="31"/>
  <c r="K114" i="31" s="1"/>
  <c r="K76" i="31"/>
  <c r="K112" i="31" s="1"/>
  <c r="K74" i="31"/>
  <c r="K110" i="31" s="1"/>
  <c r="K72" i="31"/>
  <c r="K108" i="31" s="1"/>
  <c r="K70" i="31"/>
  <c r="K106" i="31" s="1"/>
  <c r="K68" i="31"/>
  <c r="K104" i="31" s="1"/>
  <c r="K66" i="31"/>
  <c r="K102" i="31" s="1"/>
  <c r="K64" i="31"/>
  <c r="K100" i="31" s="1"/>
  <c r="K62" i="31"/>
  <c r="K98" i="31" s="1"/>
  <c r="K60" i="31"/>
  <c r="K96" i="31" s="1"/>
  <c r="Q55" i="31"/>
  <c r="Q91" i="31" s="1"/>
  <c r="S50" i="31"/>
  <c r="S86" i="31" s="1"/>
  <c r="S198" i="31" s="1"/>
  <c r="O48" i="31"/>
  <c r="O84" i="31" s="1"/>
  <c r="J49" i="31"/>
  <c r="J85" i="31" s="1"/>
  <c r="L52" i="31"/>
  <c r="L88" i="31" s="1"/>
  <c r="S55" i="31"/>
  <c r="S91" i="31" s="1"/>
  <c r="S203" i="31" s="1"/>
  <c r="P59" i="31"/>
  <c r="P95" i="31" s="1"/>
  <c r="R69" i="31"/>
  <c r="R105" i="31" s="1"/>
  <c r="R217" i="31" s="1"/>
  <c r="O73" i="31"/>
  <c r="O109" i="31" s="1"/>
  <c r="L77" i="31"/>
  <c r="L113" i="31" s="1"/>
  <c r="N52" i="31"/>
  <c r="N88" i="31" s="1"/>
  <c r="M66" i="31"/>
  <c r="M102" i="31" s="1"/>
  <c r="M214" i="31" s="1"/>
  <c r="P71" i="31"/>
  <c r="P107" i="31" s="1"/>
  <c r="P49" i="31"/>
  <c r="P85" i="31" s="1"/>
  <c r="N53" i="31"/>
  <c r="N89" i="31" s="1"/>
  <c r="R59" i="31"/>
  <c r="R95" i="31" s="1"/>
  <c r="J64" i="31"/>
  <c r="J100" i="31" s="1"/>
  <c r="L67" i="31"/>
  <c r="L103" i="31" s="1"/>
  <c r="Q74" i="31"/>
  <c r="Q110" i="31" s="1"/>
  <c r="S77" i="31"/>
  <c r="S113" i="31" s="1"/>
  <c r="Q225" i="31" s="1"/>
  <c r="R65" i="31"/>
  <c r="R101" i="31" s="1"/>
  <c r="S65" i="31"/>
  <c r="S101" i="31" s="1"/>
  <c r="S213" i="31" s="1"/>
  <c r="S75" i="31"/>
  <c r="S111" i="31" s="1"/>
  <c r="S223" i="31" s="1"/>
  <c r="R55" i="31"/>
  <c r="R91" i="31" s="1"/>
  <c r="L119" i="31"/>
  <c r="L156" i="31" s="1"/>
  <c r="N122" i="31"/>
  <c r="N159" i="31" s="1"/>
  <c r="N126" i="31"/>
  <c r="N163" i="31" s="1"/>
  <c r="L133" i="31"/>
  <c r="L170" i="31" s="1"/>
  <c r="L137" i="31"/>
  <c r="L174" i="31" s="1"/>
  <c r="L141" i="31"/>
  <c r="L178" i="31" s="1"/>
  <c r="M123" i="31"/>
  <c r="M145" i="31"/>
  <c r="L118" i="31"/>
  <c r="L155" i="31" s="1"/>
  <c r="L140" i="31"/>
  <c r="L177" i="31" s="1"/>
  <c r="O147" i="31"/>
  <c r="O184" i="31" s="1"/>
  <c r="Q54" i="31"/>
  <c r="Q90" i="31" s="1"/>
  <c r="M132" i="31"/>
  <c r="M169" i="31" s="1"/>
  <c r="J52" i="31"/>
  <c r="J88" i="31" s="1"/>
  <c r="K131" i="31"/>
  <c r="K168" i="31" s="1"/>
  <c r="S123" i="31"/>
  <c r="S160" i="31" s="1"/>
  <c r="Q144" i="31"/>
  <c r="Q181" i="31" s="1"/>
  <c r="J22" i="23"/>
  <c r="J37" i="23"/>
  <c r="J51" i="23"/>
  <c r="K34" i="23"/>
  <c r="K46" i="23"/>
  <c r="L22" i="23"/>
  <c r="L30" i="23"/>
  <c r="L38" i="23"/>
  <c r="L46" i="23"/>
  <c r="J23" i="23"/>
  <c r="J40" i="23"/>
  <c r="K25" i="23"/>
  <c r="K42" i="23"/>
  <c r="M26" i="23"/>
  <c r="M34" i="23"/>
  <c r="M42" i="23"/>
  <c r="M50" i="23"/>
  <c r="M53" i="23"/>
  <c r="J28" i="23"/>
  <c r="J43" i="23"/>
  <c r="K24" i="23"/>
  <c r="K40" i="23"/>
  <c r="K49" i="23"/>
  <c r="L25" i="23"/>
  <c r="L33" i="23"/>
  <c r="L41" i="23"/>
  <c r="L49" i="23"/>
  <c r="J29" i="23"/>
  <c r="J47" i="23"/>
  <c r="K31" i="23"/>
  <c r="M21" i="23"/>
  <c r="M29" i="23"/>
  <c r="M37" i="23"/>
  <c r="M45" i="23"/>
  <c r="M47" i="23"/>
  <c r="M36" i="23"/>
  <c r="M25" i="23"/>
  <c r="K35" i="23"/>
  <c r="J45" i="23"/>
  <c r="L53" i="23"/>
  <c r="L43" i="23"/>
  <c r="L32" i="23"/>
  <c r="L21" i="23"/>
  <c r="K43" i="23"/>
  <c r="K22" i="23"/>
  <c r="J36" i="23"/>
  <c r="M46" i="23"/>
  <c r="M35" i="23"/>
  <c r="M24" i="23"/>
  <c r="K33" i="23"/>
  <c r="J42" i="23"/>
  <c r="L52" i="23"/>
  <c r="L42" i="23"/>
  <c r="L31" i="23"/>
  <c r="K53" i="23"/>
  <c r="K41" i="23"/>
  <c r="J53" i="23"/>
  <c r="J34" i="23"/>
  <c r="P293" i="73"/>
  <c r="H293" i="73" s="1"/>
  <c r="AN293" i="73"/>
  <c r="M44" i="23"/>
  <c r="M33" i="23"/>
  <c r="M23" i="23"/>
  <c r="K29" i="23"/>
  <c r="J38" i="23"/>
  <c r="L51" i="23"/>
  <c r="L40" i="23"/>
  <c r="L29" i="23"/>
  <c r="K51" i="23"/>
  <c r="K38" i="23"/>
  <c r="J50" i="23"/>
  <c r="J32" i="23"/>
  <c r="AB44" i="53"/>
  <c r="AB45" i="53"/>
  <c r="H169" i="90"/>
  <c r="A3" i="72"/>
  <c r="A3" i="86"/>
  <c r="A3" i="90"/>
  <c r="A3" i="83"/>
  <c r="A3" i="41"/>
  <c r="A3" i="89"/>
  <c r="C86" i="65"/>
  <c r="G193" i="85" s="1"/>
  <c r="AH57" i="82"/>
  <c r="AK190" i="105"/>
  <c r="AP191" i="105"/>
  <c r="AJ191" i="105"/>
  <c r="AD57" i="82"/>
  <c r="AN191" i="105"/>
  <c r="AN190" i="105"/>
  <c r="AK184" i="105"/>
  <c r="Q191" i="105"/>
  <c r="Q57" i="82"/>
  <c r="AD190" i="105"/>
  <c r="AF191" i="105"/>
  <c r="C186" i="105"/>
  <c r="G204" i="85" s="1"/>
  <c r="A3" i="106"/>
  <c r="A3" i="31"/>
  <c r="A3" i="55"/>
  <c r="A3" i="70"/>
  <c r="A3" i="23"/>
  <c r="A3" i="81"/>
  <c r="A3" i="28"/>
  <c r="A3" i="74"/>
  <c r="A3" i="84"/>
  <c r="A3" i="105"/>
  <c r="A3" i="87"/>
  <c r="A3" i="82"/>
  <c r="A3" i="22"/>
  <c r="A3" i="111"/>
  <c r="A3" i="76"/>
  <c r="A3" i="71"/>
  <c r="A3" i="73"/>
  <c r="A3" i="85"/>
  <c r="A3" i="65"/>
  <c r="C76" i="87"/>
  <c r="G84" i="85" s="1"/>
  <c r="C93" i="89"/>
  <c r="G94" i="85" s="1"/>
  <c r="C86" i="41"/>
  <c r="G186" i="85" s="1"/>
  <c r="C47" i="87"/>
  <c r="G82" i="85" s="1"/>
  <c r="C31" i="86"/>
  <c r="G88" i="85" s="1"/>
  <c r="C55" i="23"/>
  <c r="G103" i="85" s="1"/>
  <c r="C37" i="76"/>
  <c r="G154" i="85" s="1"/>
  <c r="C122" i="105"/>
  <c r="G199" i="85" s="1"/>
  <c r="C15" i="41"/>
  <c r="G183" i="85" s="1"/>
  <c r="C17" i="76"/>
  <c r="G152" i="85" s="1"/>
  <c r="C40" i="65"/>
  <c r="G190" i="85" s="1"/>
  <c r="C13" i="89"/>
  <c r="G90" i="85" s="1"/>
  <c r="C35" i="89"/>
  <c r="G92" i="85" s="1"/>
  <c r="C97" i="89"/>
  <c r="G95" i="85" s="1"/>
  <c r="C79" i="105"/>
  <c r="G197" i="85" s="1"/>
  <c r="C13" i="86"/>
  <c r="G86" i="85" s="1"/>
  <c r="C25" i="89"/>
  <c r="G91" i="85" s="1"/>
  <c r="C35" i="86"/>
  <c r="G89" i="85" s="1"/>
  <c r="C62" i="41"/>
  <c r="G185" i="85" s="1"/>
  <c r="C16" i="65"/>
  <c r="G188" i="85" s="1"/>
  <c r="C125" i="41"/>
  <c r="G187" i="85" s="1"/>
  <c r="C75" i="65"/>
  <c r="G192" i="85" s="1"/>
  <c r="C28" i="65"/>
  <c r="G189" i="85" s="1"/>
  <c r="C18" i="87"/>
  <c r="G81" i="85" s="1"/>
  <c r="C67" i="87"/>
  <c r="G83" i="85" s="1"/>
  <c r="C90" i="87"/>
  <c r="G85" i="85" s="1"/>
  <c r="C128" i="105"/>
  <c r="G200" i="85" s="1"/>
  <c r="C136" i="105"/>
  <c r="G201" i="85" s="1"/>
  <c r="C13" i="90"/>
  <c r="G72" i="85" s="1"/>
  <c r="C20" i="90"/>
  <c r="G73" i="85" s="1"/>
  <c r="C100" i="90"/>
  <c r="G77" i="85" s="1"/>
  <c r="C15" i="22"/>
  <c r="G104" i="85" s="1"/>
  <c r="C25" i="31"/>
  <c r="G98" i="85" s="1"/>
  <c r="C35" i="31"/>
  <c r="G99" i="85" s="1"/>
  <c r="C21" i="53"/>
  <c r="G106" i="85" s="1"/>
  <c r="C86" i="53"/>
  <c r="G109" i="85" s="1"/>
  <c r="C101" i="53"/>
  <c r="G111" i="85" s="1"/>
  <c r="C129" i="53"/>
  <c r="G113" i="85" s="1"/>
  <c r="C250" i="53"/>
  <c r="G115" i="85" s="1"/>
  <c r="C290" i="53"/>
  <c r="G116" i="85" s="1"/>
  <c r="C417" i="53"/>
  <c r="G121" i="85" s="1"/>
  <c r="C502" i="53"/>
  <c r="G123" i="85" s="1"/>
  <c r="C506" i="53"/>
  <c r="G124" i="85" s="1"/>
  <c r="C335" i="53"/>
  <c r="G117" i="85" s="1"/>
  <c r="C19" i="73"/>
  <c r="G168" i="85" s="1"/>
  <c r="C19" i="71"/>
  <c r="G155" i="85" s="1"/>
  <c r="C49" i="71"/>
  <c r="G156" i="85" s="1"/>
  <c r="C109" i="71"/>
  <c r="G158" i="85" s="1"/>
  <c r="C154" i="71"/>
  <c r="G160" i="85" s="1"/>
  <c r="C120" i="72"/>
  <c r="G164" i="85" s="1"/>
  <c r="C190" i="72"/>
  <c r="G166" i="85" s="1"/>
  <c r="C189" i="73"/>
  <c r="G171" i="85" s="1"/>
  <c r="C254" i="73"/>
  <c r="G173" i="85" s="1"/>
  <c r="C52" i="74"/>
  <c r="G177" i="85" s="1"/>
  <c r="C67" i="74"/>
  <c r="G179" i="85" s="1"/>
  <c r="C127" i="74"/>
  <c r="G181" i="85" s="1"/>
  <c r="C259" i="73"/>
  <c r="G174" i="85" s="1"/>
  <c r="C159" i="74"/>
  <c r="G182" i="85" s="1"/>
  <c r="C67" i="80"/>
  <c r="G126" i="85" s="1"/>
  <c r="C138" i="80"/>
  <c r="G127" i="85" s="1"/>
  <c r="C184" i="80"/>
  <c r="G129" i="85" s="1"/>
  <c r="C236" i="80"/>
  <c r="G131" i="85" s="1"/>
  <c r="C35" i="81"/>
  <c r="G137" i="85" s="1"/>
  <c r="C50" i="81"/>
  <c r="G139" i="85" s="1"/>
  <c r="C69" i="81"/>
  <c r="G141" i="85" s="1"/>
  <c r="C92" i="81"/>
  <c r="G143" i="85" s="1"/>
  <c r="C110" i="81"/>
  <c r="G145" i="85" s="1"/>
  <c r="C117" i="81"/>
  <c r="G146" i="85" s="1"/>
  <c r="C14" i="82"/>
  <c r="G206" i="85" s="1"/>
  <c r="C62" i="82"/>
  <c r="G210" i="85" s="1"/>
  <c r="C27" i="82"/>
  <c r="G207" i="85" s="1"/>
  <c r="C13" i="83"/>
  <c r="G147" i="85" s="1"/>
  <c r="C118" i="83"/>
  <c r="G148" i="85" s="1"/>
  <c r="C175" i="83"/>
  <c r="G150" i="85" s="1"/>
  <c r="C33" i="90"/>
  <c r="G74" i="85" s="1"/>
  <c r="C84" i="90"/>
  <c r="G76" i="85" s="1"/>
  <c r="C146" i="90"/>
  <c r="G78" i="85" s="1"/>
  <c r="C13" i="105"/>
  <c r="G194" i="85" s="1"/>
  <c r="C71" i="105"/>
  <c r="G196" i="85" s="1"/>
  <c r="C111" i="105"/>
  <c r="G198" i="85" s="1"/>
  <c r="C162" i="105"/>
  <c r="G203" i="85" s="1"/>
  <c r="C147" i="105"/>
  <c r="G202" i="85" s="1"/>
  <c r="C43" i="90"/>
  <c r="G75" i="85" s="1"/>
  <c r="C17" i="31"/>
  <c r="G97" i="85" s="1"/>
  <c r="C40" i="31"/>
  <c r="G100" i="85" s="1"/>
  <c r="C33" i="53"/>
  <c r="G107" i="85" s="1"/>
  <c r="C77" i="53"/>
  <c r="G108" i="85" s="1"/>
  <c r="C96" i="53"/>
  <c r="G110" i="85" s="1"/>
  <c r="C114" i="53"/>
  <c r="G112" i="85" s="1"/>
  <c r="C203" i="53"/>
  <c r="G114" i="85" s="1"/>
  <c r="C359" i="53"/>
  <c r="G118" i="85" s="1"/>
  <c r="C393" i="53"/>
  <c r="G120" i="85" s="1"/>
  <c r="C485" i="53"/>
  <c r="G122" i="85" s="1"/>
  <c r="C16" i="74"/>
  <c r="G175" i="85" s="1"/>
  <c r="C17" i="72"/>
  <c r="G163" i="85" s="1"/>
  <c r="C79" i="71"/>
  <c r="G157" i="85" s="1"/>
  <c r="C124" i="71"/>
  <c r="G159" i="85" s="1"/>
  <c r="C184" i="71"/>
  <c r="G161" i="85" s="1"/>
  <c r="C155" i="72"/>
  <c r="G165" i="85" s="1"/>
  <c r="C129" i="73"/>
  <c r="G169" i="85" s="1"/>
  <c r="C159" i="73"/>
  <c r="G170" i="85" s="1"/>
  <c r="C22" i="74"/>
  <c r="G176" i="85" s="1"/>
  <c r="C58" i="74"/>
  <c r="G178" i="85" s="1"/>
  <c r="C18" i="80"/>
  <c r="G125" i="85" s="1"/>
  <c r="C164" i="80"/>
  <c r="G128" i="85" s="1"/>
  <c r="C194" i="80"/>
  <c r="G130" i="85" s="1"/>
  <c r="C249" i="80"/>
  <c r="G132" i="85" s="1"/>
  <c r="C19" i="81"/>
  <c r="G135" i="85" s="1"/>
  <c r="C27" i="81"/>
  <c r="G136" i="85" s="1"/>
  <c r="C42" i="81"/>
  <c r="G138" i="85" s="1"/>
  <c r="C62" i="81"/>
  <c r="G140" i="85" s="1"/>
  <c r="C80" i="81"/>
  <c r="G142" i="85" s="1"/>
  <c r="C40" i="82"/>
  <c r="G208" i="85" s="1"/>
  <c r="C146" i="83"/>
  <c r="G149" i="85" s="1"/>
  <c r="AH31" i="41" l="1"/>
  <c r="AH38" i="53"/>
  <c r="AM37" i="53"/>
  <c r="AM30" i="41"/>
  <c r="AM57" i="80"/>
  <c r="AC30" i="41"/>
  <c r="AC57" i="80"/>
  <c r="AC37" i="53"/>
  <c r="AH39" i="53"/>
  <c r="AM125" i="22"/>
  <c r="AH103" i="22"/>
  <c r="AJ77" i="22"/>
  <c r="AP36" i="53"/>
  <c r="AP29" i="41"/>
  <c r="AP56" i="80"/>
  <c r="AP57" i="80"/>
  <c r="AP37" i="53"/>
  <c r="AP57" i="53" s="1"/>
  <c r="AP30" i="41"/>
  <c r="AJ37" i="53"/>
  <c r="AJ57" i="53" s="1"/>
  <c r="AJ30" i="41"/>
  <c r="AJ57" i="80"/>
  <c r="AN31" i="41"/>
  <c r="AN38" i="53"/>
  <c r="AN58" i="80"/>
  <c r="AG49" i="41"/>
  <c r="AG148" i="41"/>
  <c r="AC58" i="80"/>
  <c r="AC31" i="41"/>
  <c r="AC38" i="53"/>
  <c r="AC64" i="53" s="1"/>
  <c r="AC92" i="22"/>
  <c r="AC17" i="111" s="1"/>
  <c r="AL36" i="53"/>
  <c r="AL47" i="53" s="1"/>
  <c r="AL56" i="80"/>
  <c r="AG57" i="80"/>
  <c r="AO56" i="53"/>
  <c r="AP64" i="53"/>
  <c r="K110" i="22"/>
  <c r="K47" i="65" s="1"/>
  <c r="U122" i="22"/>
  <c r="U57" i="65" s="1"/>
  <c r="K133" i="22"/>
  <c r="K58" i="65" s="1"/>
  <c r="K111" i="22"/>
  <c r="K56" i="65" s="1"/>
  <c r="AI31" i="41"/>
  <c r="AK36" i="53"/>
  <c r="AK46" i="53" s="1"/>
  <c r="AF88" i="22"/>
  <c r="U85" i="22"/>
  <c r="U54" i="65" s="1"/>
  <c r="AG37" i="53"/>
  <c r="AG57" i="53" s="1"/>
  <c r="AG188" i="80"/>
  <c r="AF56" i="80"/>
  <c r="M63" i="22"/>
  <c r="M133" i="22"/>
  <c r="M100" i="22"/>
  <c r="M55" i="65" s="1"/>
  <c r="M74" i="22"/>
  <c r="AN188" i="80"/>
  <c r="AN33" i="41"/>
  <c r="AP92" i="22"/>
  <c r="AP17" i="111" s="1"/>
  <c r="K84" i="22"/>
  <c r="U133" i="22"/>
  <c r="U58" i="65" s="1"/>
  <c r="AC188" i="80"/>
  <c r="AC125" i="22"/>
  <c r="AC34" i="41" s="1"/>
  <c r="AF125" i="22"/>
  <c r="AF34" i="41" s="1"/>
  <c r="AI38" i="53"/>
  <c r="AI65" i="53" s="1"/>
  <c r="AK29" i="41"/>
  <c r="O84" i="22"/>
  <c r="AI103" i="22"/>
  <c r="AI16" i="111" s="1"/>
  <c r="AF29" i="41"/>
  <c r="AP58" i="80"/>
  <c r="K132" i="22"/>
  <c r="K49" i="65" s="1"/>
  <c r="AL136" i="22"/>
  <c r="AL35" i="41" s="1"/>
  <c r="AK32" i="41"/>
  <c r="AO30" i="41"/>
  <c r="AH92" i="22"/>
  <c r="AH17" i="111" s="1"/>
  <c r="K99" i="22"/>
  <c r="K46" i="65" s="1"/>
  <c r="AH66" i="53"/>
  <c r="AH58" i="80"/>
  <c r="AH59" i="80" s="1"/>
  <c r="AF77" i="22"/>
  <c r="O99" i="22"/>
  <c r="O110" i="22"/>
  <c r="O62" i="22"/>
  <c r="AL188" i="80"/>
  <c r="AL191" i="80" s="1"/>
  <c r="AL192" i="80" s="1"/>
  <c r="AL33" i="41"/>
  <c r="Z63" i="22"/>
  <c r="Z122" i="22"/>
  <c r="Z74" i="22"/>
  <c r="Z85" i="22"/>
  <c r="Z100" i="22"/>
  <c r="Z133" i="22"/>
  <c r="AP65" i="53"/>
  <c r="O73" i="22"/>
  <c r="AP31" i="41"/>
  <c r="AI37" i="53"/>
  <c r="X124" i="22"/>
  <c r="AK16" i="111"/>
  <c r="AK27" i="111" s="1"/>
  <c r="AK33" i="111" s="1"/>
  <c r="AO57" i="80"/>
  <c r="O121" i="22"/>
  <c r="O123" i="22" s="1"/>
  <c r="AI149" i="41"/>
  <c r="R263" i="53"/>
  <c r="R285" i="53"/>
  <c r="AF274" i="53"/>
  <c r="M285" i="53"/>
  <c r="M274" i="53"/>
  <c r="AD260" i="53"/>
  <c r="K260" i="53"/>
  <c r="X260" i="53"/>
  <c r="AI282" i="53"/>
  <c r="Z271" i="53"/>
  <c r="S260" i="53"/>
  <c r="W271" i="53"/>
  <c r="Q260" i="53"/>
  <c r="AB282" i="53"/>
  <c r="U282" i="53"/>
  <c r="S271" i="53"/>
  <c r="AK260" i="53"/>
  <c r="H56" i="86"/>
  <c r="A4" i="86" s="1"/>
  <c r="AH282" i="53"/>
  <c r="AM282" i="53"/>
  <c r="R282" i="53"/>
  <c r="R260" i="53"/>
  <c r="AO281" i="53"/>
  <c r="AI281" i="53"/>
  <c r="Y212" i="53"/>
  <c r="Y259" i="53" s="1"/>
  <c r="AA212" i="53"/>
  <c r="AA270" i="53" s="1"/>
  <c r="X212" i="53"/>
  <c r="X281" i="53" s="1"/>
  <c r="Z212" i="53"/>
  <c r="AB212" i="53"/>
  <c r="AB270" i="53" s="1"/>
  <c r="AH270" i="53"/>
  <c r="AO259" i="53"/>
  <c r="AB281" i="53"/>
  <c r="U270" i="53"/>
  <c r="AP259" i="53"/>
  <c r="AJ270" i="53"/>
  <c r="AD281" i="53"/>
  <c r="U281" i="53"/>
  <c r="U259" i="53"/>
  <c r="V281" i="53"/>
  <c r="K281" i="53"/>
  <c r="M182" i="31"/>
  <c r="M180" i="31"/>
  <c r="M181" i="31"/>
  <c r="M183" i="31"/>
  <c r="M88" i="31"/>
  <c r="L200" i="31" s="1"/>
  <c r="M93" i="31"/>
  <c r="M177" i="31"/>
  <c r="M99" i="31"/>
  <c r="M113" i="31"/>
  <c r="M155" i="31"/>
  <c r="Z24" i="80"/>
  <c r="Z95" i="73"/>
  <c r="Z113" i="71"/>
  <c r="Z82" i="72"/>
  <c r="M160" i="31"/>
  <c r="M110" i="31"/>
  <c r="M91" i="31"/>
  <c r="M101" i="31"/>
  <c r="M184" i="31"/>
  <c r="M187" i="31"/>
  <c r="M94" i="31"/>
  <c r="M206" i="31" s="1"/>
  <c r="M90" i="31"/>
  <c r="V24" i="80"/>
  <c r="V113" i="71"/>
  <c r="M173" i="31"/>
  <c r="M163" i="31"/>
  <c r="M87" i="31"/>
  <c r="M86" i="31"/>
  <c r="L198" i="31" s="1"/>
  <c r="M105" i="31"/>
  <c r="L217" i="31" s="1"/>
  <c r="M109" i="31"/>
  <c r="M95" i="73"/>
  <c r="M113" i="71"/>
  <c r="M24" i="80"/>
  <c r="M82" i="72"/>
  <c r="S113" i="71"/>
  <c r="S82" i="72"/>
  <c r="S95" i="73"/>
  <c r="S24" i="80"/>
  <c r="M166" i="31"/>
  <c r="M156" i="31"/>
  <c r="M159" i="31"/>
  <c r="M104" i="31"/>
  <c r="L216" i="31" s="1"/>
  <c r="M85" i="31"/>
  <c r="M186" i="31"/>
  <c r="M107" i="31"/>
  <c r="M114" i="31"/>
  <c r="U82" i="72"/>
  <c r="U113" i="71"/>
  <c r="U24" i="80"/>
  <c r="U95" i="73"/>
  <c r="M161" i="31"/>
  <c r="M164" i="31"/>
  <c r="M167" i="31"/>
  <c r="M83" i="31"/>
  <c r="K195" i="31" s="1"/>
  <c r="M179" i="31"/>
  <c r="M92" i="31"/>
  <c r="L204" i="31" s="1"/>
  <c r="N113" i="71"/>
  <c r="N24" i="80"/>
  <c r="N82" i="72"/>
  <c r="N95" i="73"/>
  <c r="AN27" i="111"/>
  <c r="AN33" i="111" s="1"/>
  <c r="AN28" i="111"/>
  <c r="AN34" i="111" s="1"/>
  <c r="AG149" i="41"/>
  <c r="AG50" i="41"/>
  <c r="Z62" i="22"/>
  <c r="Z73" i="22"/>
  <c r="Z132" i="22"/>
  <c r="Z99" i="22"/>
  <c r="Z84" i="22"/>
  <c r="Z110" i="22"/>
  <c r="Z121" i="22"/>
  <c r="AK58" i="80"/>
  <c r="AD49" i="41"/>
  <c r="AF16" i="111"/>
  <c r="AL29" i="41"/>
  <c r="AE64" i="53"/>
  <c r="W84" i="22"/>
  <c r="W132" i="22"/>
  <c r="W121" i="22"/>
  <c r="AD188" i="80"/>
  <c r="AD191" i="80" s="1"/>
  <c r="AD192" i="80" s="1"/>
  <c r="Y99" i="22"/>
  <c r="Y73" i="22"/>
  <c r="Y121" i="22"/>
  <c r="Y110" i="22"/>
  <c r="Y47" i="65" s="1"/>
  <c r="AJ47" i="53"/>
  <c r="AK38" i="53"/>
  <c r="AK39" i="53" s="1"/>
  <c r="AK149" i="41"/>
  <c r="AN92" i="22"/>
  <c r="AN17" i="111" s="1"/>
  <c r="R112" i="22"/>
  <c r="AI29" i="41"/>
  <c r="AI36" i="53"/>
  <c r="AI47" i="53" s="1"/>
  <c r="AL55" i="53"/>
  <c r="AE66" i="53"/>
  <c r="Z56" i="65"/>
  <c r="Z113" i="22"/>
  <c r="Y132" i="22"/>
  <c r="Y134" i="22" s="1"/>
  <c r="AF48" i="53"/>
  <c r="AJ48" i="53"/>
  <c r="N87" i="22"/>
  <c r="X76" i="22"/>
  <c r="AN18" i="74"/>
  <c r="AO29" i="41"/>
  <c r="AE58" i="80"/>
  <c r="O134" i="22"/>
  <c r="AG189" i="80"/>
  <c r="AG191" i="80" s="1"/>
  <c r="AG192" i="80" s="1"/>
  <c r="O48" i="65"/>
  <c r="Y62" i="22"/>
  <c r="Y64" i="22" s="1"/>
  <c r="N113" i="22"/>
  <c r="AI92" i="22"/>
  <c r="AI17" i="111" s="1"/>
  <c r="AP32" i="41"/>
  <c r="AN32" i="41"/>
  <c r="AO56" i="80"/>
  <c r="AE31" i="41"/>
  <c r="V113" i="22"/>
  <c r="AH149" i="41"/>
  <c r="AJ16" i="111"/>
  <c r="AJ32" i="41"/>
  <c r="AJ18" i="74"/>
  <c r="AH56" i="53"/>
  <c r="AH57" i="53"/>
  <c r="AH55" i="53"/>
  <c r="AE181" i="105"/>
  <c r="K102" i="22"/>
  <c r="U102" i="22"/>
  <c r="K121" i="22"/>
  <c r="K73" i="22"/>
  <c r="AM188" i="80"/>
  <c r="AM33" i="41"/>
  <c r="H37" i="73"/>
  <c r="H42" i="73"/>
  <c r="H46" i="73"/>
  <c r="H40" i="73"/>
  <c r="H45" i="73"/>
  <c r="P55" i="81"/>
  <c r="P56" i="81" s="1"/>
  <c r="P114" i="81" s="1"/>
  <c r="P129" i="81"/>
  <c r="AG56" i="80"/>
  <c r="AG29" i="41"/>
  <c r="AG36" i="53"/>
  <c r="AG47" i="53" s="1"/>
  <c r="Z233" i="53"/>
  <c r="K287" i="53"/>
  <c r="Q261" i="53"/>
  <c r="Q262" i="53"/>
  <c r="Q273" i="53"/>
  <c r="W274" i="53"/>
  <c r="AI274" i="53"/>
  <c r="AJ34" i="41"/>
  <c r="AJ189" i="80"/>
  <c r="AN283" i="53"/>
  <c r="AI272" i="53"/>
  <c r="U52" i="65"/>
  <c r="U65" i="22"/>
  <c r="AI283" i="53"/>
  <c r="M226" i="31"/>
  <c r="N223" i="31"/>
  <c r="AN56" i="80"/>
  <c r="AN29" i="41"/>
  <c r="AM55" i="53"/>
  <c r="AM57" i="53"/>
  <c r="AM56" i="53"/>
  <c r="Q203" i="31"/>
  <c r="P204" i="31"/>
  <c r="M216" i="31"/>
  <c r="AO269" i="53"/>
  <c r="X233" i="53"/>
  <c r="AK30" i="41"/>
  <c r="AG274" i="53"/>
  <c r="S259" i="53"/>
  <c r="AC59" i="80"/>
  <c r="AM181" i="105"/>
  <c r="AC272" i="53"/>
  <c r="AL285" i="53"/>
  <c r="AL263" i="53"/>
  <c r="AL274" i="53"/>
  <c r="AP280" i="53"/>
  <c r="AP269" i="53"/>
  <c r="AP258" i="53"/>
  <c r="V52" i="65"/>
  <c r="V65" i="22"/>
  <c r="P219" i="31"/>
  <c r="P209" i="31"/>
  <c r="AM273" i="53"/>
  <c r="H106" i="89" a="1"/>
  <c r="H106" i="89" s="1"/>
  <c r="H112" i="89" s="1"/>
  <c r="Y233" i="53"/>
  <c r="AI107" i="105"/>
  <c r="AI182" i="105"/>
  <c r="AD280" i="53"/>
  <c r="R269" i="53"/>
  <c r="AG263" i="53"/>
  <c r="W285" i="53"/>
  <c r="S95" i="23"/>
  <c r="P95" i="23"/>
  <c r="AB248" i="53"/>
  <c r="Y248" i="53"/>
  <c r="X248" i="53"/>
  <c r="X277" i="53" s="1"/>
  <c r="Z248" i="53"/>
  <c r="Z277" i="53" s="1"/>
  <c r="AP282" i="53"/>
  <c r="AP271" i="53"/>
  <c r="AL271" i="53"/>
  <c r="AL282" i="53"/>
  <c r="AL260" i="53"/>
  <c r="O45" i="65"/>
  <c r="O86" i="22"/>
  <c r="AN34" i="41"/>
  <c r="AN189" i="80"/>
  <c r="AN191" i="80" s="1"/>
  <c r="AN192" i="80" s="1"/>
  <c r="V173" i="105"/>
  <c r="U87" i="22"/>
  <c r="AJ55" i="53"/>
  <c r="AK47" i="53"/>
  <c r="V118" i="53"/>
  <c r="AD283" i="53"/>
  <c r="K124" i="22"/>
  <c r="X102" i="22"/>
  <c r="AD38" i="53"/>
  <c r="AD31" i="41"/>
  <c r="AD58" i="80"/>
  <c r="M165" i="31"/>
  <c r="M106" i="31"/>
  <c r="L218" i="31" s="1"/>
  <c r="M82" i="31"/>
  <c r="M176" i="31"/>
  <c r="M100" i="31"/>
  <c r="L212" i="31" s="1"/>
  <c r="U76" i="22"/>
  <c r="K43" i="65"/>
  <c r="K64" i="22"/>
  <c r="AG56" i="53"/>
  <c r="AG55" i="53"/>
  <c r="AP55" i="53"/>
  <c r="P211" i="31"/>
  <c r="J224" i="31"/>
  <c r="H174" i="90"/>
  <c r="M200" i="31"/>
  <c r="Q216" i="31"/>
  <c r="P223" i="31"/>
  <c r="J261" i="53"/>
  <c r="AC273" i="53"/>
  <c r="AH281" i="53"/>
  <c r="AK48" i="53"/>
  <c r="AO106" i="105"/>
  <c r="AO181" i="105"/>
  <c r="AO107" i="105"/>
  <c r="AO182" i="105"/>
  <c r="AC106" i="105"/>
  <c r="AC181" i="105"/>
  <c r="AN36" i="53"/>
  <c r="AN47" i="53" s="1"/>
  <c r="U113" i="22"/>
  <c r="N155" i="31"/>
  <c r="N97" i="31"/>
  <c r="N92" i="31"/>
  <c r="N181" i="31"/>
  <c r="N84" i="31"/>
  <c r="N169" i="31"/>
  <c r="N113" i="31"/>
  <c r="N82" i="31"/>
  <c r="N194" i="31" s="1"/>
  <c r="N171" i="31"/>
  <c r="N167" i="31"/>
  <c r="N98" i="31"/>
  <c r="M210" i="31" s="1"/>
  <c r="N93" i="31"/>
  <c r="J205" i="31" s="1"/>
  <c r="N108" i="31"/>
  <c r="M220" i="31" s="1"/>
  <c r="R95" i="23"/>
  <c r="AA55" i="65"/>
  <c r="AA102" i="22"/>
  <c r="K101" i="22"/>
  <c r="M203" i="31"/>
  <c r="N197" i="31"/>
  <c r="Q226" i="31"/>
  <c r="M213" i="31"/>
  <c r="N224" i="31"/>
  <c r="AC96" i="105"/>
  <c r="AC170" i="105"/>
  <c r="K259" i="53"/>
  <c r="K270" i="53"/>
  <c r="AE170" i="105"/>
  <c r="X24" i="80"/>
  <c r="X95" i="73"/>
  <c r="X113" i="71"/>
  <c r="X82" i="72"/>
  <c r="O95" i="23"/>
  <c r="AF38" i="53"/>
  <c r="AF31" i="41"/>
  <c r="AF58" i="80"/>
  <c r="P181" i="31"/>
  <c r="P84" i="31"/>
  <c r="P87" i="31"/>
  <c r="P199" i="31" s="1"/>
  <c r="P113" i="31"/>
  <c r="P172" i="31"/>
  <c r="P94" i="31"/>
  <c r="N206" i="31" s="1"/>
  <c r="P173" i="31"/>
  <c r="P109" i="31"/>
  <c r="N221" i="31" s="1"/>
  <c r="P89" i="31"/>
  <c r="P103" i="31"/>
  <c r="O215" i="31" s="1"/>
  <c r="P93" i="31"/>
  <c r="P110" i="31"/>
  <c r="M222" i="31" s="1"/>
  <c r="P90" i="31"/>
  <c r="N202" i="31" s="1"/>
  <c r="P158" i="31"/>
  <c r="P82" i="31"/>
  <c r="P169" i="31"/>
  <c r="P96" i="31"/>
  <c r="N208" i="31" s="1"/>
  <c r="R173" i="105"/>
  <c r="AM92" i="22"/>
  <c r="AM17" i="111" s="1"/>
  <c r="AK57" i="80"/>
  <c r="AI32" i="41"/>
  <c r="AG32" i="41"/>
  <c r="AG18" i="74"/>
  <c r="AD16" i="111"/>
  <c r="AD32" i="41"/>
  <c r="AI18" i="74"/>
  <c r="AP28" i="111"/>
  <c r="AP34" i="111" s="1"/>
  <c r="AG27" i="111"/>
  <c r="AG33" i="111" s="1"/>
  <c r="AG28" i="111"/>
  <c r="AG34" i="111" s="1"/>
  <c r="W173" i="105"/>
  <c r="AL46" i="53"/>
  <c r="AO46" i="53"/>
  <c r="AO48" i="53"/>
  <c r="AO47" i="53"/>
  <c r="AD264" i="53"/>
  <c r="AD258" i="53"/>
  <c r="AD259" i="53"/>
  <c r="AD263" i="53"/>
  <c r="AD261" i="53"/>
  <c r="AG38" i="53"/>
  <c r="AG31" i="41"/>
  <c r="AG58" i="80"/>
  <c r="AI188" i="80"/>
  <c r="AI191" i="80" s="1"/>
  <c r="AI192" i="80" s="1"/>
  <c r="AI33" i="41"/>
  <c r="K112" i="22"/>
  <c r="W47" i="65"/>
  <c r="W112" i="22"/>
  <c r="M44" i="65"/>
  <c r="M75" i="22"/>
  <c r="AE36" i="53"/>
  <c r="AE48" i="53" s="1"/>
  <c r="AE29" i="41"/>
  <c r="AE56" i="80"/>
  <c r="AO38" i="53"/>
  <c r="AO31" i="41"/>
  <c r="AO58" i="80"/>
  <c r="AO59" i="80" s="1"/>
  <c r="AO92" i="22"/>
  <c r="AO17" i="111" s="1"/>
  <c r="AM34" i="41"/>
  <c r="AM189" i="80"/>
  <c r="AM29" i="41"/>
  <c r="AM56" i="80"/>
  <c r="AM59" i="80" s="1"/>
  <c r="R64" i="22"/>
  <c r="AE34" i="41"/>
  <c r="AE189" i="80"/>
  <c r="AO16" i="111"/>
  <c r="AO18" i="74"/>
  <c r="AO32" i="41"/>
  <c r="AN64" i="53"/>
  <c r="AN66" i="53"/>
  <c r="AN65" i="53"/>
  <c r="Y86" i="22"/>
  <c r="M54" i="65"/>
  <c r="M87" i="22"/>
  <c r="M101" i="22"/>
  <c r="M46" i="65"/>
  <c r="AK56" i="53"/>
  <c r="AK55" i="53"/>
  <c r="AK57" i="53"/>
  <c r="K52" i="65"/>
  <c r="K65" i="22"/>
  <c r="AK33" i="41"/>
  <c r="AK188" i="80"/>
  <c r="AK191" i="80" s="1"/>
  <c r="AK192" i="80" s="1"/>
  <c r="AJ92" i="22"/>
  <c r="AJ17" i="111" s="1"/>
  <c r="AJ38" i="53"/>
  <c r="AJ31" i="41"/>
  <c r="AJ58" i="80"/>
  <c r="AJ59" i="80" s="1"/>
  <c r="K113" i="22"/>
  <c r="AK92" i="22"/>
  <c r="AK17" i="111" s="1"/>
  <c r="AG92" i="22"/>
  <c r="AG17" i="111" s="1"/>
  <c r="R134" i="22"/>
  <c r="M64" i="22"/>
  <c r="AC65" i="53"/>
  <c r="AN37" i="53"/>
  <c r="AN30" i="41"/>
  <c r="AN57" i="80"/>
  <c r="AN59" i="80" s="1"/>
  <c r="AE33" i="41"/>
  <c r="AE188" i="80"/>
  <c r="AH33" i="41"/>
  <c r="AH188" i="80"/>
  <c r="AH191" i="80" s="1"/>
  <c r="AH192" i="80" s="1"/>
  <c r="AI27" i="111"/>
  <c r="AI33" i="111" s="1"/>
  <c r="AI28" i="111"/>
  <c r="AI34" i="111" s="1"/>
  <c r="M113" i="22"/>
  <c r="AC56" i="53"/>
  <c r="AC55" i="53"/>
  <c r="AC57" i="53"/>
  <c r="AC39" i="53"/>
  <c r="K76" i="22"/>
  <c r="W44" i="65"/>
  <c r="W75" i="22"/>
  <c r="AL38" i="53"/>
  <c r="AL31" i="41"/>
  <c r="AL58" i="80"/>
  <c r="AL59" i="80" s="1"/>
  <c r="AL92" i="22"/>
  <c r="AL17" i="111" s="1"/>
  <c r="AD56" i="53"/>
  <c r="AD55" i="53"/>
  <c r="AD57" i="53"/>
  <c r="AL16" i="111"/>
  <c r="AL18" i="74"/>
  <c r="AL32" i="41"/>
  <c r="R86" i="22"/>
  <c r="R45" i="65"/>
  <c r="M47" i="65"/>
  <c r="M112" i="22"/>
  <c r="AE16" i="111"/>
  <c r="AE18" i="74"/>
  <c r="AE32" i="41"/>
  <c r="AI64" i="53"/>
  <c r="AI66" i="53"/>
  <c r="Y266" i="53"/>
  <c r="Y288" i="53"/>
  <c r="Y277" i="53"/>
  <c r="X288" i="53"/>
  <c r="AI280" i="53"/>
  <c r="AI269" i="53"/>
  <c r="V259" i="53"/>
  <c r="N270" i="53"/>
  <c r="N281" i="53"/>
  <c r="AB288" i="53"/>
  <c r="AB277" i="53"/>
  <c r="N273" i="53"/>
  <c r="N284" i="53"/>
  <c r="R270" i="53"/>
  <c r="AN285" i="53"/>
  <c r="R281" i="53"/>
  <c r="X266" i="53"/>
  <c r="AK261" i="53"/>
  <c r="AH287" i="53"/>
  <c r="AH276" i="53"/>
  <c r="W270" i="53"/>
  <c r="W259" i="53"/>
  <c r="W281" i="53"/>
  <c r="AP270" i="53"/>
  <c r="T259" i="53"/>
  <c r="T270" i="53"/>
  <c r="T281" i="53"/>
  <c r="V270" i="53"/>
  <c r="AN269" i="53"/>
  <c r="Y271" i="53"/>
  <c r="Y282" i="53"/>
  <c r="T275" i="53"/>
  <c r="T264" i="53"/>
  <c r="AI277" i="53"/>
  <c r="O281" i="53"/>
  <c r="O259" i="53"/>
  <c r="O270" i="53"/>
  <c r="AA271" i="53"/>
  <c r="AA282" i="53"/>
  <c r="AK259" i="53"/>
  <c r="AK270" i="53"/>
  <c r="AK281" i="53"/>
  <c r="R280" i="53"/>
  <c r="AG259" i="53"/>
  <c r="AG281" i="53"/>
  <c r="AG270" i="53"/>
  <c r="N262" i="53"/>
  <c r="AM272" i="53"/>
  <c r="AE270" i="53"/>
  <c r="AE281" i="53"/>
  <c r="AA260" i="53"/>
  <c r="R258" i="53"/>
  <c r="P270" i="53"/>
  <c r="P281" i="53"/>
  <c r="Q269" i="53"/>
  <c r="Q280" i="53"/>
  <c r="Q258" i="53"/>
  <c r="AA266" i="53"/>
  <c r="AF281" i="53"/>
  <c r="AF270" i="53"/>
  <c r="W287" i="53"/>
  <c r="W276" i="53"/>
  <c r="AM286" i="53"/>
  <c r="AA288" i="53"/>
  <c r="X237" i="53"/>
  <c r="Z237" i="53"/>
  <c r="Z286" i="53" s="1"/>
  <c r="AB237" i="53"/>
  <c r="AB275" i="53" s="1"/>
  <c r="Y237" i="53"/>
  <c r="AA237" i="53"/>
  <c r="O284" i="53"/>
  <c r="O273" i="53"/>
  <c r="O262" i="53"/>
  <c r="K276" i="53"/>
  <c r="Q264" i="53"/>
  <c r="Q275" i="53"/>
  <c r="Q286" i="53"/>
  <c r="AL273" i="53"/>
  <c r="AL284" i="53"/>
  <c r="AL262" i="53"/>
  <c r="AE277" i="53"/>
  <c r="X227" i="53"/>
  <c r="Z227" i="53"/>
  <c r="AB227" i="53"/>
  <c r="Y227" i="53"/>
  <c r="AA227" i="53"/>
  <c r="AA232" i="53"/>
  <c r="X232" i="53"/>
  <c r="X285" i="53" s="1"/>
  <c r="Z232" i="53"/>
  <c r="Z274" i="53" s="1"/>
  <c r="Y232" i="53"/>
  <c r="AB232" i="53"/>
  <c r="H35" i="72"/>
  <c r="H43" i="72"/>
  <c r="H40" i="72"/>
  <c r="H39" i="72"/>
  <c r="H44" i="72"/>
  <c r="H38" i="72"/>
  <c r="H42" i="72"/>
  <c r="H37" i="72"/>
  <c r="H36" i="72"/>
  <c r="H41" i="72"/>
  <c r="H43" i="83"/>
  <c r="H45" i="83"/>
  <c r="H51" i="83"/>
  <c r="H46" i="83"/>
  <c r="H49" i="83"/>
  <c r="H50" i="83"/>
  <c r="H52" i="83"/>
  <c r="H47" i="83"/>
  <c r="H48" i="83"/>
  <c r="H44" i="83"/>
  <c r="O129" i="81"/>
  <c r="O55" i="81"/>
  <c r="O56" i="81" s="1"/>
  <c r="O114" i="81" s="1"/>
  <c r="O21" i="31"/>
  <c r="O23" i="31" s="1"/>
  <c r="P20" i="31"/>
  <c r="R55" i="81"/>
  <c r="R56" i="81" s="1"/>
  <c r="R114" i="81" s="1"/>
  <c r="R129" i="81"/>
  <c r="A4" i="87"/>
  <c r="P504" i="53"/>
  <c r="P78" i="83" s="1"/>
  <c r="P118" i="53"/>
  <c r="A4" i="90"/>
  <c r="J34" i="55"/>
  <c r="M201" i="31"/>
  <c r="L201" i="31"/>
  <c r="M223" i="31"/>
  <c r="L223" i="31"/>
  <c r="M197" i="31"/>
  <c r="Q213" i="31"/>
  <c r="R213" i="31"/>
  <c r="J223" i="31"/>
  <c r="Y49" i="65"/>
  <c r="U288" i="53"/>
  <c r="U266" i="53"/>
  <c r="U277" i="53"/>
  <c r="AL277" i="53"/>
  <c r="AL288" i="53"/>
  <c r="AL266" i="53"/>
  <c r="AE260" i="53"/>
  <c r="AE262" i="53"/>
  <c r="AE266" i="53"/>
  <c r="AE261" i="53"/>
  <c r="AE263" i="53"/>
  <c r="AE265" i="53"/>
  <c r="AE258" i="53"/>
  <c r="AE264" i="53"/>
  <c r="AE259" i="53"/>
  <c r="AD50" i="105"/>
  <c r="AD87" i="105" s="1"/>
  <c r="AD112" i="65"/>
  <c r="AD68" i="105" s="1"/>
  <c r="AD107" i="105" s="1"/>
  <c r="L91" i="23"/>
  <c r="Q91" i="23"/>
  <c r="P91" i="23"/>
  <c r="S91" i="23"/>
  <c r="N91" i="23"/>
  <c r="O91" i="23"/>
  <c r="M91" i="23"/>
  <c r="R91" i="23"/>
  <c r="L72" i="23"/>
  <c r="P72" i="23"/>
  <c r="N72" i="23"/>
  <c r="O72" i="23"/>
  <c r="R72" i="23"/>
  <c r="M72" i="23"/>
  <c r="S72" i="23"/>
  <c r="Q72" i="23"/>
  <c r="J200" i="31"/>
  <c r="P197" i="31"/>
  <c r="O197" i="31"/>
  <c r="M218" i="31"/>
  <c r="N218" i="31"/>
  <c r="J221" i="31"/>
  <c r="P203" i="31"/>
  <c r="J211" i="31"/>
  <c r="R196" i="31"/>
  <c r="P196" i="31"/>
  <c r="O223" i="31"/>
  <c r="N195" i="31"/>
  <c r="O211" i="31"/>
  <c r="P216" i="31"/>
  <c r="O216" i="31"/>
  <c r="P213" i="31"/>
  <c r="O213" i="31"/>
  <c r="L209" i="31"/>
  <c r="AH263" i="53"/>
  <c r="AH265" i="53"/>
  <c r="AH260" i="53"/>
  <c r="K213" i="31"/>
  <c r="J213" i="31"/>
  <c r="R204" i="31"/>
  <c r="P24" i="80"/>
  <c r="P113" i="71"/>
  <c r="P82" i="72"/>
  <c r="P95" i="73"/>
  <c r="O271" i="53"/>
  <c r="O282" i="53"/>
  <c r="O260" i="53"/>
  <c r="T258" i="53"/>
  <c r="T280" i="53"/>
  <c r="T269" i="53"/>
  <c r="AK269" i="53"/>
  <c r="AK280" i="53"/>
  <c r="J280" i="53"/>
  <c r="J269" i="53"/>
  <c r="AE285" i="53"/>
  <c r="AE274" i="53"/>
  <c r="AP272" i="53"/>
  <c r="AP261" i="53"/>
  <c r="AP283" i="53"/>
  <c r="V275" i="53"/>
  <c r="V264" i="53"/>
  <c r="V286" i="53"/>
  <c r="J273" i="53"/>
  <c r="J284" i="53"/>
  <c r="AN273" i="53"/>
  <c r="AN284" i="53"/>
  <c r="AH262" i="53"/>
  <c r="AH273" i="53"/>
  <c r="AH284" i="53"/>
  <c r="Y280" i="53"/>
  <c r="Y269" i="53"/>
  <c r="Y258" i="53"/>
  <c r="W275" i="53"/>
  <c r="W286" i="53"/>
  <c r="W264" i="53"/>
  <c r="O286" i="53"/>
  <c r="O275" i="53"/>
  <c r="O264" i="53"/>
  <c r="Y99" i="73"/>
  <c r="Y117" i="71"/>
  <c r="Y28" i="80"/>
  <c r="Y86" i="72"/>
  <c r="Q196" i="31"/>
  <c r="V265" i="53"/>
  <c r="V287" i="53"/>
  <c r="V276" i="53"/>
  <c r="T276" i="53"/>
  <c r="T265" i="53"/>
  <c r="T287" i="53"/>
  <c r="AK276" i="53"/>
  <c r="AK287" i="53"/>
  <c r="AK265" i="53"/>
  <c r="N287" i="53"/>
  <c r="N265" i="53"/>
  <c r="X110" i="22"/>
  <c r="X121" i="22"/>
  <c r="X84" i="22"/>
  <c r="X62" i="22"/>
  <c r="X99" i="22"/>
  <c r="X73" i="22"/>
  <c r="X132" i="22"/>
  <c r="U84" i="22"/>
  <c r="U73" i="22"/>
  <c r="U62" i="22"/>
  <c r="U121" i="22"/>
  <c r="U99" i="22"/>
  <c r="U132" i="22"/>
  <c r="U110" i="22"/>
  <c r="R44" i="65"/>
  <c r="R75" i="22"/>
  <c r="AB285" i="53"/>
  <c r="AB274" i="53"/>
  <c r="L85" i="22"/>
  <c r="L100" i="22"/>
  <c r="L111" i="22"/>
  <c r="L63" i="22"/>
  <c r="L133" i="22"/>
  <c r="L74" i="22"/>
  <c r="L122" i="22"/>
  <c r="AN288" i="53"/>
  <c r="AN277" i="53"/>
  <c r="AG277" i="53"/>
  <c r="AG266" i="53"/>
  <c r="O277" i="53"/>
  <c r="O288" i="53"/>
  <c r="O266" i="53"/>
  <c r="AB58" i="65"/>
  <c r="AB135" i="22"/>
  <c r="AM284" i="53"/>
  <c r="AN275" i="53"/>
  <c r="AM261" i="53"/>
  <c r="AM260" i="53"/>
  <c r="AM265" i="53"/>
  <c r="AM266" i="53"/>
  <c r="AM258" i="53"/>
  <c r="AM259" i="53"/>
  <c r="AM264" i="53"/>
  <c r="AM263" i="53"/>
  <c r="AM262" i="53"/>
  <c r="AP34" i="41"/>
  <c r="AP189" i="80"/>
  <c r="AP191" i="80" s="1"/>
  <c r="AP192" i="80" s="1"/>
  <c r="AI111" i="65"/>
  <c r="AI67" i="105" s="1"/>
  <c r="AI49" i="105"/>
  <c r="AI86" i="105" s="1"/>
  <c r="L214" i="31"/>
  <c r="J208" i="31"/>
  <c r="U263" i="53"/>
  <c r="U285" i="53"/>
  <c r="U274" i="53"/>
  <c r="AK262" i="53"/>
  <c r="AK284" i="53"/>
  <c r="AK273" i="53"/>
  <c r="AP275" i="53"/>
  <c r="AP264" i="53"/>
  <c r="AP286" i="53"/>
  <c r="S287" i="53"/>
  <c r="S265" i="53"/>
  <c r="S276" i="53"/>
  <c r="W46" i="65"/>
  <c r="W101" i="22"/>
  <c r="R133" i="22"/>
  <c r="R85" i="22"/>
  <c r="R111" i="22"/>
  <c r="R63" i="22"/>
  <c r="R122" i="22"/>
  <c r="R100" i="22"/>
  <c r="R74" i="22"/>
  <c r="N288" i="53"/>
  <c r="N277" i="53"/>
  <c r="N266" i="53"/>
  <c r="L87" i="23"/>
  <c r="S87" i="23"/>
  <c r="N87" i="23"/>
  <c r="O87" i="23"/>
  <c r="R87" i="23"/>
  <c r="M87" i="23"/>
  <c r="Q87" i="23"/>
  <c r="P87" i="23"/>
  <c r="L94" i="23"/>
  <c r="S94" i="23"/>
  <c r="O94" i="23"/>
  <c r="R94" i="23"/>
  <c r="M94" i="23"/>
  <c r="Q94" i="23"/>
  <c r="P94" i="23"/>
  <c r="N94" i="23"/>
  <c r="L75" i="23"/>
  <c r="Q75" i="23"/>
  <c r="P75" i="23"/>
  <c r="S75" i="23"/>
  <c r="N75" i="23"/>
  <c r="M75" i="23"/>
  <c r="R75" i="23"/>
  <c r="O75" i="23"/>
  <c r="J197" i="31"/>
  <c r="J219" i="31"/>
  <c r="J222" i="31"/>
  <c r="O219" i="31"/>
  <c r="W283" i="53"/>
  <c r="W272" i="53"/>
  <c r="W261" i="53"/>
  <c r="J95" i="73"/>
  <c r="J82" i="72"/>
  <c r="J113" i="71"/>
  <c r="J24" i="80"/>
  <c r="N269" i="53"/>
  <c r="N258" i="53"/>
  <c r="N280" i="53"/>
  <c r="AC274" i="53"/>
  <c r="AC285" i="53"/>
  <c r="AJ284" i="53"/>
  <c r="AJ273" i="53"/>
  <c r="AF284" i="53"/>
  <c r="AF262" i="53"/>
  <c r="X280" i="53"/>
  <c r="X258" i="53"/>
  <c r="X269" i="53"/>
  <c r="R286" i="53"/>
  <c r="R275" i="53"/>
  <c r="R264" i="53"/>
  <c r="AD287" i="53"/>
  <c r="AD265" i="53"/>
  <c r="W43" i="65"/>
  <c r="W64" i="22"/>
  <c r="AF288" i="53"/>
  <c r="AF277" i="53"/>
  <c r="AF266" i="53"/>
  <c r="AB52" i="65"/>
  <c r="AB65" i="22"/>
  <c r="AJ263" i="53"/>
  <c r="AJ260" i="53"/>
  <c r="AJ262" i="53"/>
  <c r="AJ261" i="53"/>
  <c r="AJ266" i="53"/>
  <c r="AJ259" i="53"/>
  <c r="AJ264" i="53"/>
  <c r="AJ258" i="53"/>
  <c r="AJ265" i="53"/>
  <c r="AJ46" i="53"/>
  <c r="AC261" i="53"/>
  <c r="AC260" i="53"/>
  <c r="AC266" i="53"/>
  <c r="AC264" i="53"/>
  <c r="AC258" i="53"/>
  <c r="AC263" i="53"/>
  <c r="AC262" i="53"/>
  <c r="AC259" i="53"/>
  <c r="AC265" i="53"/>
  <c r="AC46" i="53"/>
  <c r="AG50" i="105"/>
  <c r="AG87" i="105" s="1"/>
  <c r="AG112" i="65"/>
  <c r="AG68" i="105" s="1"/>
  <c r="AG103" i="65"/>
  <c r="AG59" i="105" s="1"/>
  <c r="AK111" i="65"/>
  <c r="AK67" i="105" s="1"/>
  <c r="AK106" i="105" s="1"/>
  <c r="AK49" i="105"/>
  <c r="AK86" i="105" s="1"/>
  <c r="L98" i="23"/>
  <c r="O98" i="23"/>
  <c r="R98" i="23"/>
  <c r="M98" i="23"/>
  <c r="Q98" i="23"/>
  <c r="P98" i="23"/>
  <c r="N98" i="23"/>
  <c r="S98" i="23"/>
  <c r="N79" i="23"/>
  <c r="O79" i="23"/>
  <c r="R79" i="23"/>
  <c r="M79" i="23"/>
  <c r="Q79" i="23"/>
  <c r="S79" i="23"/>
  <c r="P79" i="23"/>
  <c r="L92" i="23"/>
  <c r="Q92" i="23"/>
  <c r="P92" i="23"/>
  <c r="N92" i="23"/>
  <c r="S92" i="23"/>
  <c r="O92" i="23"/>
  <c r="R92" i="23"/>
  <c r="M92" i="23"/>
  <c r="L88" i="23"/>
  <c r="P88" i="23"/>
  <c r="N88" i="23"/>
  <c r="O88" i="23"/>
  <c r="R88" i="23"/>
  <c r="M88" i="23"/>
  <c r="S88" i="23"/>
  <c r="Q88" i="23"/>
  <c r="L100" i="23"/>
  <c r="S100" i="23"/>
  <c r="Q100" i="23"/>
  <c r="P100" i="23"/>
  <c r="N100" i="23"/>
  <c r="O100" i="23"/>
  <c r="R100" i="23"/>
  <c r="M100" i="23"/>
  <c r="Q222" i="31"/>
  <c r="N200" i="31"/>
  <c r="O196" i="31"/>
  <c r="J218" i="31"/>
  <c r="K218" i="31"/>
  <c r="Q220" i="31"/>
  <c r="K197" i="31"/>
  <c r="K207" i="31"/>
  <c r="Q215" i="31"/>
  <c r="P215" i="31"/>
  <c r="S215" i="31"/>
  <c r="R215" i="31"/>
  <c r="L224" i="31"/>
  <c r="M224" i="31"/>
  <c r="R205" i="31"/>
  <c r="P205" i="31"/>
  <c r="S205" i="31"/>
  <c r="N203" i="31"/>
  <c r="L222" i="31"/>
  <c r="N216" i="31"/>
  <c r="Q219" i="31"/>
  <c r="R219" i="31"/>
  <c r="J217" i="31"/>
  <c r="K217" i="31"/>
  <c r="K199" i="31"/>
  <c r="N225" i="31"/>
  <c r="O225" i="31"/>
  <c r="J210" i="31"/>
  <c r="L219" i="31"/>
  <c r="AA243" i="53"/>
  <c r="AB243" i="53"/>
  <c r="Y243" i="53"/>
  <c r="X243" i="53"/>
  <c r="Z243" i="53"/>
  <c r="T272" i="53"/>
  <c r="T261" i="53"/>
  <c r="T283" i="53"/>
  <c r="M280" i="53"/>
  <c r="M269" i="53"/>
  <c r="M258" i="53"/>
  <c r="O82" i="72"/>
  <c r="O24" i="80"/>
  <c r="O113" i="71"/>
  <c r="O95" i="73"/>
  <c r="AC269" i="53"/>
  <c r="AC280" i="53"/>
  <c r="AG261" i="53"/>
  <c r="AG283" i="53"/>
  <c r="AG272" i="53"/>
  <c r="L113" i="71"/>
  <c r="L82" i="72"/>
  <c r="L95" i="73"/>
  <c r="L24" i="80"/>
  <c r="U262" i="53"/>
  <c r="U273" i="53"/>
  <c r="U284" i="53"/>
  <c r="AD284" i="53"/>
  <c r="AD262" i="53"/>
  <c r="AJ275" i="53"/>
  <c r="AJ286" i="53"/>
  <c r="AF275" i="53"/>
  <c r="AG286" i="53"/>
  <c r="AG275" i="53"/>
  <c r="AG264" i="53"/>
  <c r="AK264" i="53"/>
  <c r="AK275" i="53"/>
  <c r="AK286" i="53"/>
  <c r="AJ276" i="53"/>
  <c r="AO265" i="53"/>
  <c r="AO276" i="53"/>
  <c r="AO287" i="53"/>
  <c r="Q265" i="53"/>
  <c r="Q276" i="53"/>
  <c r="Q287" i="53"/>
  <c r="T110" i="22"/>
  <c r="T99" i="22"/>
  <c r="T84" i="22"/>
  <c r="T132" i="22"/>
  <c r="T73" i="22"/>
  <c r="T121" i="22"/>
  <c r="T62" i="22"/>
  <c r="N132" i="22"/>
  <c r="N73" i="22"/>
  <c r="N84" i="22"/>
  <c r="N110" i="22"/>
  <c r="N99" i="22"/>
  <c r="N62" i="22"/>
  <c r="N121" i="22"/>
  <c r="M53" i="65"/>
  <c r="M76" i="22"/>
  <c r="X52" i="65"/>
  <c r="X65" i="22"/>
  <c r="T85" i="22"/>
  <c r="T63" i="22"/>
  <c r="T133" i="22"/>
  <c r="T100" i="22"/>
  <c r="T122" i="22"/>
  <c r="T74" i="22"/>
  <c r="T111" i="22"/>
  <c r="AM288" i="53"/>
  <c r="AM277" i="53"/>
  <c r="AO266" i="53"/>
  <c r="AO277" i="53"/>
  <c r="AO288" i="53"/>
  <c r="P288" i="53"/>
  <c r="P277" i="53"/>
  <c r="P266" i="53"/>
  <c r="M48" i="65"/>
  <c r="M123" i="22"/>
  <c r="N57" i="65"/>
  <c r="N124" i="22"/>
  <c r="AF273" i="53"/>
  <c r="AI266" i="53"/>
  <c r="AI263" i="53"/>
  <c r="AI265" i="53"/>
  <c r="AI260" i="53"/>
  <c r="AI262" i="53"/>
  <c r="AI259" i="53"/>
  <c r="AI261" i="53"/>
  <c r="AI258" i="53"/>
  <c r="AI264" i="53"/>
  <c r="AF285" i="53"/>
  <c r="AI173" i="105"/>
  <c r="V87" i="22"/>
  <c r="K87" i="22"/>
  <c r="AD92" i="22"/>
  <c r="AD17" i="111" s="1"/>
  <c r="AD36" i="53"/>
  <c r="AD29" i="41"/>
  <c r="AD56" i="80"/>
  <c r="AL173" i="105"/>
  <c r="V135" i="22"/>
  <c r="AO189" i="80"/>
  <c r="AO191" i="80" s="1"/>
  <c r="AO192" i="80" s="1"/>
  <c r="AO34" i="41"/>
  <c r="AI56" i="53"/>
  <c r="AI55" i="53"/>
  <c r="AI57" i="53"/>
  <c r="AC50" i="105"/>
  <c r="AC87" i="105" s="1"/>
  <c r="AC112" i="65"/>
  <c r="AC68" i="105" s="1"/>
  <c r="AC103" i="65"/>
  <c r="AC59" i="105" s="1"/>
  <c r="L96" i="23"/>
  <c r="P96" i="23"/>
  <c r="N96" i="23"/>
  <c r="S96" i="23"/>
  <c r="O96" i="23"/>
  <c r="R96" i="23"/>
  <c r="M96" i="23"/>
  <c r="Q96" i="23"/>
  <c r="Q202" i="31"/>
  <c r="P202" i="31"/>
  <c r="S225" i="31"/>
  <c r="R225" i="31"/>
  <c r="P225" i="31"/>
  <c r="P226" i="31"/>
  <c r="O226" i="31"/>
  <c r="L203" i="31"/>
  <c r="Q206" i="31"/>
  <c r="P206" i="31"/>
  <c r="O206" i="31"/>
  <c r="L210" i="31"/>
  <c r="AE269" i="53"/>
  <c r="AE280" i="53"/>
  <c r="AO261" i="53"/>
  <c r="AO272" i="53"/>
  <c r="AO283" i="53"/>
  <c r="M275" i="53"/>
  <c r="M264" i="53"/>
  <c r="M286" i="53"/>
  <c r="L275" i="53"/>
  <c r="L286" i="53"/>
  <c r="L264" i="53"/>
  <c r="Z270" i="53"/>
  <c r="Z259" i="53"/>
  <c r="Z281" i="53"/>
  <c r="J287" i="53"/>
  <c r="J276" i="53"/>
  <c r="AL287" i="53"/>
  <c r="AL276" i="53"/>
  <c r="AL265" i="53"/>
  <c r="AB84" i="22"/>
  <c r="AB132" i="22"/>
  <c r="AB62" i="22"/>
  <c r="AB110" i="22"/>
  <c r="AB99" i="22"/>
  <c r="AB73" i="22"/>
  <c r="AB121" i="22"/>
  <c r="L226" i="31"/>
  <c r="X54" i="65"/>
  <c r="X87" i="22"/>
  <c r="Y43" i="65"/>
  <c r="W133" i="22"/>
  <c r="W122" i="22"/>
  <c r="W85" i="22"/>
  <c r="W74" i="22"/>
  <c r="W111" i="22"/>
  <c r="W63" i="22"/>
  <c r="W100" i="22"/>
  <c r="AD266" i="53"/>
  <c r="AD277" i="53"/>
  <c r="AD288" i="53"/>
  <c r="AC288" i="53"/>
  <c r="AC277" i="53"/>
  <c r="M45" i="65"/>
  <c r="M86" i="22"/>
  <c r="AB258" i="53"/>
  <c r="AB261" i="53"/>
  <c r="AB266" i="53"/>
  <c r="AB260" i="53"/>
  <c r="AB259" i="53"/>
  <c r="L71" i="23"/>
  <c r="N71" i="23"/>
  <c r="S71" i="23"/>
  <c r="O71" i="23"/>
  <c r="R71" i="23"/>
  <c r="M71" i="23"/>
  <c r="Q71" i="23"/>
  <c r="P71" i="23"/>
  <c r="L90" i="23"/>
  <c r="O90" i="23"/>
  <c r="R90" i="23"/>
  <c r="M90" i="23"/>
  <c r="Q90" i="23"/>
  <c r="P90" i="23"/>
  <c r="N90" i="23"/>
  <c r="S90" i="23"/>
  <c r="L84" i="23"/>
  <c r="Q84" i="23"/>
  <c r="P84" i="23"/>
  <c r="N84" i="23"/>
  <c r="S84" i="23"/>
  <c r="O84" i="23"/>
  <c r="R84" i="23"/>
  <c r="M84" i="23"/>
  <c r="L97" i="23"/>
  <c r="Q97" i="23"/>
  <c r="P97" i="23"/>
  <c r="O97" i="23"/>
  <c r="R97" i="23"/>
  <c r="M97" i="23"/>
  <c r="N97" i="23"/>
  <c r="S97" i="23"/>
  <c r="J215" i="31"/>
  <c r="L225" i="31"/>
  <c r="Q211" i="31"/>
  <c r="R211" i="31"/>
  <c r="O218" i="31"/>
  <c r="P218" i="31"/>
  <c r="M194" i="31"/>
  <c r="O194" i="31"/>
  <c r="P195" i="31"/>
  <c r="O195" i="31"/>
  <c r="K221" i="31"/>
  <c r="L221" i="31"/>
  <c r="Q212" i="31"/>
  <c r="R212" i="31"/>
  <c r="O224" i="31"/>
  <c r="P224" i="31"/>
  <c r="P217" i="31"/>
  <c r="O217" i="31"/>
  <c r="N209" i="31"/>
  <c r="O209" i="31"/>
  <c r="N207" i="31"/>
  <c r="Q204" i="31"/>
  <c r="O202" i="31"/>
  <c r="N226" i="31"/>
  <c r="AJ282" i="53"/>
  <c r="AJ271" i="53"/>
  <c r="AG258" i="53"/>
  <c r="AG280" i="53"/>
  <c r="T82" i="72"/>
  <c r="T113" i="71"/>
  <c r="T95" i="73"/>
  <c r="T24" i="80"/>
  <c r="AL258" i="53"/>
  <c r="AL280" i="53"/>
  <c r="AL269" i="53"/>
  <c r="AJ274" i="53"/>
  <c r="AJ285" i="53"/>
  <c r="P283" i="53"/>
  <c r="P272" i="53"/>
  <c r="P261" i="53"/>
  <c r="AJ272" i="53"/>
  <c r="AJ283" i="53"/>
  <c r="Q82" i="72"/>
  <c r="Q95" i="73"/>
  <c r="Q24" i="80"/>
  <c r="Q113" i="71"/>
  <c r="R284" i="53"/>
  <c r="R262" i="53"/>
  <c r="R273" i="53"/>
  <c r="M273" i="53"/>
  <c r="M284" i="53"/>
  <c r="M262" i="53"/>
  <c r="AC286" i="53"/>
  <c r="AC275" i="53"/>
  <c r="AH286" i="53"/>
  <c r="AH275" i="53"/>
  <c r="AH264" i="53"/>
  <c r="H58" i="70" a="1"/>
  <c r="H58" i="70" s="1"/>
  <c r="Z261" i="53"/>
  <c r="Z283" i="53"/>
  <c r="Z272" i="53"/>
  <c r="Q217" i="31"/>
  <c r="AP287" i="53"/>
  <c r="AP265" i="53"/>
  <c r="AP276" i="53"/>
  <c r="O276" i="53"/>
  <c r="O265" i="53"/>
  <c r="O287" i="53"/>
  <c r="S73" i="22"/>
  <c r="S84" i="22"/>
  <c r="S121" i="22"/>
  <c r="S62" i="22"/>
  <c r="S99" i="22"/>
  <c r="S110" i="22"/>
  <c r="S132" i="22"/>
  <c r="L99" i="22"/>
  <c r="L110" i="22"/>
  <c r="L132" i="22"/>
  <c r="L121" i="22"/>
  <c r="L62" i="22"/>
  <c r="L73" i="22"/>
  <c r="L84" i="22"/>
  <c r="V266" i="53"/>
  <c r="V277" i="53"/>
  <c r="V288" i="53"/>
  <c r="AD273" i="53"/>
  <c r="J74" i="22"/>
  <c r="J85" i="22"/>
  <c r="J122" i="22"/>
  <c r="J100" i="22"/>
  <c r="J133" i="22"/>
  <c r="J63" i="22"/>
  <c r="J111" i="22"/>
  <c r="P100" i="22"/>
  <c r="P63" i="22"/>
  <c r="P133" i="22"/>
  <c r="P74" i="22"/>
  <c r="P122" i="22"/>
  <c r="P111" i="22"/>
  <c r="P85" i="22"/>
  <c r="M288" i="53"/>
  <c r="M277" i="53"/>
  <c r="M266" i="53"/>
  <c r="AP266" i="53"/>
  <c r="AP288" i="53"/>
  <c r="AP277" i="53"/>
  <c r="AC271" i="53"/>
  <c r="N55" i="65"/>
  <c r="N102" i="22"/>
  <c r="AD276" i="53"/>
  <c r="AK272" i="53"/>
  <c r="AK263" i="53"/>
  <c r="AF286" i="53"/>
  <c r="AF258" i="53"/>
  <c r="AF260" i="53"/>
  <c r="AF263" i="53"/>
  <c r="AF259" i="53"/>
  <c r="AF261" i="53"/>
  <c r="AF265" i="53"/>
  <c r="AF264" i="53"/>
  <c r="AK173" i="105"/>
  <c r="AM173" i="105"/>
  <c r="AD184" i="105"/>
  <c r="AL184" i="105"/>
  <c r="M102" i="22"/>
  <c r="U124" i="22"/>
  <c r="AA281" i="53"/>
  <c r="AM39" i="53"/>
  <c r="AM47" i="53"/>
  <c r="AM74" i="53" s="1"/>
  <c r="AM46" i="53"/>
  <c r="AM48" i="53"/>
  <c r="AM75" i="53" s="1"/>
  <c r="AG111" i="65"/>
  <c r="AG67" i="105" s="1"/>
  <c r="AG49" i="105"/>
  <c r="AG86" i="105" s="1"/>
  <c r="AG102" i="65"/>
  <c r="AG58" i="105" s="1"/>
  <c r="L99" i="23"/>
  <c r="Q99" i="23"/>
  <c r="P99" i="23"/>
  <c r="N99" i="23"/>
  <c r="S99" i="23"/>
  <c r="M99" i="23"/>
  <c r="O99" i="23"/>
  <c r="R99" i="23"/>
  <c r="K214" i="31"/>
  <c r="L207" i="31"/>
  <c r="K211" i="31"/>
  <c r="L211" i="31"/>
  <c r="Q209" i="31"/>
  <c r="S209" i="31"/>
  <c r="R209" i="31"/>
  <c r="P198" i="31"/>
  <c r="O198" i="31"/>
  <c r="T260" i="53"/>
  <c r="T282" i="53"/>
  <c r="T271" i="53"/>
  <c r="K280" i="53"/>
  <c r="K258" i="53"/>
  <c r="O274" i="53"/>
  <c r="O285" i="53"/>
  <c r="O263" i="53"/>
  <c r="AA269" i="53"/>
  <c r="AA258" i="53"/>
  <c r="AA280" i="53"/>
  <c r="AM276" i="53"/>
  <c r="AM287" i="53"/>
  <c r="M57" i="65"/>
  <c r="M124" i="22"/>
  <c r="AJ188" i="80"/>
  <c r="AJ191" i="80" s="1"/>
  <c r="AJ192" i="80" s="1"/>
  <c r="AJ33" i="41"/>
  <c r="L76" i="23"/>
  <c r="S76" i="23"/>
  <c r="Q76" i="23"/>
  <c r="P76" i="23"/>
  <c r="N76" i="23"/>
  <c r="O76" i="23"/>
  <c r="R76" i="23"/>
  <c r="M76" i="23"/>
  <c r="L85" i="23"/>
  <c r="S85" i="23"/>
  <c r="Q85" i="23"/>
  <c r="P85" i="23"/>
  <c r="O85" i="23"/>
  <c r="R85" i="23"/>
  <c r="M85" i="23"/>
  <c r="N85" i="23"/>
  <c r="Q194" i="31"/>
  <c r="P194" i="31"/>
  <c r="Q197" i="31"/>
  <c r="R197" i="31"/>
  <c r="K225" i="31"/>
  <c r="J225" i="31"/>
  <c r="Q208" i="31"/>
  <c r="O208" i="31"/>
  <c r="K201" i="31"/>
  <c r="K209" i="31"/>
  <c r="J209" i="31"/>
  <c r="J201" i="31"/>
  <c r="N204" i="31"/>
  <c r="O204" i="31"/>
  <c r="P212" i="31"/>
  <c r="O212" i="31"/>
  <c r="AG260" i="53"/>
  <c r="AG282" i="53"/>
  <c r="AG271" i="53"/>
  <c r="Y24" i="80"/>
  <c r="Y95" i="73"/>
  <c r="Y82" i="72"/>
  <c r="Y113" i="71"/>
  <c r="AO258" i="53"/>
  <c r="AO280" i="53"/>
  <c r="AH261" i="53"/>
  <c r="AH283" i="53"/>
  <c r="W82" i="72"/>
  <c r="W95" i="73"/>
  <c r="W24" i="80"/>
  <c r="W113" i="71"/>
  <c r="AI286" i="53"/>
  <c r="AI275" i="53"/>
  <c r="O272" i="53"/>
  <c r="O283" i="53"/>
  <c r="O261" i="53"/>
  <c r="AG273" i="53"/>
  <c r="AG284" i="53"/>
  <c r="AG262" i="53"/>
  <c r="T262" i="53"/>
  <c r="T284" i="53"/>
  <c r="T273" i="53"/>
  <c r="N275" i="53"/>
  <c r="N286" i="53"/>
  <c r="N264" i="53"/>
  <c r="AA272" i="53"/>
  <c r="AA283" i="53"/>
  <c r="AA261" i="53"/>
  <c r="AC276" i="53"/>
  <c r="AC287" i="53"/>
  <c r="AF287" i="53"/>
  <c r="AF276" i="53"/>
  <c r="AN276" i="53"/>
  <c r="AN287" i="53"/>
  <c r="J84" i="22"/>
  <c r="J62" i="22"/>
  <c r="J73" i="22"/>
  <c r="J121" i="22"/>
  <c r="J132" i="22"/>
  <c r="J99" i="22"/>
  <c r="J110" i="22"/>
  <c r="Q62" i="22"/>
  <c r="Q110" i="22"/>
  <c r="Q132" i="22"/>
  <c r="Q84" i="22"/>
  <c r="Q99" i="22"/>
  <c r="Q73" i="22"/>
  <c r="Q121" i="22"/>
  <c r="M209" i="31"/>
  <c r="AA58" i="65"/>
  <c r="AA135" i="22"/>
  <c r="Y63" i="22"/>
  <c r="Y74" i="22"/>
  <c r="Y133" i="22"/>
  <c r="Y85" i="22"/>
  <c r="Y100" i="22"/>
  <c r="Y122" i="22"/>
  <c r="Y111" i="22"/>
  <c r="Q288" i="53"/>
  <c r="Q277" i="53"/>
  <c r="Q266" i="53"/>
  <c r="T277" i="53"/>
  <c r="T266" i="53"/>
  <c r="T288" i="53"/>
  <c r="R288" i="53"/>
  <c r="R277" i="53"/>
  <c r="R266" i="53"/>
  <c r="L288" i="53"/>
  <c r="L277" i="53"/>
  <c r="L266" i="53"/>
  <c r="V57" i="65"/>
  <c r="V124" i="22"/>
  <c r="M202" i="31"/>
  <c r="AH173" i="105"/>
  <c r="K204" i="31"/>
  <c r="M217" i="31"/>
  <c r="AB102" i="22"/>
  <c r="AB263" i="53"/>
  <c r="X113" i="22"/>
  <c r="AI59" i="80"/>
  <c r="AE103" i="65"/>
  <c r="AE59" i="105" s="1"/>
  <c r="AE112" i="65"/>
  <c r="AE68" i="105" s="1"/>
  <c r="AE50" i="105"/>
  <c r="AE87" i="105" s="1"/>
  <c r="L70" i="23"/>
  <c r="S70" i="23"/>
  <c r="O70" i="23"/>
  <c r="R70" i="23"/>
  <c r="M70" i="23"/>
  <c r="Q70" i="23"/>
  <c r="P70" i="23"/>
  <c r="N70" i="23"/>
  <c r="L93" i="23"/>
  <c r="S93" i="23"/>
  <c r="Q93" i="23"/>
  <c r="P93" i="23"/>
  <c r="O93" i="23"/>
  <c r="R93" i="23"/>
  <c r="M93" i="23"/>
  <c r="N93" i="23"/>
  <c r="R68" i="23"/>
  <c r="M68" i="23"/>
  <c r="Q68" i="23"/>
  <c r="S68" i="23"/>
  <c r="P68" i="23"/>
  <c r="L68" i="23"/>
  <c r="N68" i="23"/>
  <c r="O68" i="23"/>
  <c r="L81" i="23"/>
  <c r="S81" i="23"/>
  <c r="Q81" i="23"/>
  <c r="P81" i="23"/>
  <c r="O81" i="23"/>
  <c r="R81" i="23"/>
  <c r="M81" i="23"/>
  <c r="N81" i="23"/>
  <c r="L77" i="23"/>
  <c r="S77" i="23"/>
  <c r="Q77" i="23"/>
  <c r="P77" i="23"/>
  <c r="O77" i="23"/>
  <c r="R77" i="23"/>
  <c r="M77" i="23"/>
  <c r="N77" i="23"/>
  <c r="R203" i="31"/>
  <c r="Q207" i="31"/>
  <c r="R207" i="31"/>
  <c r="K224" i="31"/>
  <c r="H224" i="31" s="1"/>
  <c r="Q201" i="31"/>
  <c r="P201" i="31"/>
  <c r="O201" i="31"/>
  <c r="J203" i="31"/>
  <c r="K203" i="31"/>
  <c r="J207" i="31"/>
  <c r="N211" i="31"/>
  <c r="O203" i="31"/>
  <c r="K219" i="31"/>
  <c r="R221" i="31"/>
  <c r="P221" i="31"/>
  <c r="K202" i="31"/>
  <c r="L202" i="31"/>
  <c r="J202" i="31"/>
  <c r="R223" i="31"/>
  <c r="P220" i="31"/>
  <c r="N220" i="31"/>
  <c r="O220" i="31"/>
  <c r="K223" i="31"/>
  <c r="M225" i="31"/>
  <c r="J271" i="53"/>
  <c r="J282" i="53"/>
  <c r="V258" i="53"/>
  <c r="V269" i="53"/>
  <c r="V280" i="53"/>
  <c r="K95" i="73"/>
  <c r="K82" i="72"/>
  <c r="K24" i="80"/>
  <c r="K113" i="71"/>
  <c r="AH258" i="53"/>
  <c r="AH269" i="53"/>
  <c r="AH280" i="53"/>
  <c r="AP285" i="53"/>
  <c r="AP274" i="53"/>
  <c r="AP263" i="53"/>
  <c r="N283" i="53"/>
  <c r="N272" i="53"/>
  <c r="N261" i="53"/>
  <c r="AM274" i="53"/>
  <c r="AM285" i="53"/>
  <c r="AE273" i="53"/>
  <c r="AE284" i="53"/>
  <c r="AP262" i="53"/>
  <c r="AP273" i="53"/>
  <c r="AP284" i="53"/>
  <c r="P286" i="53"/>
  <c r="P264" i="53"/>
  <c r="P275" i="53"/>
  <c r="AL264" i="53"/>
  <c r="AL275" i="53"/>
  <c r="AL286" i="53"/>
  <c r="H73" i="105"/>
  <c r="H113" i="105" s="1"/>
  <c r="H37" i="41"/>
  <c r="Y272" i="53"/>
  <c r="Y261" i="53"/>
  <c r="Y283" i="53"/>
  <c r="Q55" i="81"/>
  <c r="Q56" i="81" s="1"/>
  <c r="Q114" i="81" s="1"/>
  <c r="Q129" i="81"/>
  <c r="Q205" i="31"/>
  <c r="L276" i="53"/>
  <c r="L265" i="53"/>
  <c r="AI287" i="53"/>
  <c r="R287" i="53"/>
  <c r="R265" i="53"/>
  <c r="R276" i="53"/>
  <c r="P121" i="22"/>
  <c r="P110" i="22"/>
  <c r="P73" i="22"/>
  <c r="P62" i="22"/>
  <c r="P84" i="22"/>
  <c r="P132" i="22"/>
  <c r="P99" i="22"/>
  <c r="L79" i="23"/>
  <c r="AA52" i="65"/>
  <c r="AA65" i="22"/>
  <c r="S111" i="22"/>
  <c r="S133" i="22"/>
  <c r="S74" i="22"/>
  <c r="S85" i="22"/>
  <c r="S100" i="22"/>
  <c r="S63" i="22"/>
  <c r="S122" i="22"/>
  <c r="AK277" i="53"/>
  <c r="AK288" i="53"/>
  <c r="AK266" i="53"/>
  <c r="AH266" i="53"/>
  <c r="AH288" i="53"/>
  <c r="AH277" i="53"/>
  <c r="J288" i="53"/>
  <c r="J277" i="53"/>
  <c r="AB53" i="65"/>
  <c r="AB76" i="22"/>
  <c r="V53" i="65"/>
  <c r="V76" i="22"/>
  <c r="AK283" i="53"/>
  <c r="AH272" i="53"/>
  <c r="J262" i="53"/>
  <c r="AH184" i="105"/>
  <c r="M207" i="31"/>
  <c r="M219" i="31"/>
  <c r="V102" i="22"/>
  <c r="S504" i="53"/>
  <c r="S78" i="83" s="1"/>
  <c r="S118" i="53"/>
  <c r="AE57" i="80"/>
  <c r="AE37" i="53"/>
  <c r="AE92" i="22"/>
  <c r="AE17" i="111" s="1"/>
  <c r="AE30" i="41"/>
  <c r="N76" i="22"/>
  <c r="U135" i="22"/>
  <c r="R101" i="22"/>
  <c r="X261" i="53"/>
  <c r="Y270" i="53"/>
  <c r="AC148" i="41"/>
  <c r="AC49" i="41"/>
  <c r="AF46" i="53"/>
  <c r="AH72" i="53"/>
  <c r="AH71" i="53"/>
  <c r="AH70" i="53"/>
  <c r="AH88" i="53" s="1"/>
  <c r="AH90" i="53" s="1"/>
  <c r="AH120" i="53" s="1"/>
  <c r="AH122" i="53" s="1"/>
  <c r="AH320" i="53" s="1"/>
  <c r="AH536" i="53" s="1"/>
  <c r="AK50" i="105"/>
  <c r="AK87" i="105" s="1"/>
  <c r="AK112" i="65"/>
  <c r="AK68" i="105" s="1"/>
  <c r="AK107" i="105" s="1"/>
  <c r="L83" i="23"/>
  <c r="Q83" i="23"/>
  <c r="P83" i="23"/>
  <c r="N83" i="23"/>
  <c r="R83" i="23"/>
  <c r="O83" i="23"/>
  <c r="S83" i="23"/>
  <c r="M83" i="23"/>
  <c r="O214" i="31"/>
  <c r="P214" i="31"/>
  <c r="N214" i="31"/>
  <c r="N219" i="31"/>
  <c r="N213" i="31"/>
  <c r="N205" i="31"/>
  <c r="O205" i="31"/>
  <c r="O269" i="53"/>
  <c r="O280" i="53"/>
  <c r="O258" i="53"/>
  <c r="AF280" i="53"/>
  <c r="AF269" i="53"/>
  <c r="AE272" i="53"/>
  <c r="AE283" i="53"/>
  <c r="X228" i="53"/>
  <c r="Y228" i="53"/>
  <c r="Z228" i="53"/>
  <c r="AA228" i="53"/>
  <c r="AB228" i="53"/>
  <c r="S264" i="53"/>
  <c r="S286" i="53"/>
  <c r="S275" i="53"/>
  <c r="AO286" i="53"/>
  <c r="AO275" i="53"/>
  <c r="AO264" i="53"/>
  <c r="AE276" i="53"/>
  <c r="AE287" i="53"/>
  <c r="AA62" i="22"/>
  <c r="AA73" i="22"/>
  <c r="AA110" i="22"/>
  <c r="AA84" i="22"/>
  <c r="AA132" i="22"/>
  <c r="AA99" i="22"/>
  <c r="AA121" i="22"/>
  <c r="K269" i="53"/>
  <c r="L82" i="23"/>
  <c r="S82" i="23"/>
  <c r="O82" i="23"/>
  <c r="R82" i="23"/>
  <c r="M82" i="23"/>
  <c r="Q82" i="23"/>
  <c r="P82" i="23"/>
  <c r="N82" i="23"/>
  <c r="L89" i="23"/>
  <c r="Q89" i="23"/>
  <c r="P89" i="23"/>
  <c r="O89" i="23"/>
  <c r="R89" i="23"/>
  <c r="M89" i="23"/>
  <c r="N89" i="23"/>
  <c r="S89" i="23"/>
  <c r="L213" i="31"/>
  <c r="P200" i="31"/>
  <c r="O200" i="31"/>
  <c r="L80" i="23"/>
  <c r="P80" i="23"/>
  <c r="S80" i="23"/>
  <c r="N80" i="23"/>
  <c r="O80" i="23"/>
  <c r="R80" i="23"/>
  <c r="M80" i="23"/>
  <c r="Q80" i="23"/>
  <c r="L78" i="23"/>
  <c r="S78" i="23"/>
  <c r="O78" i="23"/>
  <c r="R78" i="23"/>
  <c r="M78" i="23"/>
  <c r="Q78" i="23"/>
  <c r="P78" i="23"/>
  <c r="N78" i="23"/>
  <c r="L73" i="23"/>
  <c r="Q73" i="23"/>
  <c r="P73" i="23"/>
  <c r="O73" i="23"/>
  <c r="R73" i="23"/>
  <c r="M73" i="23"/>
  <c r="S73" i="23"/>
  <c r="N73" i="23"/>
  <c r="L69" i="23"/>
  <c r="S69" i="23"/>
  <c r="Q69" i="23"/>
  <c r="P69" i="23"/>
  <c r="O69" i="23"/>
  <c r="R69" i="23"/>
  <c r="M69" i="23"/>
  <c r="N69" i="23"/>
  <c r="N201" i="31"/>
  <c r="P207" i="31"/>
  <c r="O207" i="31"/>
  <c r="K210" i="31"/>
  <c r="K226" i="31"/>
  <c r="L197" i="31"/>
  <c r="Q198" i="31"/>
  <c r="R198" i="31"/>
  <c r="K206" i="31"/>
  <c r="P210" i="31"/>
  <c r="N210" i="31"/>
  <c r="O210" i="31"/>
  <c r="J214" i="31"/>
  <c r="J226" i="31"/>
  <c r="N198" i="31"/>
  <c r="N217" i="31"/>
  <c r="N212" i="31"/>
  <c r="M211" i="31"/>
  <c r="K194" i="31"/>
  <c r="AA113" i="71"/>
  <c r="AA82" i="72"/>
  <c r="AA95" i="73"/>
  <c r="AA24" i="80"/>
  <c r="N282" i="53"/>
  <c r="N271" i="53"/>
  <c r="N260" i="53"/>
  <c r="L280" i="53"/>
  <c r="L269" i="53"/>
  <c r="L258" i="53"/>
  <c r="AM280" i="53"/>
  <c r="J272" i="53"/>
  <c r="J283" i="53"/>
  <c r="M272" i="53"/>
  <c r="M283" i="53"/>
  <c r="M261" i="53"/>
  <c r="S285" i="53"/>
  <c r="S263" i="53"/>
  <c r="S274" i="53"/>
  <c r="AO262" i="53"/>
  <c r="AO284" i="53"/>
  <c r="S273" i="53"/>
  <c r="S284" i="53"/>
  <c r="S262" i="53"/>
  <c r="K273" i="53"/>
  <c r="K284" i="53"/>
  <c r="K262" i="53"/>
  <c r="AE286" i="53"/>
  <c r="AE275" i="53"/>
  <c r="J286" i="53"/>
  <c r="J275" i="53"/>
  <c r="Y85" i="72"/>
  <c r="Y27" i="80"/>
  <c r="Y116" i="71"/>
  <c r="Y98" i="73"/>
  <c r="Q223" i="31"/>
  <c r="U276" i="53"/>
  <c r="U265" i="53"/>
  <c r="U287" i="53"/>
  <c r="AG276" i="53"/>
  <c r="AG265" i="53"/>
  <c r="AG287" i="53"/>
  <c r="P276" i="53"/>
  <c r="P265" i="53"/>
  <c r="P287" i="53"/>
  <c r="M276" i="53"/>
  <c r="M287" i="53"/>
  <c r="M265" i="53"/>
  <c r="V110" i="22"/>
  <c r="V73" i="22"/>
  <c r="V121" i="22"/>
  <c r="V132" i="22"/>
  <c r="V99" i="22"/>
  <c r="V62" i="22"/>
  <c r="V84" i="22"/>
  <c r="K45" i="65"/>
  <c r="K86" i="22"/>
  <c r="AA56" i="65"/>
  <c r="AA113" i="22"/>
  <c r="N276" i="53"/>
  <c r="Q111" i="22"/>
  <c r="Q74" i="22"/>
  <c r="Q133" i="22"/>
  <c r="Q85" i="22"/>
  <c r="Q100" i="22"/>
  <c r="Q122" i="22"/>
  <c r="Q63" i="22"/>
  <c r="O100" i="22"/>
  <c r="O63" i="22"/>
  <c r="O133" i="22"/>
  <c r="O85" i="22"/>
  <c r="O122" i="22"/>
  <c r="O74" i="22"/>
  <c r="O111" i="22"/>
  <c r="AJ288" i="53"/>
  <c r="AJ277" i="53"/>
  <c r="K277" i="53"/>
  <c r="K288" i="53"/>
  <c r="K266" i="53"/>
  <c r="W266" i="53"/>
  <c r="W277" i="53"/>
  <c r="W288" i="53"/>
  <c r="S288" i="53"/>
  <c r="S266" i="53"/>
  <c r="S277" i="53"/>
  <c r="AB56" i="65"/>
  <c r="AB113" i="22"/>
  <c r="J260" i="53"/>
  <c r="AH259" i="53"/>
  <c r="AK274" i="53"/>
  <c r="AK258" i="53"/>
  <c r="AM283" i="53"/>
  <c r="AN260" i="53"/>
  <c r="AN262" i="53"/>
  <c r="AN264" i="53"/>
  <c r="AN261" i="53"/>
  <c r="AN258" i="53"/>
  <c r="AN265" i="53"/>
  <c r="AN263" i="53"/>
  <c r="AN266" i="53"/>
  <c r="AN259" i="53"/>
  <c r="AD173" i="105"/>
  <c r="AO173" i="105"/>
  <c r="S55" i="81"/>
  <c r="S56" i="81" s="1"/>
  <c r="S114" i="81" s="1"/>
  <c r="S129" i="81"/>
  <c r="Y281" i="53"/>
  <c r="AG59" i="80" l="1"/>
  <c r="AH16" i="111"/>
  <c r="AH18" i="74"/>
  <c r="AH32" i="41"/>
  <c r="AP59" i="80"/>
  <c r="AH64" i="53"/>
  <c r="AH73" i="53" s="1"/>
  <c r="AH65" i="53"/>
  <c r="AH74" i="53" s="1"/>
  <c r="AK59" i="80"/>
  <c r="O44" i="65"/>
  <c r="O75" i="22"/>
  <c r="Z65" i="22"/>
  <c r="Z52" i="65"/>
  <c r="AF30" i="41"/>
  <c r="AF37" i="53"/>
  <c r="AF57" i="80"/>
  <c r="AF59" i="80" s="1"/>
  <c r="AN148" i="41"/>
  <c r="AN49" i="41"/>
  <c r="Z58" i="65"/>
  <c r="Z135" i="22"/>
  <c r="AL49" i="41"/>
  <c r="AL148" i="41"/>
  <c r="Z55" i="65"/>
  <c r="Z102" i="22"/>
  <c r="AI39" i="53"/>
  <c r="K134" i="22"/>
  <c r="AC66" i="53"/>
  <c r="AC75" i="53" s="1"/>
  <c r="AF189" i="80"/>
  <c r="AF191" i="80" s="1"/>
  <c r="AF192" i="80" s="1"/>
  <c r="AC189" i="80"/>
  <c r="AC191" i="80" s="1"/>
  <c r="AC192" i="80" s="1"/>
  <c r="AP56" i="53"/>
  <c r="AH75" i="53"/>
  <c r="Z87" i="22"/>
  <c r="Z54" i="65"/>
  <c r="O43" i="65"/>
  <c r="O64" i="22"/>
  <c r="AF92" i="22"/>
  <c r="AF17" i="111" s="1"/>
  <c r="K88" i="22"/>
  <c r="K58" i="80" s="1"/>
  <c r="AI46" i="53"/>
  <c r="K135" i="22"/>
  <c r="AI48" i="53"/>
  <c r="AI75" i="53" s="1"/>
  <c r="AJ56" i="53"/>
  <c r="Z53" i="65"/>
  <c r="Z76" i="22"/>
  <c r="O47" i="65"/>
  <c r="O112" i="22"/>
  <c r="M58" i="65"/>
  <c r="M135" i="22"/>
  <c r="M136" i="22" s="1"/>
  <c r="M35" i="41" s="1"/>
  <c r="AM73" i="53"/>
  <c r="AK64" i="53"/>
  <c r="AK73" i="53" s="1"/>
  <c r="Y112" i="22"/>
  <c r="AK28" i="111"/>
  <c r="AK34" i="111" s="1"/>
  <c r="AL48" i="53"/>
  <c r="Z57" i="65"/>
  <c r="Z124" i="22"/>
  <c r="O46" i="65"/>
  <c r="O101" i="22"/>
  <c r="M52" i="65"/>
  <c r="M65" i="22"/>
  <c r="M66" i="22" s="1"/>
  <c r="AP48" i="53"/>
  <c r="AP75" i="53" s="1"/>
  <c r="AP47" i="53"/>
  <c r="AP39" i="53"/>
  <c r="AP46" i="53"/>
  <c r="AP73" i="53" s="1"/>
  <c r="Y285" i="53"/>
  <c r="J36" i="55"/>
  <c r="X259" i="53"/>
  <c r="X270" i="53"/>
  <c r="AA259" i="53"/>
  <c r="L206" i="31"/>
  <c r="K208" i="31"/>
  <c r="J212" i="31"/>
  <c r="L215" i="31"/>
  <c r="K198" i="31"/>
  <c r="H198" i="31" s="1"/>
  <c r="L220" i="31"/>
  <c r="M221" i="31"/>
  <c r="H221" i="31" s="1"/>
  <c r="J198" i="31"/>
  <c r="M212" i="31"/>
  <c r="M195" i="31"/>
  <c r="K222" i="31"/>
  <c r="J204" i="31"/>
  <c r="J206" i="31"/>
  <c r="K215" i="31"/>
  <c r="H215" i="31" s="1"/>
  <c r="L195" i="31"/>
  <c r="M215" i="31"/>
  <c r="N196" i="31"/>
  <c r="J216" i="31"/>
  <c r="O222" i="31"/>
  <c r="H222" i="31" s="1"/>
  <c r="M204" i="31"/>
  <c r="L208" i="31"/>
  <c r="O221" i="31"/>
  <c r="M198" i="31"/>
  <c r="J194" i="31"/>
  <c r="K200" i="31"/>
  <c r="J195" i="31"/>
  <c r="K220" i="31"/>
  <c r="K216" i="31"/>
  <c r="H216" i="31" s="1"/>
  <c r="M208" i="31"/>
  <c r="L194" i="31"/>
  <c r="K212" i="31"/>
  <c r="P208" i="31"/>
  <c r="J220" i="31"/>
  <c r="L199" i="31"/>
  <c r="P222" i="31"/>
  <c r="N215" i="31"/>
  <c r="AG48" i="53"/>
  <c r="M77" i="22"/>
  <c r="K66" i="22"/>
  <c r="K56" i="80" s="1"/>
  <c r="AM191" i="80"/>
  <c r="AM192" i="80" s="1"/>
  <c r="K48" i="65"/>
  <c r="K123" i="22"/>
  <c r="K125" i="22" s="1"/>
  <c r="Y46" i="65"/>
  <c r="Y101" i="22"/>
  <c r="AF28" i="111"/>
  <c r="AF34" i="111" s="1"/>
  <c r="AF27" i="111"/>
  <c r="AF33" i="111" s="1"/>
  <c r="Z49" i="65"/>
  <c r="Z134" i="22"/>
  <c r="Z136" i="22" s="1"/>
  <c r="Z35" i="41" s="1"/>
  <c r="AK66" i="53"/>
  <c r="AK75" i="53" s="1"/>
  <c r="AJ27" i="111"/>
  <c r="AJ33" i="111" s="1"/>
  <c r="AJ28" i="111"/>
  <c r="AJ34" i="111" s="1"/>
  <c r="W48" i="65"/>
  <c r="W123" i="22"/>
  <c r="Z43" i="65"/>
  <c r="Z64" i="22"/>
  <c r="Z66" i="22" s="1"/>
  <c r="Z44" i="65"/>
  <c r="Z75" i="22"/>
  <c r="W49" i="65"/>
  <c r="W134" i="22"/>
  <c r="Z48" i="65"/>
  <c r="Z123" i="22"/>
  <c r="AK65" i="53"/>
  <c r="AK74" i="53" s="1"/>
  <c r="AI74" i="53"/>
  <c r="AC73" i="53"/>
  <c r="AM148" i="41"/>
  <c r="AM49" i="41"/>
  <c r="W45" i="65"/>
  <c r="W86" i="22"/>
  <c r="Z47" i="65"/>
  <c r="Z112" i="22"/>
  <c r="Y48" i="65"/>
  <c r="Y123" i="22"/>
  <c r="Z45" i="65"/>
  <c r="Z86" i="22"/>
  <c r="Z88" i="22" s="1"/>
  <c r="AG46" i="53"/>
  <c r="AE191" i="80"/>
  <c r="AE192" i="80" s="1"/>
  <c r="AC74" i="53"/>
  <c r="AG39" i="53"/>
  <c r="AN48" i="53"/>
  <c r="K103" i="22"/>
  <c r="K16" i="111" s="1"/>
  <c r="K44" i="65"/>
  <c r="K75" i="22"/>
  <c r="K77" i="22" s="1"/>
  <c r="Z114" i="22"/>
  <c r="Y44" i="65"/>
  <c r="Y75" i="22"/>
  <c r="Z46" i="65"/>
  <c r="Z101" i="22"/>
  <c r="Z103" i="22" s="1"/>
  <c r="H129" i="81"/>
  <c r="J196" i="31"/>
  <c r="Y274" i="53"/>
  <c r="L205" i="31"/>
  <c r="M196" i="31"/>
  <c r="AE107" i="105"/>
  <c r="AE182" i="105"/>
  <c r="AG96" i="105"/>
  <c r="AG170" i="105"/>
  <c r="AC97" i="105"/>
  <c r="AC171" i="105"/>
  <c r="AF66" i="53"/>
  <c r="AF65" i="53"/>
  <c r="AF64" i="53"/>
  <c r="AF39" i="53"/>
  <c r="K205" i="31"/>
  <c r="H205" i="31" s="1"/>
  <c r="AN46" i="53"/>
  <c r="AE97" i="105"/>
  <c r="AE171" i="105"/>
  <c r="L196" i="31"/>
  <c r="AC107" i="105"/>
  <c r="AC182" i="105"/>
  <c r="AG97" i="105"/>
  <c r="AG171" i="105"/>
  <c r="AI106" i="105"/>
  <c r="AI181" i="105"/>
  <c r="Z288" i="53"/>
  <c r="K18" i="74"/>
  <c r="M205" i="31"/>
  <c r="N199" i="31"/>
  <c r="N222" i="31"/>
  <c r="O199" i="31"/>
  <c r="AJ50" i="41"/>
  <c r="AJ149" i="41"/>
  <c r="AG107" i="105"/>
  <c r="AG182" i="105"/>
  <c r="Z266" i="53"/>
  <c r="J199" i="31"/>
  <c r="K196" i="31"/>
  <c r="AG106" i="105"/>
  <c r="AG181" i="105"/>
  <c r="H203" i="31"/>
  <c r="L239" i="31" s="1"/>
  <c r="S35" i="80" s="1"/>
  <c r="M88" i="22"/>
  <c r="M92" i="22" s="1"/>
  <c r="M17" i="111" s="1"/>
  <c r="Y263" i="53"/>
  <c r="AD64" i="53"/>
  <c r="AD66" i="53"/>
  <c r="AD65" i="53"/>
  <c r="AN50" i="41"/>
  <c r="AN149" i="41"/>
  <c r="M199" i="31"/>
  <c r="AD28" i="111"/>
  <c r="AD34" i="111" s="1"/>
  <c r="AD27" i="111"/>
  <c r="AD33" i="111" s="1"/>
  <c r="AE46" i="53"/>
  <c r="AE47" i="53"/>
  <c r="AO66" i="53"/>
  <c r="AO75" i="53" s="1"/>
  <c r="AO65" i="53"/>
  <c r="AO74" i="53" s="1"/>
  <c r="AO64" i="53"/>
  <c r="AO73" i="53" s="1"/>
  <c r="AO39" i="53"/>
  <c r="M103" i="22"/>
  <c r="AC70" i="53"/>
  <c r="AC88" i="53" s="1"/>
  <c r="AC90" i="53" s="1"/>
  <c r="AC120" i="53" s="1"/>
  <c r="AC122" i="53" s="1"/>
  <c r="AC322" i="53" s="1"/>
  <c r="AC538" i="53" s="1"/>
  <c r="AC71" i="53"/>
  <c r="AL28" i="111"/>
  <c r="AL34" i="111" s="1"/>
  <c r="AL27" i="111"/>
  <c r="AL33" i="111" s="1"/>
  <c r="AO27" i="111"/>
  <c r="AO33" i="111" s="1"/>
  <c r="AO28" i="111"/>
  <c r="AO34" i="111" s="1"/>
  <c r="AE149" i="41"/>
  <c r="AE50" i="41"/>
  <c r="M114" i="22"/>
  <c r="AJ65" i="53"/>
  <c r="AJ64" i="53"/>
  <c r="AJ73" i="53" s="1"/>
  <c r="AJ66" i="53"/>
  <c r="AJ75" i="53" s="1"/>
  <c r="AJ39" i="53"/>
  <c r="K114" i="22"/>
  <c r="AF50" i="41"/>
  <c r="AF149" i="41"/>
  <c r="K28" i="111"/>
  <c r="K34" i="111" s="1"/>
  <c r="K27" i="111"/>
  <c r="K33" i="111" s="1"/>
  <c r="AK148" i="41"/>
  <c r="AK49" i="41"/>
  <c r="AI148" i="41"/>
  <c r="AI49" i="41"/>
  <c r="AH49" i="41"/>
  <c r="AH148" i="41"/>
  <c r="K240" i="83"/>
  <c r="K267" i="83" s="1"/>
  <c r="K36" i="53"/>
  <c r="K29" i="41"/>
  <c r="K76" i="41" s="1"/>
  <c r="K97" i="41" s="1"/>
  <c r="AM50" i="41"/>
  <c r="AM149" i="41"/>
  <c r="AL64" i="53"/>
  <c r="AL73" i="53" s="1"/>
  <c r="AL66" i="53"/>
  <c r="AL75" i="53" s="1"/>
  <c r="AL65" i="53"/>
  <c r="AL74" i="53" s="1"/>
  <c r="AL39" i="53"/>
  <c r="AE28" i="111"/>
  <c r="AE34" i="111" s="1"/>
  <c r="AE27" i="111"/>
  <c r="AE33" i="111" s="1"/>
  <c r="AE148" i="41"/>
  <c r="AE49" i="41"/>
  <c r="AG64" i="53"/>
  <c r="AG66" i="53"/>
  <c r="AG75" i="53" s="1"/>
  <c r="AG65" i="53"/>
  <c r="AG71" i="53" s="1"/>
  <c r="AN55" i="53"/>
  <c r="AN57" i="53"/>
  <c r="AN75" i="53" s="1"/>
  <c r="AN56" i="53"/>
  <c r="AN74" i="53" s="1"/>
  <c r="AN39" i="53"/>
  <c r="AC50" i="41"/>
  <c r="AC149" i="41"/>
  <c r="AI73" i="53"/>
  <c r="AA274" i="53"/>
  <c r="AA285" i="53"/>
  <c r="AA263" i="53"/>
  <c r="X264" i="53"/>
  <c r="X275" i="53"/>
  <c r="X286" i="53"/>
  <c r="Z263" i="53"/>
  <c r="AB264" i="53"/>
  <c r="Z264" i="53"/>
  <c r="AB286" i="53"/>
  <c r="Z285" i="53"/>
  <c r="Z275" i="53"/>
  <c r="X263" i="53"/>
  <c r="X274" i="53"/>
  <c r="AA264" i="53"/>
  <c r="AA275" i="53"/>
  <c r="AA286" i="53"/>
  <c r="Y264" i="53"/>
  <c r="Y286" i="53"/>
  <c r="Y275" i="53"/>
  <c r="H104" i="23" a="1"/>
  <c r="H104" i="23" s="1"/>
  <c r="A4" i="23" s="1"/>
  <c r="H20" i="83" a="1"/>
  <c r="H24" i="83" s="1"/>
  <c r="H214" i="31"/>
  <c r="H51" i="72" a="1"/>
  <c r="H53" i="72" s="1"/>
  <c r="Q20" i="31"/>
  <c r="P21" i="31"/>
  <c r="AH111" i="83"/>
  <c r="AH121" i="80"/>
  <c r="AH296" i="53"/>
  <c r="AH512" i="53" s="1"/>
  <c r="P53" i="65"/>
  <c r="P76" i="22"/>
  <c r="L44" i="65"/>
  <c r="L75" i="22"/>
  <c r="W54" i="65"/>
  <c r="W87" i="22"/>
  <c r="W88" i="22" s="1"/>
  <c r="T43" i="65"/>
  <c r="T64" i="22"/>
  <c r="AA287" i="53"/>
  <c r="AA276" i="53"/>
  <c r="AA265" i="53"/>
  <c r="L53" i="65"/>
  <c r="L76" i="22"/>
  <c r="U48" i="65"/>
  <c r="U123" i="22"/>
  <c r="U125" i="22" s="1"/>
  <c r="X45" i="65"/>
  <c r="X86" i="22"/>
  <c r="X88" i="22" s="1"/>
  <c r="AH295" i="53"/>
  <c r="AH511" i="53" s="1"/>
  <c r="P296" i="31"/>
  <c r="K296" i="31"/>
  <c r="L296" i="31"/>
  <c r="M296" i="31"/>
  <c r="M260" i="31"/>
  <c r="AN36" i="80" s="1"/>
  <c r="R296" i="31"/>
  <c r="R260" i="31"/>
  <c r="AN41" i="80" s="1"/>
  <c r="O296" i="31"/>
  <c r="S260" i="31"/>
  <c r="AN42" i="80" s="1"/>
  <c r="P260" i="31"/>
  <c r="AN39" i="80" s="1"/>
  <c r="J296" i="31"/>
  <c r="N260" i="31"/>
  <c r="AN37" i="80" s="1"/>
  <c r="S296" i="31"/>
  <c r="L260" i="31"/>
  <c r="AN35" i="80" s="1"/>
  <c r="Q296" i="31"/>
  <c r="K260" i="31"/>
  <c r="AN34" i="80" s="1"/>
  <c r="O260" i="31"/>
  <c r="AN38" i="80" s="1"/>
  <c r="J260" i="31"/>
  <c r="Q260" i="31"/>
  <c r="AN40" i="80" s="1"/>
  <c r="N296" i="31"/>
  <c r="O54" i="65"/>
  <c r="O87" i="22"/>
  <c r="O88" i="22" s="1"/>
  <c r="Q58" i="65"/>
  <c r="Q135" i="22"/>
  <c r="Q48" i="65"/>
  <c r="Q123" i="22"/>
  <c r="A4" i="89"/>
  <c r="J37" i="55"/>
  <c r="P58" i="65"/>
  <c r="P135" i="22"/>
  <c r="J87" i="22"/>
  <c r="J54" i="65"/>
  <c r="S43" i="65"/>
  <c r="S64" i="22"/>
  <c r="M125" i="22"/>
  <c r="R54" i="65"/>
  <c r="R87" i="22"/>
  <c r="R88" i="22" s="1"/>
  <c r="AH300" i="53"/>
  <c r="AH516" i="53" s="1"/>
  <c r="H223" i="31"/>
  <c r="O58" i="65"/>
  <c r="O135" i="22"/>
  <c r="O136" i="22" s="1"/>
  <c r="O35" i="41" s="1"/>
  <c r="AA47" i="65"/>
  <c r="AA112" i="22"/>
  <c r="AA114" i="22" s="1"/>
  <c r="AH312" i="53"/>
  <c r="AH528" i="53" s="1"/>
  <c r="P55" i="65"/>
  <c r="P102" i="22"/>
  <c r="L49" i="65"/>
  <c r="L134" i="22"/>
  <c r="S45" i="65"/>
  <c r="S86" i="22"/>
  <c r="AH299" i="53"/>
  <c r="AH515" i="53" s="1"/>
  <c r="AB47" i="65"/>
  <c r="AB112" i="22"/>
  <c r="AB114" i="22" s="1"/>
  <c r="AO149" i="41"/>
  <c r="AO50" i="41"/>
  <c r="T56" i="65"/>
  <c r="T113" i="22"/>
  <c r="N46" i="65"/>
  <c r="N101" i="22"/>
  <c r="N103" i="22" s="1"/>
  <c r="T49" i="65"/>
  <c r="T134" i="22"/>
  <c r="H197" i="31"/>
  <c r="H53" i="73" a="1"/>
  <c r="L56" i="65"/>
  <c r="L113" i="22"/>
  <c r="U45" i="65"/>
  <c r="U86" i="22"/>
  <c r="U88" i="22" s="1"/>
  <c r="O57" i="65"/>
  <c r="O124" i="22"/>
  <c r="O125" i="22" s="1"/>
  <c r="Q54" i="65"/>
  <c r="Q87" i="22"/>
  <c r="V47" i="65"/>
  <c r="V112" i="22"/>
  <c r="V114" i="22" s="1"/>
  <c r="AA49" i="65"/>
  <c r="AA134" i="22"/>
  <c r="AA136" i="22" s="1"/>
  <c r="AA35" i="41" s="1"/>
  <c r="Y58" i="65"/>
  <c r="Y135" i="22"/>
  <c r="Y136" i="22" s="1"/>
  <c r="Y35" i="41" s="1"/>
  <c r="J47" i="65"/>
  <c r="J112" i="22"/>
  <c r="T52" i="65"/>
  <c r="T65" i="22"/>
  <c r="AP149" i="41"/>
  <c r="AP50" i="41"/>
  <c r="AA45" i="65"/>
  <c r="AA86" i="22"/>
  <c r="AA88" i="22" s="1"/>
  <c r="Z262" i="53"/>
  <c r="Z284" i="53"/>
  <c r="Z273" i="53"/>
  <c r="Y53" i="65"/>
  <c r="Y76" i="22"/>
  <c r="Y77" i="22" s="1"/>
  <c r="J101" i="22"/>
  <c r="J46" i="65"/>
  <c r="H212" i="31"/>
  <c r="M16" i="111"/>
  <c r="M18" i="74"/>
  <c r="M32" i="41"/>
  <c r="L43" i="65"/>
  <c r="L64" i="22"/>
  <c r="AB44" i="65"/>
  <c r="AB75" i="22"/>
  <c r="AB77" i="22" s="1"/>
  <c r="R58" i="65"/>
  <c r="R135" i="22"/>
  <c r="R136" i="22" s="1"/>
  <c r="R35" i="41" s="1"/>
  <c r="L52" i="65"/>
  <c r="L65" i="22"/>
  <c r="U44" i="65"/>
  <c r="U75" i="22"/>
  <c r="U77" i="22" s="1"/>
  <c r="O52" i="65"/>
  <c r="O65" i="22"/>
  <c r="O66" i="22" s="1"/>
  <c r="Q56" i="65"/>
  <c r="Q113" i="22"/>
  <c r="V43" i="65"/>
  <c r="V64" i="22"/>
  <c r="V66" i="22" s="1"/>
  <c r="AA44" i="65"/>
  <c r="AA75" i="22"/>
  <c r="AA77" i="22" s="1"/>
  <c r="X262" i="53"/>
  <c r="X273" i="53"/>
  <c r="X284" i="53"/>
  <c r="AH323" i="53"/>
  <c r="AH539" i="53" s="1"/>
  <c r="S54" i="65"/>
  <c r="S87" i="22"/>
  <c r="P46" i="65"/>
  <c r="P101" i="22"/>
  <c r="AH315" i="53"/>
  <c r="AH531" i="53" s="1"/>
  <c r="Q46" i="65"/>
  <c r="Q101" i="22"/>
  <c r="J48" i="65"/>
  <c r="J123" i="22"/>
  <c r="H201" i="31"/>
  <c r="H225" i="31"/>
  <c r="O55" i="65"/>
  <c r="O102" i="22"/>
  <c r="O103" i="22" s="1"/>
  <c r="V46" i="65"/>
  <c r="V101" i="22"/>
  <c r="V103" i="22" s="1"/>
  <c r="AA43" i="65"/>
  <c r="AA64" i="22"/>
  <c r="AA66" i="22" s="1"/>
  <c r="H204" i="31"/>
  <c r="AH301" i="53"/>
  <c r="AH517" i="53" s="1"/>
  <c r="S53" i="65"/>
  <c r="S76" i="22"/>
  <c r="P49" i="65"/>
  <c r="P134" i="22"/>
  <c r="AH304" i="53"/>
  <c r="AH520" i="53" s="1"/>
  <c r="J69" i="83" a="1"/>
  <c r="J107" i="73" a="1"/>
  <c r="J109" i="72" a="1"/>
  <c r="Y56" i="65"/>
  <c r="Y113" i="22"/>
  <c r="Y114" i="22" s="1"/>
  <c r="Q45" i="65"/>
  <c r="Q86" i="22"/>
  <c r="J75" i="22"/>
  <c r="J44" i="65"/>
  <c r="H209" i="31"/>
  <c r="AJ148" i="41"/>
  <c r="AJ49" i="41"/>
  <c r="J56" i="65"/>
  <c r="J113" i="22"/>
  <c r="L47" i="65"/>
  <c r="L112" i="22"/>
  <c r="S44" i="65"/>
  <c r="S75" i="22"/>
  <c r="S77" i="22" s="1"/>
  <c r="AH310" i="53"/>
  <c r="AH526" i="53" s="1"/>
  <c r="W55" i="65"/>
  <c r="W102" i="22"/>
  <c r="W103" i="22" s="1"/>
  <c r="AB43" i="65"/>
  <c r="AB64" i="22"/>
  <c r="AB66" i="22" s="1"/>
  <c r="T53" i="65"/>
  <c r="T76" i="22"/>
  <c r="N47" i="65"/>
  <c r="N112" i="22"/>
  <c r="N114" i="22" s="1"/>
  <c r="T45" i="65"/>
  <c r="T86" i="22"/>
  <c r="Z265" i="53"/>
  <c r="Z287" i="53"/>
  <c r="Z276" i="53"/>
  <c r="H210" i="31"/>
  <c r="H217" i="31"/>
  <c r="R53" i="65"/>
  <c r="R76" i="22"/>
  <c r="R77" i="22" s="1"/>
  <c r="L55" i="65"/>
  <c r="L102" i="22"/>
  <c r="X49" i="65"/>
  <c r="X134" i="22"/>
  <c r="X136" i="22" s="1"/>
  <c r="X35" i="41" s="1"/>
  <c r="H200" i="31"/>
  <c r="K242" i="83"/>
  <c r="K269" i="83" s="1"/>
  <c r="Q286" i="31"/>
  <c r="S286" i="31"/>
  <c r="M286" i="31"/>
  <c r="R286" i="31"/>
  <c r="N286" i="31"/>
  <c r="S250" i="31"/>
  <c r="AD42" i="80" s="1"/>
  <c r="N250" i="31"/>
  <c r="AD37" i="80" s="1"/>
  <c r="J250" i="31"/>
  <c r="Q250" i="31"/>
  <c r="AD40" i="80" s="1"/>
  <c r="P286" i="31"/>
  <c r="O250" i="31"/>
  <c r="AD38" i="80" s="1"/>
  <c r="M250" i="31"/>
  <c r="AD36" i="80" s="1"/>
  <c r="K286" i="31"/>
  <c r="L250" i="31"/>
  <c r="AD35" i="80" s="1"/>
  <c r="J286" i="31"/>
  <c r="R250" i="31"/>
  <c r="AD41" i="80" s="1"/>
  <c r="P250" i="31"/>
  <c r="AD39" i="80" s="1"/>
  <c r="L286" i="31"/>
  <c r="O286" i="31"/>
  <c r="K250" i="31"/>
  <c r="AD34" i="80" s="1"/>
  <c r="AA273" i="53"/>
  <c r="AA262" i="53"/>
  <c r="AA284" i="53"/>
  <c r="S57" i="65"/>
  <c r="S124" i="22"/>
  <c r="P47" i="65"/>
  <c r="P112" i="22"/>
  <c r="A4" i="70"/>
  <c r="J38" i="55"/>
  <c r="T87" i="22"/>
  <c r="T54" i="65"/>
  <c r="T48" i="65"/>
  <c r="T123" i="22"/>
  <c r="L58" i="65"/>
  <c r="L135" i="22"/>
  <c r="Q53" i="65"/>
  <c r="Q76" i="22"/>
  <c r="V45" i="65"/>
  <c r="V86" i="22"/>
  <c r="V88" i="22" s="1"/>
  <c r="S55" i="65"/>
  <c r="S102" i="22"/>
  <c r="AB46" i="65"/>
  <c r="AB101" i="22"/>
  <c r="AB103" i="22" s="1"/>
  <c r="AD46" i="53"/>
  <c r="AD48" i="53"/>
  <c r="AD75" i="53" s="1"/>
  <c r="AD47" i="53"/>
  <c r="AD74" i="53" s="1"/>
  <c r="AD39" i="53"/>
  <c r="N43" i="65"/>
  <c r="N64" i="22"/>
  <c r="N66" i="22" s="1"/>
  <c r="T44" i="65"/>
  <c r="T75" i="22"/>
  <c r="X47" i="65"/>
  <c r="X112" i="22"/>
  <c r="X114" i="22" s="1"/>
  <c r="Q52" i="65"/>
  <c r="Q65" i="22"/>
  <c r="V49" i="65"/>
  <c r="V134" i="22"/>
  <c r="V136" i="22" s="1"/>
  <c r="V35" i="41" s="1"/>
  <c r="AH293" i="53"/>
  <c r="AH509" i="53" s="1"/>
  <c r="H194" i="31"/>
  <c r="Y57" i="65"/>
  <c r="Y124" i="22"/>
  <c r="Y125" i="22" s="1"/>
  <c r="Q49" i="65"/>
  <c r="Q134" i="22"/>
  <c r="J64" i="22"/>
  <c r="J43" i="65"/>
  <c r="J52" i="65"/>
  <c r="J65" i="22"/>
  <c r="R55" i="65"/>
  <c r="R102" i="22"/>
  <c r="R103" i="22" s="1"/>
  <c r="L54" i="65"/>
  <c r="L87" i="22"/>
  <c r="U47" i="65"/>
  <c r="U112" i="22"/>
  <c r="U114" i="22" s="1"/>
  <c r="X44" i="65"/>
  <c r="X75" i="22"/>
  <c r="X77" i="22" s="1"/>
  <c r="AH319" i="53"/>
  <c r="AH535" i="53" s="1"/>
  <c r="H211" i="31"/>
  <c r="O56" i="65"/>
  <c r="O113" i="22"/>
  <c r="O114" i="22" s="1"/>
  <c r="Q57" i="65"/>
  <c r="Q124" i="22"/>
  <c r="V48" i="65"/>
  <c r="V123" i="22"/>
  <c r="V125" i="22" s="1"/>
  <c r="H226" i="31"/>
  <c r="AA48" i="65"/>
  <c r="AA123" i="22"/>
  <c r="AA125" i="22" s="1"/>
  <c r="AE57" i="53"/>
  <c r="AE75" i="53" s="1"/>
  <c r="AE56" i="53"/>
  <c r="AE39" i="53"/>
  <c r="AE55" i="53"/>
  <c r="AE73" i="53" s="1"/>
  <c r="S56" i="65"/>
  <c r="S113" i="22"/>
  <c r="P43" i="65"/>
  <c r="P64" i="22"/>
  <c r="AC116" i="41"/>
  <c r="BI116" i="41"/>
  <c r="CO116" i="41"/>
  <c r="Z116" i="41"/>
  <c r="BF116" i="41"/>
  <c r="CL116" i="41"/>
  <c r="W116" i="41"/>
  <c r="BC116" i="41"/>
  <c r="CI116" i="41"/>
  <c r="T116" i="41"/>
  <c r="AZ116" i="41"/>
  <c r="CF116" i="41"/>
  <c r="Q116" i="41"/>
  <c r="AW116" i="41"/>
  <c r="CC116" i="41"/>
  <c r="N116" i="41"/>
  <c r="AT116" i="41"/>
  <c r="BZ116" i="41"/>
  <c r="K116" i="41"/>
  <c r="AQ116" i="41"/>
  <c r="BW116" i="41"/>
  <c r="DC116" i="41"/>
  <c r="AN116" i="41"/>
  <c r="BT116" i="41"/>
  <c r="CZ116" i="41"/>
  <c r="M116" i="41"/>
  <c r="BE116" i="41"/>
  <c r="CW116" i="41"/>
  <c r="AP116" i="41"/>
  <c r="CH116" i="41"/>
  <c r="AE116" i="41"/>
  <c r="BS116" i="41"/>
  <c r="P116" i="41"/>
  <c r="BH116" i="41"/>
  <c r="CV116" i="41"/>
  <c r="U116" i="41"/>
  <c r="BM116" i="41"/>
  <c r="DA116" i="41"/>
  <c r="AX116" i="41"/>
  <c r="CP116" i="41"/>
  <c r="AI116" i="41"/>
  <c r="CA116" i="41"/>
  <c r="X116" i="41"/>
  <c r="BL116" i="41"/>
  <c r="DD116" i="41"/>
  <c r="AG116" i="41"/>
  <c r="BU116" i="41"/>
  <c r="R116" i="41"/>
  <c r="BJ116" i="41"/>
  <c r="CX116" i="41"/>
  <c r="AU116" i="41"/>
  <c r="CM116" i="41"/>
  <c r="AF116" i="41"/>
  <c r="BX116" i="41"/>
  <c r="AK116" i="41"/>
  <c r="BY116" i="41"/>
  <c r="V116" i="41"/>
  <c r="BN116" i="41"/>
  <c r="DB116" i="41"/>
  <c r="AY116" i="41"/>
  <c r="CQ116" i="41"/>
  <c r="AJ116" i="41"/>
  <c r="CB116" i="41"/>
  <c r="CG116" i="41"/>
  <c r="BR116" i="41"/>
  <c r="BG116" i="41"/>
  <c r="AR116" i="41"/>
  <c r="CK116" i="41"/>
  <c r="BV116" i="41"/>
  <c r="BK116" i="41"/>
  <c r="AV116" i="41"/>
  <c r="Y116" i="41"/>
  <c r="J116" i="41"/>
  <c r="CT116" i="41"/>
  <c r="CE116" i="41"/>
  <c r="BP116" i="41"/>
  <c r="AS116" i="41"/>
  <c r="AH116" i="41"/>
  <c r="S116" i="41"/>
  <c r="CY116" i="41"/>
  <c r="CN116" i="41"/>
  <c r="BQ116" i="41"/>
  <c r="AM116" i="41"/>
  <c r="CS116" i="41"/>
  <c r="BO116" i="41"/>
  <c r="AL116" i="41"/>
  <c r="L116" i="41"/>
  <c r="BB116" i="41"/>
  <c r="AB116" i="41"/>
  <c r="CD116" i="41"/>
  <c r="O116" i="41"/>
  <c r="AA116" i="41"/>
  <c r="CU116" i="41"/>
  <c r="BD116" i="41"/>
  <c r="AD116" i="41"/>
  <c r="AO116" i="41"/>
  <c r="BA116" i="41"/>
  <c r="CJ116" i="41"/>
  <c r="CR116" i="41"/>
  <c r="H202" i="31"/>
  <c r="H207" i="31"/>
  <c r="Y55" i="65"/>
  <c r="Y102" i="22"/>
  <c r="Y103" i="22" s="1"/>
  <c r="Q47" i="65"/>
  <c r="Q112" i="22"/>
  <c r="Q114" i="22" s="1"/>
  <c r="J86" i="22"/>
  <c r="J45" i="65"/>
  <c r="P56" i="65"/>
  <c r="P113" i="22"/>
  <c r="J58" i="65"/>
  <c r="J135" i="22"/>
  <c r="S49" i="65"/>
  <c r="S134" i="22"/>
  <c r="W56" i="65"/>
  <c r="W113" i="22"/>
  <c r="W114" i="22" s="1"/>
  <c r="AB45" i="65"/>
  <c r="AB86" i="22"/>
  <c r="AB88" i="22" s="1"/>
  <c r="AK71" i="53"/>
  <c r="AK72" i="53"/>
  <c r="AK70" i="53"/>
  <c r="AK88" i="53" s="1"/>
  <c r="AK90" i="53" s="1"/>
  <c r="AK120" i="53" s="1"/>
  <c r="AK122" i="53" s="1"/>
  <c r="AK304" i="53" s="1"/>
  <c r="AK520" i="53" s="1"/>
  <c r="T55" i="65"/>
  <c r="T102" i="22"/>
  <c r="N44" i="65"/>
  <c r="N75" i="22"/>
  <c r="N77" i="22" s="1"/>
  <c r="T47" i="65"/>
  <c r="T112" i="22"/>
  <c r="Y287" i="53"/>
  <c r="Y276" i="53"/>
  <c r="Y265" i="53"/>
  <c r="R57" i="65"/>
  <c r="R124" i="22"/>
  <c r="R125" i="22" s="1"/>
  <c r="U49" i="65"/>
  <c r="U134" i="22"/>
  <c r="U136" i="22" s="1"/>
  <c r="U35" i="41" s="1"/>
  <c r="X46" i="65"/>
  <c r="X101" i="22"/>
  <c r="X103" i="22" s="1"/>
  <c r="AH308" i="53"/>
  <c r="AH524" i="53" s="1"/>
  <c r="H213" i="31"/>
  <c r="AH317" i="53"/>
  <c r="AH533" i="53" s="1"/>
  <c r="AH305" i="53"/>
  <c r="AH521" i="53" s="1"/>
  <c r="AH311" i="53"/>
  <c r="AH527" i="53" s="1"/>
  <c r="AH322" i="53"/>
  <c r="AH538" i="53" s="1"/>
  <c r="AH309" i="53"/>
  <c r="AH525" i="53" s="1"/>
  <c r="AH307" i="53"/>
  <c r="AH523" i="53" s="1"/>
  <c r="Q239" i="31"/>
  <c r="S40" i="80" s="1"/>
  <c r="K239" i="31"/>
  <c r="S34" i="80" s="1"/>
  <c r="P239" i="31"/>
  <c r="S39" i="80" s="1"/>
  <c r="J124" i="22"/>
  <c r="J57" i="65"/>
  <c r="S46" i="65"/>
  <c r="S101" i="22"/>
  <c r="AB48" i="65"/>
  <c r="AB123" i="22"/>
  <c r="AB125" i="22" s="1"/>
  <c r="AD59" i="80"/>
  <c r="R56" i="65"/>
  <c r="R113" i="22"/>
  <c r="R114" i="22" s="1"/>
  <c r="AH316" i="53"/>
  <c r="AH532" i="53" s="1"/>
  <c r="AH306" i="53"/>
  <c r="AH522" i="53" s="1"/>
  <c r="S52" i="65"/>
  <c r="S65" i="22"/>
  <c r="P48" i="65"/>
  <c r="P123" i="22"/>
  <c r="W57" i="65"/>
  <c r="W124" i="22"/>
  <c r="N48" i="65"/>
  <c r="N123" i="22"/>
  <c r="N125" i="22" s="1"/>
  <c r="H25" i="83"/>
  <c r="U43" i="65"/>
  <c r="U64" i="22"/>
  <c r="U66" i="22" s="1"/>
  <c r="X48" i="65"/>
  <c r="X123" i="22"/>
  <c r="X125" i="22" s="1"/>
  <c r="Y284" i="53"/>
  <c r="Y273" i="53"/>
  <c r="Y262" i="53"/>
  <c r="Y52" i="65"/>
  <c r="Y65" i="22"/>
  <c r="Y66" i="22" s="1"/>
  <c r="Q44" i="65"/>
  <c r="Q75" i="22"/>
  <c r="J49" i="65"/>
  <c r="J134" i="22"/>
  <c r="P52" i="65"/>
  <c r="P65" i="22"/>
  <c r="J76" i="22"/>
  <c r="J53" i="65"/>
  <c r="L48" i="65"/>
  <c r="L123" i="22"/>
  <c r="S48" i="65"/>
  <c r="S123" i="22"/>
  <c r="W58" i="65"/>
  <c r="W135" i="22"/>
  <c r="W136" i="22" s="1"/>
  <c r="W35" i="41" s="1"/>
  <c r="H219" i="31"/>
  <c r="H208" i="31"/>
  <c r="AH298" i="53"/>
  <c r="AH514" i="53" s="1"/>
  <c r="S58" i="65"/>
  <c r="S135" i="22"/>
  <c r="P45" i="65"/>
  <c r="P86" i="22"/>
  <c r="AM70" i="53"/>
  <c r="AM88" i="53" s="1"/>
  <c r="AM90" i="53" s="1"/>
  <c r="AM120" i="53" s="1"/>
  <c r="AM122" i="53" s="1"/>
  <c r="AM309" i="53" s="1"/>
  <c r="AM525" i="53" s="1"/>
  <c r="AM71" i="53"/>
  <c r="AM72" i="53"/>
  <c r="P54" i="65"/>
  <c r="P87" i="22"/>
  <c r="L46" i="65"/>
  <c r="L101" i="22"/>
  <c r="AH321" i="53"/>
  <c r="AH537" i="53" s="1"/>
  <c r="H206" i="31"/>
  <c r="M58" i="80"/>
  <c r="M38" i="53"/>
  <c r="M31" i="41"/>
  <c r="M78" i="41" s="1"/>
  <c r="CA97" i="41" s="1"/>
  <c r="W52" i="65"/>
  <c r="W65" i="22"/>
  <c r="W66" i="22" s="1"/>
  <c r="AB49" i="65"/>
  <c r="AB134" i="22"/>
  <c r="AB136" i="22" s="1"/>
  <c r="AB35" i="41" s="1"/>
  <c r="T57" i="65"/>
  <c r="T124" i="22"/>
  <c r="N45" i="65"/>
  <c r="N86" i="22"/>
  <c r="N88" i="22" s="1"/>
  <c r="T46" i="65"/>
  <c r="T101" i="22"/>
  <c r="X265" i="53"/>
  <c r="X276" i="53"/>
  <c r="X287" i="53"/>
  <c r="AH294" i="53"/>
  <c r="AH510" i="53" s="1"/>
  <c r="O53" i="65"/>
  <c r="O76" i="22"/>
  <c r="Q55" i="65"/>
  <c r="Q102" i="22"/>
  <c r="V44" i="65"/>
  <c r="V75" i="22"/>
  <c r="V77" i="22" s="1"/>
  <c r="AA46" i="65"/>
  <c r="AA101" i="22"/>
  <c r="AA103" i="22" s="1"/>
  <c r="AB284" i="53"/>
  <c r="AB273" i="53"/>
  <c r="AB262" i="53"/>
  <c r="AE59" i="80"/>
  <c r="P44" i="65"/>
  <c r="P75" i="22"/>
  <c r="Y54" i="65"/>
  <c r="Y87" i="22"/>
  <c r="Y88" i="22" s="1"/>
  <c r="Q43" i="65"/>
  <c r="Q64" i="22"/>
  <c r="Q66" i="22" s="1"/>
  <c r="AH318" i="53"/>
  <c r="AH534" i="53" s="1"/>
  <c r="P57" i="65"/>
  <c r="P124" i="22"/>
  <c r="J102" i="22"/>
  <c r="J55" i="65"/>
  <c r="L45" i="65"/>
  <c r="L86" i="22"/>
  <c r="S47" i="65"/>
  <c r="S112" i="22"/>
  <c r="H195" i="31"/>
  <c r="H220" i="31"/>
  <c r="W53" i="65"/>
  <c r="W76" i="22"/>
  <c r="W77" i="22" s="1"/>
  <c r="AI71" i="53"/>
  <c r="AI72" i="53"/>
  <c r="AI70" i="53"/>
  <c r="AI88" i="53" s="1"/>
  <c r="AI90" i="53" s="1"/>
  <c r="AI120" i="53" s="1"/>
  <c r="AI122" i="53" s="1"/>
  <c r="AI294" i="53" s="1"/>
  <c r="AI510" i="53" s="1"/>
  <c r="T58" i="65"/>
  <c r="T135" i="22"/>
  <c r="M30" i="41"/>
  <c r="M77" i="41" s="1"/>
  <c r="AT97" i="41" s="1"/>
  <c r="M37" i="53"/>
  <c r="M241" i="83"/>
  <c r="M57" i="80"/>
  <c r="N49" i="65"/>
  <c r="N134" i="22"/>
  <c r="N136" i="22" s="1"/>
  <c r="N35" i="41" s="1"/>
  <c r="AB265" i="53"/>
  <c r="AB287" i="53"/>
  <c r="AB276" i="53"/>
  <c r="H218" i="31"/>
  <c r="R52" i="65"/>
  <c r="R65" i="22"/>
  <c r="R66" i="22" s="1"/>
  <c r="L57" i="65"/>
  <c r="L124" i="22"/>
  <c r="U46" i="65"/>
  <c r="U101" i="22"/>
  <c r="U103" i="22" s="1"/>
  <c r="X43" i="65"/>
  <c r="X64" i="22"/>
  <c r="X66" i="22" s="1"/>
  <c r="AH297" i="53"/>
  <c r="AH513" i="53" s="1"/>
  <c r="K136" i="22" l="1"/>
  <c r="K35" i="41" s="1"/>
  <c r="AH27" i="111"/>
  <c r="AH33" i="111" s="1"/>
  <c r="AH28" i="111"/>
  <c r="AH34" i="111" s="1"/>
  <c r="M29" i="41"/>
  <c r="M76" i="41" s="1"/>
  <c r="M97" i="41" s="1"/>
  <c r="M36" i="53"/>
  <c r="M56" i="80"/>
  <c r="M240" i="83"/>
  <c r="M267" i="83" s="1"/>
  <c r="AP72" i="53"/>
  <c r="AP71" i="53"/>
  <c r="AP70" i="53"/>
  <c r="AP88" i="53" s="1"/>
  <c r="AP90" i="53" s="1"/>
  <c r="AP120" i="53" s="1"/>
  <c r="AP122" i="53" s="1"/>
  <c r="L114" i="22"/>
  <c r="K31" i="41"/>
  <c r="K78" i="41" s="1"/>
  <c r="BY97" i="41" s="1"/>
  <c r="K38" i="53"/>
  <c r="AC72" i="53"/>
  <c r="AF56" i="53"/>
  <c r="AF74" i="53" s="1"/>
  <c r="AF55" i="53"/>
  <c r="AF73" i="53" s="1"/>
  <c r="AF57" i="53"/>
  <c r="AF75" i="53" s="1"/>
  <c r="AG70" i="53"/>
  <c r="AG88" i="53" s="1"/>
  <c r="AG90" i="53" s="1"/>
  <c r="AG120" i="53" s="1"/>
  <c r="AG122" i="53" s="1"/>
  <c r="AG296" i="53" s="1"/>
  <c r="AG512" i="53" s="1"/>
  <c r="J136" i="22"/>
  <c r="J35" i="41" s="1"/>
  <c r="AJ74" i="53"/>
  <c r="W125" i="22"/>
  <c r="W34" i="41" s="1"/>
  <c r="AN73" i="53"/>
  <c r="Z77" i="22"/>
  <c r="Z37" i="53" s="1"/>
  <c r="AP74" i="53"/>
  <c r="Z125" i="22"/>
  <c r="M242" i="83"/>
  <c r="M269" i="83" s="1"/>
  <c r="O77" i="22"/>
  <c r="O37" i="53" s="1"/>
  <c r="AD73" i="53"/>
  <c r="K234" i="31"/>
  <c r="N34" i="80" s="1"/>
  <c r="O234" i="31"/>
  <c r="N38" i="80" s="1"/>
  <c r="Q234" i="31"/>
  <c r="N40" i="80" s="1"/>
  <c r="R234" i="31"/>
  <c r="N41" i="80" s="1"/>
  <c r="P234" i="31"/>
  <c r="N39" i="80" s="1"/>
  <c r="S234" i="31"/>
  <c r="N42" i="80" s="1"/>
  <c r="M234" i="31"/>
  <c r="N36" i="80" s="1"/>
  <c r="O239" i="31"/>
  <c r="S38" i="80" s="1"/>
  <c r="M239" i="31"/>
  <c r="S36" i="80" s="1"/>
  <c r="S239" i="31"/>
  <c r="S42" i="80" s="1"/>
  <c r="J239" i="31"/>
  <c r="R239" i="31"/>
  <c r="S41" i="80" s="1"/>
  <c r="H196" i="31"/>
  <c r="L232" i="31" s="1"/>
  <c r="L35" i="80" s="1"/>
  <c r="N239" i="31"/>
  <c r="S37" i="80" s="1"/>
  <c r="K30" i="41"/>
  <c r="K77" i="41" s="1"/>
  <c r="AR97" i="41" s="1"/>
  <c r="K37" i="53"/>
  <c r="K241" i="83"/>
  <c r="K268" i="83" s="1"/>
  <c r="K270" i="83" s="1"/>
  <c r="K92" i="22"/>
  <c r="K17" i="111" s="1"/>
  <c r="K57" i="80"/>
  <c r="K59" i="80" s="1"/>
  <c r="K200" i="80" s="1"/>
  <c r="K20" i="74" s="1"/>
  <c r="AG73" i="53"/>
  <c r="Z31" i="41"/>
  <c r="Z78" i="41" s="1"/>
  <c r="CN97" i="41" s="1"/>
  <c r="Z58" i="80"/>
  <c r="Z38" i="53"/>
  <c r="Z34" i="41"/>
  <c r="Z189" i="80"/>
  <c r="K34" i="41"/>
  <c r="K189" i="80"/>
  <c r="Z16" i="111"/>
  <c r="Z18" i="74"/>
  <c r="Z32" i="41"/>
  <c r="T114" i="22"/>
  <c r="T33" i="41" s="1"/>
  <c r="K32" i="41"/>
  <c r="Z29" i="41"/>
  <c r="Z76" i="41" s="1"/>
  <c r="Z97" i="41" s="1"/>
  <c r="Z36" i="53"/>
  <c r="Z56" i="80"/>
  <c r="S125" i="22"/>
  <c r="Z57" i="80"/>
  <c r="Z33" i="41"/>
  <c r="Z188" i="80"/>
  <c r="H199" i="31"/>
  <c r="L234" i="31"/>
  <c r="N35" i="80" s="1"/>
  <c r="Q235" i="31"/>
  <c r="O40" i="80" s="1"/>
  <c r="J235" i="31"/>
  <c r="K235" i="31"/>
  <c r="O34" i="80" s="1"/>
  <c r="M235" i="31"/>
  <c r="O36" i="80" s="1"/>
  <c r="R235" i="31"/>
  <c r="O41" i="80" s="1"/>
  <c r="S235" i="31"/>
  <c r="O42" i="80" s="1"/>
  <c r="P235" i="31"/>
  <c r="O39" i="80" s="1"/>
  <c r="L235" i="31"/>
  <c r="O35" i="80" s="1"/>
  <c r="O235" i="31"/>
  <c r="O38" i="80" s="1"/>
  <c r="N235" i="31"/>
  <c r="O37" i="80" s="1"/>
  <c r="P77" i="22"/>
  <c r="P57" i="80" s="1"/>
  <c r="AE74" i="53"/>
  <c r="H57" i="72"/>
  <c r="N234" i="31"/>
  <c r="N37" i="80" s="1"/>
  <c r="J234" i="31"/>
  <c r="AF71" i="53"/>
  <c r="AF70" i="53"/>
  <c r="AF88" i="53" s="1"/>
  <c r="AF90" i="53" s="1"/>
  <c r="AF120" i="53" s="1"/>
  <c r="AF122" i="53" s="1"/>
  <c r="AF72" i="53"/>
  <c r="Q88" i="22"/>
  <c r="Q31" i="41" s="1"/>
  <c r="H54" i="72"/>
  <c r="Q136" i="22"/>
  <c r="Q35" i="41" s="1"/>
  <c r="AG74" i="53"/>
  <c r="AG72" i="53"/>
  <c r="AC293" i="53"/>
  <c r="AC509" i="53" s="1"/>
  <c r="AC320" i="53"/>
  <c r="AC536" i="53" s="1"/>
  <c r="AC111" i="83" s="1"/>
  <c r="AC298" i="53"/>
  <c r="AC514" i="53" s="1"/>
  <c r="AC297" i="53"/>
  <c r="AC513" i="53" s="1"/>
  <c r="K39" i="53"/>
  <c r="AG321" i="53"/>
  <c r="AG537" i="53" s="1"/>
  <c r="AG112" i="83" s="1"/>
  <c r="AC304" i="53"/>
  <c r="AC520" i="53" s="1"/>
  <c r="AC93" i="80" s="1"/>
  <c r="H58" i="72"/>
  <c r="H56" i="72"/>
  <c r="H55" i="72"/>
  <c r="AC296" i="53"/>
  <c r="AC512" i="53" s="1"/>
  <c r="AC85" i="83" s="1"/>
  <c r="H51" i="72"/>
  <c r="AC323" i="53"/>
  <c r="AC539" i="53" s="1"/>
  <c r="AC321" i="53"/>
  <c r="AC537" i="53" s="1"/>
  <c r="AC112" i="83" s="1"/>
  <c r="AC309" i="53"/>
  <c r="AC525" i="53" s="1"/>
  <c r="AC312" i="53"/>
  <c r="AC528" i="53" s="1"/>
  <c r="AC102" i="83" s="1"/>
  <c r="AC300" i="53"/>
  <c r="AC516" i="53" s="1"/>
  <c r="AC315" i="53"/>
  <c r="AC531" i="53" s="1"/>
  <c r="AC310" i="53"/>
  <c r="AC526" i="53" s="1"/>
  <c r="AC295" i="53"/>
  <c r="AC511" i="53" s="1"/>
  <c r="H27" i="83"/>
  <c r="H21" i="83"/>
  <c r="H20" i="83"/>
  <c r="AC301" i="53"/>
  <c r="AC517" i="53" s="1"/>
  <c r="H22" i="83"/>
  <c r="AC311" i="53"/>
  <c r="AC527" i="53" s="1"/>
  <c r="H23" i="83"/>
  <c r="AC299" i="53"/>
  <c r="AC515" i="53" s="1"/>
  <c r="H26" i="83"/>
  <c r="AC113" i="83"/>
  <c r="AC123" i="80"/>
  <c r="M59" i="80"/>
  <c r="M200" i="80" s="1"/>
  <c r="M204" i="80" s="1"/>
  <c r="K33" i="41"/>
  <c r="K188" i="80"/>
  <c r="K46" i="53"/>
  <c r="K47" i="53"/>
  <c r="K48" i="53"/>
  <c r="AJ70" i="53"/>
  <c r="AJ88" i="53" s="1"/>
  <c r="AJ90" i="53" s="1"/>
  <c r="AJ120" i="53" s="1"/>
  <c r="AJ122" i="53" s="1"/>
  <c r="AJ72" i="53"/>
  <c r="AJ71" i="53"/>
  <c r="K243" i="83"/>
  <c r="M33" i="41"/>
  <c r="M188" i="80"/>
  <c r="M46" i="53"/>
  <c r="M47" i="53"/>
  <c r="M48" i="53"/>
  <c r="S103" i="22"/>
  <c r="S16" i="111" s="1"/>
  <c r="AL72" i="53"/>
  <c r="AL70" i="53"/>
  <c r="AL88" i="53" s="1"/>
  <c r="AL90" i="53" s="1"/>
  <c r="AL120" i="53" s="1"/>
  <c r="AL122" i="53" s="1"/>
  <c r="AL71" i="53"/>
  <c r="P136" i="22"/>
  <c r="P35" i="41" s="1"/>
  <c r="L125" i="22"/>
  <c r="AC306" i="53"/>
  <c r="AC522" i="53" s="1"/>
  <c r="P88" i="22"/>
  <c r="P31" i="41" s="1"/>
  <c r="P125" i="22"/>
  <c r="P189" i="80" s="1"/>
  <c r="J88" i="22"/>
  <c r="J58" i="80" s="1"/>
  <c r="P114" i="22"/>
  <c r="AN72" i="53"/>
  <c r="AN70" i="53"/>
  <c r="AN88" i="53" s="1"/>
  <c r="AN90" i="53" s="1"/>
  <c r="AN120" i="53" s="1"/>
  <c r="AN122" i="53" s="1"/>
  <c r="AN71" i="53"/>
  <c r="AC121" i="80"/>
  <c r="AO72" i="53"/>
  <c r="AO71" i="53"/>
  <c r="AO70" i="53"/>
  <c r="AO88" i="53" s="1"/>
  <c r="AO90" i="53" s="1"/>
  <c r="AO120" i="53" s="1"/>
  <c r="AO122" i="53" s="1"/>
  <c r="AC319" i="53"/>
  <c r="AC535" i="53" s="1"/>
  <c r="AC307" i="53"/>
  <c r="AC523" i="53" s="1"/>
  <c r="AC318" i="53"/>
  <c r="AC534" i="53" s="1"/>
  <c r="AC305" i="53"/>
  <c r="AC521" i="53" s="1"/>
  <c r="AC308" i="53"/>
  <c r="AC524" i="53" s="1"/>
  <c r="AC317" i="53"/>
  <c r="AC533" i="53" s="1"/>
  <c r="AC316" i="53"/>
  <c r="AC532" i="53" s="1"/>
  <c r="T77" i="22"/>
  <c r="T57" i="80" s="1"/>
  <c r="AC294" i="53"/>
  <c r="AC510" i="53" s="1"/>
  <c r="AM299" i="53"/>
  <c r="AM515" i="53" s="1"/>
  <c r="AM76" i="80" s="1"/>
  <c r="H52" i="72"/>
  <c r="J40" i="55"/>
  <c r="R20" i="31"/>
  <c r="Q21" i="31"/>
  <c r="Q23" i="31" s="1"/>
  <c r="AM322" i="53"/>
  <c r="AM538" i="53" s="1"/>
  <c r="AM113" i="83" s="1"/>
  <c r="AK322" i="53"/>
  <c r="AK538" i="53" s="1"/>
  <c r="AK123" i="80" s="1"/>
  <c r="AK310" i="53"/>
  <c r="AK526" i="53" s="1"/>
  <c r="AK99" i="80" s="1"/>
  <c r="AM311" i="53"/>
  <c r="AM527" i="53" s="1"/>
  <c r="AM101" i="83" s="1"/>
  <c r="AI297" i="53"/>
  <c r="AI513" i="53" s="1"/>
  <c r="AI86" i="83" s="1"/>
  <c r="AM319" i="53"/>
  <c r="AM535" i="53" s="1"/>
  <c r="AM120" i="80" s="1"/>
  <c r="AM312" i="53"/>
  <c r="AM528" i="53" s="1"/>
  <c r="AM101" i="80" s="1"/>
  <c r="AG310" i="53"/>
  <c r="AG526" i="53" s="1"/>
  <c r="AG100" i="83" s="1"/>
  <c r="AI293" i="53"/>
  <c r="AI509" i="53" s="1"/>
  <c r="AI81" i="83" s="1"/>
  <c r="AM297" i="53"/>
  <c r="AM513" i="53" s="1"/>
  <c r="AM86" i="83" s="1"/>
  <c r="AM300" i="53"/>
  <c r="AM516" i="53" s="1"/>
  <c r="AM89" i="83" s="1"/>
  <c r="AK315" i="53"/>
  <c r="AK531" i="53" s="1"/>
  <c r="AK106" i="83" s="1"/>
  <c r="AM294" i="53"/>
  <c r="AM510" i="53" s="1"/>
  <c r="AM71" i="80" s="1"/>
  <c r="AI296" i="53"/>
  <c r="AI512" i="53" s="1"/>
  <c r="AI85" i="83" s="1"/>
  <c r="AM318" i="53"/>
  <c r="AM534" i="53" s="1"/>
  <c r="AK308" i="53"/>
  <c r="AK524" i="53" s="1"/>
  <c r="AK98" i="83" s="1"/>
  <c r="AK298" i="53"/>
  <c r="AK514" i="53" s="1"/>
  <c r="AK87" i="83" s="1"/>
  <c r="AK300" i="53"/>
  <c r="AK516" i="53" s="1"/>
  <c r="AK77" i="80" s="1"/>
  <c r="AK318" i="53"/>
  <c r="AK534" i="53" s="1"/>
  <c r="AK119" i="80" s="1"/>
  <c r="AI295" i="53"/>
  <c r="AI511" i="53" s="1"/>
  <c r="AI72" i="80" s="1"/>
  <c r="AM298" i="53"/>
  <c r="AM514" i="53" s="1"/>
  <c r="AM75" i="80" s="1"/>
  <c r="AG308" i="53"/>
  <c r="AG524" i="53" s="1"/>
  <c r="AG98" i="83" s="1"/>
  <c r="AK297" i="53"/>
  <c r="AK513" i="53" s="1"/>
  <c r="AK74" i="80" s="1"/>
  <c r="AG306" i="53"/>
  <c r="AG522" i="53" s="1"/>
  <c r="AG95" i="80" s="1"/>
  <c r="AI321" i="53"/>
  <c r="AI537" i="53" s="1"/>
  <c r="AI122" i="80" s="1"/>
  <c r="AG299" i="53"/>
  <c r="AG515" i="53" s="1"/>
  <c r="AG76" i="80" s="1"/>
  <c r="AG293" i="53"/>
  <c r="AG509" i="53" s="1"/>
  <c r="AG81" i="83" s="1"/>
  <c r="AK319" i="53"/>
  <c r="AK535" i="53" s="1"/>
  <c r="AK120" i="80" s="1"/>
  <c r="AG297" i="53"/>
  <c r="AG513" i="53" s="1"/>
  <c r="AG86" i="83" s="1"/>
  <c r="AK312" i="53"/>
  <c r="AK528" i="53" s="1"/>
  <c r="AK102" i="83" s="1"/>
  <c r="AK311" i="53"/>
  <c r="AK527" i="53" s="1"/>
  <c r="AK100" i="80" s="1"/>
  <c r="AK301" i="53"/>
  <c r="AK517" i="53" s="1"/>
  <c r="AK90" i="83" s="1"/>
  <c r="AK293" i="53"/>
  <c r="AK509" i="53" s="1"/>
  <c r="AK82" i="83" s="1"/>
  <c r="AI300" i="53"/>
  <c r="AI516" i="53" s="1"/>
  <c r="AI77" i="80" s="1"/>
  <c r="AG319" i="53"/>
  <c r="AG535" i="53" s="1"/>
  <c r="AG120" i="80" s="1"/>
  <c r="AG295" i="53"/>
  <c r="AG511" i="53" s="1"/>
  <c r="AG84" i="83" s="1"/>
  <c r="AK307" i="53"/>
  <c r="AK523" i="53" s="1"/>
  <c r="AK96" i="80" s="1"/>
  <c r="AG300" i="53"/>
  <c r="AG516" i="53" s="1"/>
  <c r="AG89" i="83" s="1"/>
  <c r="AG322" i="53"/>
  <c r="AG538" i="53" s="1"/>
  <c r="AG113" i="83" s="1"/>
  <c r="AG318" i="53"/>
  <c r="AG534" i="53" s="1"/>
  <c r="AG119" i="80" s="1"/>
  <c r="AK93" i="80"/>
  <c r="AK93" i="83"/>
  <c r="AK94" i="83"/>
  <c r="R16" i="111"/>
  <c r="R18" i="74"/>
  <c r="R129" i="74" s="1"/>
  <c r="R32" i="41"/>
  <c r="Y56" i="80"/>
  <c r="Y29" i="41"/>
  <c r="Y36" i="53"/>
  <c r="R29" i="41"/>
  <c r="R36" i="53"/>
  <c r="R56" i="80"/>
  <c r="O290" i="31"/>
  <c r="R290" i="31"/>
  <c r="N290" i="31"/>
  <c r="S290" i="31"/>
  <c r="Q254" i="31"/>
  <c r="AH40" i="80" s="1"/>
  <c r="L290" i="31"/>
  <c r="K254" i="31"/>
  <c r="AH34" i="80" s="1"/>
  <c r="K290" i="31"/>
  <c r="M254" i="31"/>
  <c r="AH36" i="80" s="1"/>
  <c r="P290" i="31"/>
  <c r="R254" i="31"/>
  <c r="AH41" i="80" s="1"/>
  <c r="J290" i="31"/>
  <c r="S254" i="31"/>
  <c r="AH42" i="80" s="1"/>
  <c r="P254" i="31"/>
  <c r="AH39" i="80" s="1"/>
  <c r="M290" i="31"/>
  <c r="O254" i="31"/>
  <c r="AH38" i="80" s="1"/>
  <c r="J254" i="31"/>
  <c r="N254" i="31"/>
  <c r="AH37" i="80" s="1"/>
  <c r="Q290" i="31"/>
  <c r="L254" i="31"/>
  <c r="AH35" i="80" s="1"/>
  <c r="R292" i="31"/>
  <c r="K292" i="31"/>
  <c r="L292" i="31"/>
  <c r="L256" i="31"/>
  <c r="AJ35" i="80" s="1"/>
  <c r="P292" i="31"/>
  <c r="O256" i="31"/>
  <c r="AJ38" i="80" s="1"/>
  <c r="J256" i="31"/>
  <c r="Q292" i="31"/>
  <c r="Q256" i="31"/>
  <c r="AJ40" i="80" s="1"/>
  <c r="M292" i="31"/>
  <c r="K256" i="31"/>
  <c r="AJ34" i="80" s="1"/>
  <c r="O292" i="31"/>
  <c r="M256" i="31"/>
  <c r="AJ36" i="80" s="1"/>
  <c r="N292" i="31"/>
  <c r="N256" i="31"/>
  <c r="AJ37" i="80" s="1"/>
  <c r="J292" i="31"/>
  <c r="S292" i="31"/>
  <c r="S256" i="31"/>
  <c r="AJ42" i="80" s="1"/>
  <c r="R256" i="31"/>
  <c r="AJ41" i="80" s="1"/>
  <c r="P256" i="31"/>
  <c r="AJ39" i="80" s="1"/>
  <c r="AA16" i="111"/>
  <c r="AA32" i="41"/>
  <c r="AA18" i="74"/>
  <c r="W36" i="53"/>
  <c r="W56" i="80"/>
  <c r="W29" i="41"/>
  <c r="AH122" i="80"/>
  <c r="AH112" i="83"/>
  <c r="P38" i="53"/>
  <c r="P58" i="80"/>
  <c r="AH96" i="83"/>
  <c r="AH95" i="80"/>
  <c r="AH99" i="83"/>
  <c r="AH98" i="80"/>
  <c r="R189" i="80"/>
  <c r="R34" i="41"/>
  <c r="AB31" i="41"/>
  <c r="AB78" i="41" s="1"/>
  <c r="CP97" i="41" s="1"/>
  <c r="AB58" i="80"/>
  <c r="AB92" i="22"/>
  <c r="AB17" i="111" s="1"/>
  <c r="AB29" i="111" s="1"/>
  <c r="AB38" i="53"/>
  <c r="J242" i="83"/>
  <c r="J269" i="83" s="1"/>
  <c r="Q241" i="31"/>
  <c r="U40" i="80" s="1"/>
  <c r="K241" i="31"/>
  <c r="U34" i="80" s="1"/>
  <c r="M241" i="31"/>
  <c r="U36" i="80" s="1"/>
  <c r="R241" i="31"/>
  <c r="U41" i="80" s="1"/>
  <c r="P241" i="31"/>
  <c r="U39" i="80" s="1"/>
  <c r="L241" i="31"/>
  <c r="U35" i="80" s="1"/>
  <c r="J241" i="31"/>
  <c r="O241" i="31"/>
  <c r="U38" i="80" s="1"/>
  <c r="S241" i="31"/>
  <c r="U42" i="80" s="1"/>
  <c r="N241" i="31"/>
  <c r="U37" i="80" s="1"/>
  <c r="J230" i="31"/>
  <c r="O230" i="31"/>
  <c r="J38" i="80" s="1"/>
  <c r="Q230" i="31"/>
  <c r="J40" i="80" s="1"/>
  <c r="K230" i="31"/>
  <c r="J34" i="80" s="1" a="1"/>
  <c r="J34" i="80" s="1"/>
  <c r="M230" i="31"/>
  <c r="J36" i="80" s="1"/>
  <c r="S230" i="31"/>
  <c r="J42" i="80" s="1"/>
  <c r="R230" i="31"/>
  <c r="J41" i="80" s="1"/>
  <c r="N230" i="31"/>
  <c r="J37" i="80" s="1"/>
  <c r="P230" i="31"/>
  <c r="J39" i="80" s="1"/>
  <c r="L230" i="31"/>
  <c r="J35" i="80" s="1"/>
  <c r="Y33" i="41"/>
  <c r="Y188" i="80"/>
  <c r="AH93" i="83"/>
  <c r="AH93" i="80"/>
  <c r="AH94" i="83"/>
  <c r="O29" i="41"/>
  <c r="O76" i="41" s="1"/>
  <c r="O97" i="41" s="1"/>
  <c r="O56" i="80"/>
  <c r="O240" i="83"/>
  <c r="O36" i="53"/>
  <c r="R30" i="41"/>
  <c r="R37" i="53"/>
  <c r="R57" i="80"/>
  <c r="AH86" i="83"/>
  <c r="AH74" i="80"/>
  <c r="L88" i="22"/>
  <c r="X34" i="41"/>
  <c r="X189" i="80"/>
  <c r="AH81" i="83"/>
  <c r="AH82" i="83"/>
  <c r="AH70" i="80"/>
  <c r="X33" i="41"/>
  <c r="X188" i="80"/>
  <c r="M289" i="31"/>
  <c r="Q289" i="31"/>
  <c r="N289" i="31"/>
  <c r="Q253" i="31"/>
  <c r="AG40" i="80" s="1"/>
  <c r="J253" i="31"/>
  <c r="J289" i="31"/>
  <c r="M253" i="31"/>
  <c r="AG36" i="80" s="1"/>
  <c r="R253" i="31"/>
  <c r="AG41" i="80" s="1"/>
  <c r="S289" i="31"/>
  <c r="P253" i="31"/>
  <c r="AG39" i="80" s="1"/>
  <c r="O289" i="31"/>
  <c r="L253" i="31"/>
  <c r="AG35" i="80" s="1"/>
  <c r="K289" i="31"/>
  <c r="S253" i="31"/>
  <c r="AG42" i="80" s="1"/>
  <c r="P289" i="31"/>
  <c r="N253" i="31"/>
  <c r="AG37" i="80" s="1"/>
  <c r="O253" i="31"/>
  <c r="AG38" i="80" s="1"/>
  <c r="K253" i="31"/>
  <c r="AG34" i="80" s="1"/>
  <c r="R289" i="31"/>
  <c r="L289" i="31"/>
  <c r="AM98" i="80"/>
  <c r="AM99" i="83"/>
  <c r="O18" i="74"/>
  <c r="O16" i="111"/>
  <c r="O32" i="41"/>
  <c r="J103" i="22"/>
  <c r="AA38" i="53"/>
  <c r="AA92" i="22"/>
  <c r="AA17" i="111" s="1"/>
  <c r="AA29" i="111" s="1"/>
  <c r="AA31" i="41"/>
  <c r="AA78" i="41" s="1"/>
  <c r="CO97" i="41" s="1"/>
  <c r="AA58" i="80"/>
  <c r="V33" i="41"/>
  <c r="V188" i="80"/>
  <c r="L233" i="31"/>
  <c r="M35" i="80" s="1"/>
  <c r="R233" i="31"/>
  <c r="M41" i="80" s="1"/>
  <c r="Q233" i="31"/>
  <c r="M40" i="80" s="1"/>
  <c r="S233" i="31"/>
  <c r="M42" i="80" s="1"/>
  <c r="J233" i="31"/>
  <c r="N233" i="31"/>
  <c r="M37" i="80" s="1"/>
  <c r="M233" i="31"/>
  <c r="M36" i="80" s="1"/>
  <c r="O233" i="31"/>
  <c r="M38" i="80" s="1"/>
  <c r="P233" i="31"/>
  <c r="M39" i="80" s="1"/>
  <c r="K233" i="31"/>
  <c r="M34" i="80" s="1"/>
  <c r="R288" i="31"/>
  <c r="L288" i="31"/>
  <c r="M288" i="31"/>
  <c r="N288" i="31"/>
  <c r="P288" i="31"/>
  <c r="P252" i="31"/>
  <c r="AF39" i="80" s="1"/>
  <c r="K288" i="31"/>
  <c r="O252" i="31"/>
  <c r="AF38" i="80" s="1"/>
  <c r="J252" i="31"/>
  <c r="O288" i="31"/>
  <c r="Q252" i="31"/>
  <c r="AF40" i="80" s="1"/>
  <c r="J288" i="31"/>
  <c r="K252" i="31"/>
  <c r="AF34" i="80" s="1"/>
  <c r="M252" i="31"/>
  <c r="AF36" i="80" s="1"/>
  <c r="S288" i="31"/>
  <c r="N252" i="31"/>
  <c r="AF37" i="80" s="1"/>
  <c r="R252" i="31"/>
  <c r="AF41" i="80" s="1"/>
  <c r="L252" i="31"/>
  <c r="AF35" i="80" s="1"/>
  <c r="Q288" i="31"/>
  <c r="S252" i="31"/>
  <c r="AF42" i="80" s="1"/>
  <c r="M268" i="83"/>
  <c r="AI304" i="53"/>
  <c r="AI520" i="53" s="1"/>
  <c r="AI317" i="53"/>
  <c r="AI533" i="53" s="1"/>
  <c r="AI307" i="53"/>
  <c r="AI523" i="53" s="1"/>
  <c r="AI309" i="53"/>
  <c r="AI525" i="53" s="1"/>
  <c r="AI319" i="53"/>
  <c r="AI535" i="53" s="1"/>
  <c r="AI318" i="53"/>
  <c r="AI534" i="53" s="1"/>
  <c r="AI316" i="53"/>
  <c r="AI532" i="53" s="1"/>
  <c r="AI315" i="53"/>
  <c r="AI531" i="53" s="1"/>
  <c r="AI320" i="53"/>
  <c r="AI536" i="53" s="1"/>
  <c r="AI305" i="53"/>
  <c r="AI521" i="53" s="1"/>
  <c r="AI306" i="53"/>
  <c r="AI522" i="53" s="1"/>
  <c r="AI311" i="53"/>
  <c r="AI527" i="53" s="1"/>
  <c r="AI308" i="53"/>
  <c r="AI524" i="53" s="1"/>
  <c r="AI323" i="53"/>
  <c r="AI539" i="53" s="1"/>
  <c r="AI312" i="53"/>
  <c r="AI528" i="53" s="1"/>
  <c r="W37" i="53"/>
  <c r="W30" i="41"/>
  <c r="W57" i="80"/>
  <c r="V37" i="53"/>
  <c r="V30" i="41"/>
  <c r="V57" i="80"/>
  <c r="T103" i="22"/>
  <c r="Q242" i="31"/>
  <c r="V40" i="80" s="1"/>
  <c r="S242" i="31"/>
  <c r="V42" i="80" s="1"/>
  <c r="M242" i="31"/>
  <c r="V36" i="80" s="1"/>
  <c r="O242" i="31"/>
  <c r="V38" i="80" s="1"/>
  <c r="L242" i="31"/>
  <c r="V35" i="80" s="1"/>
  <c r="K242" i="31"/>
  <c r="V34" i="80" s="1"/>
  <c r="P242" i="31"/>
  <c r="V39" i="80" s="1"/>
  <c r="J242" i="31"/>
  <c r="R242" i="31"/>
  <c r="V41" i="80" s="1"/>
  <c r="N242" i="31"/>
  <c r="V37" i="80" s="1"/>
  <c r="AM317" i="53"/>
  <c r="AM533" i="53" s="1"/>
  <c r="AM316" i="53"/>
  <c r="AM532" i="53" s="1"/>
  <c r="AM305" i="53"/>
  <c r="AM521" i="53" s="1"/>
  <c r="AM306" i="53"/>
  <c r="AM522" i="53" s="1"/>
  <c r="AM308" i="53"/>
  <c r="AM524" i="53" s="1"/>
  <c r="AM307" i="53"/>
  <c r="AM523" i="53" s="1"/>
  <c r="AM321" i="53"/>
  <c r="AM537" i="53" s="1"/>
  <c r="AM304" i="53"/>
  <c r="AM520" i="53" s="1"/>
  <c r="AM310" i="53"/>
  <c r="AM526" i="53" s="1"/>
  <c r="S291" i="31"/>
  <c r="J291" i="31"/>
  <c r="O291" i="31"/>
  <c r="P291" i="31"/>
  <c r="Q291" i="31"/>
  <c r="O255" i="31"/>
  <c r="AI38" i="80" s="1"/>
  <c r="L291" i="31"/>
  <c r="P255" i="31"/>
  <c r="AI39" i="80" s="1"/>
  <c r="K255" i="31"/>
  <c r="AI34" i="80" s="1"/>
  <c r="L255" i="31"/>
  <c r="AI35" i="80" s="1"/>
  <c r="K291" i="31"/>
  <c r="J255" i="31"/>
  <c r="M291" i="31"/>
  <c r="M255" i="31"/>
  <c r="AI36" i="80" s="1"/>
  <c r="R255" i="31"/>
  <c r="AI41" i="80" s="1"/>
  <c r="N291" i="31"/>
  <c r="S255" i="31"/>
  <c r="AI42" i="80" s="1"/>
  <c r="R291" i="31"/>
  <c r="N255" i="31"/>
  <c r="AI37" i="80" s="1"/>
  <c r="Q255" i="31"/>
  <c r="AI40" i="80" s="1"/>
  <c r="S34" i="41"/>
  <c r="S189" i="80"/>
  <c r="U29" i="41"/>
  <c r="U76" i="41" s="1"/>
  <c r="U97" i="41" s="1"/>
  <c r="U36" i="53"/>
  <c r="U56" i="80"/>
  <c r="N34" i="41"/>
  <c r="N189" i="80"/>
  <c r="AH95" i="83"/>
  <c r="AH94" i="80"/>
  <c r="AH98" i="83"/>
  <c r="AH97" i="80"/>
  <c r="AG305" i="53"/>
  <c r="AG521" i="53" s="1"/>
  <c r="AG294" i="53"/>
  <c r="AG510" i="53" s="1"/>
  <c r="AG316" i="53"/>
  <c r="AG532" i="53" s="1"/>
  <c r="AG309" i="53"/>
  <c r="AG525" i="53" s="1"/>
  <c r="AG298" i="53"/>
  <c r="AG514" i="53" s="1"/>
  <c r="AG320" i="53"/>
  <c r="AG536" i="53" s="1"/>
  <c r="AG323" i="53"/>
  <c r="AG539" i="53" s="1"/>
  <c r="AG304" i="53"/>
  <c r="AG520" i="53" s="1"/>
  <c r="Y32" i="41"/>
  <c r="Y16" i="111"/>
  <c r="Y18" i="74"/>
  <c r="AA34" i="41"/>
  <c r="AA189" i="80"/>
  <c r="V34" i="41"/>
  <c r="V189" i="80"/>
  <c r="AI322" i="53"/>
  <c r="AI538" i="53" s="1"/>
  <c r="AM301" i="53"/>
  <c r="AM517" i="53" s="1"/>
  <c r="AM293" i="53"/>
  <c r="AM509" i="53" s="1"/>
  <c r="AD204" i="80"/>
  <c r="AD202" i="80"/>
  <c r="AM295" i="53"/>
  <c r="AM511" i="53" s="1"/>
  <c r="T88" i="22"/>
  <c r="AI299" i="53"/>
  <c r="AI515" i="53" s="1"/>
  <c r="AG317" i="53"/>
  <c r="AG533" i="53" s="1"/>
  <c r="P103" i="22"/>
  <c r="AK299" i="53"/>
  <c r="AK515" i="53" s="1"/>
  <c r="M28" i="111"/>
  <c r="M34" i="111" s="1"/>
  <c r="M27" i="111"/>
  <c r="M33" i="111" s="1"/>
  <c r="AG311" i="53"/>
  <c r="AG527" i="53" s="1"/>
  <c r="AG301" i="53"/>
  <c r="AG517" i="53" s="1"/>
  <c r="AH101" i="80"/>
  <c r="AH102" i="83"/>
  <c r="Q125" i="22"/>
  <c r="T66" i="22"/>
  <c r="X29" i="41"/>
  <c r="X56" i="80"/>
  <c r="X36" i="53"/>
  <c r="M57" i="53"/>
  <c r="M39" i="53"/>
  <c r="M55" i="53"/>
  <c r="M56" i="53"/>
  <c r="AH117" i="80"/>
  <c r="AH107" i="83"/>
  <c r="AH108" i="83"/>
  <c r="AH118" i="80"/>
  <c r="AP114" i="72"/>
  <c r="U109" i="72"/>
  <c r="Z110" i="72"/>
  <c r="AM116" i="72"/>
  <c r="AD110" i="72"/>
  <c r="K110" i="72"/>
  <c r="U111" i="72"/>
  <c r="AK114" i="72"/>
  <c r="AB109" i="72"/>
  <c r="AM111" i="72"/>
  <c r="AL112" i="72"/>
  <c r="AK113" i="72"/>
  <c r="Q115" i="72"/>
  <c r="P116" i="72"/>
  <c r="W109" i="72"/>
  <c r="AJ111" i="72"/>
  <c r="AI112" i="72"/>
  <c r="AH113" i="72"/>
  <c r="N115" i="72"/>
  <c r="M116" i="72"/>
  <c r="AL110" i="72"/>
  <c r="W111" i="72"/>
  <c r="AB112" i="72"/>
  <c r="AA113" i="72"/>
  <c r="Z114" i="72"/>
  <c r="AM115" i="72"/>
  <c r="AF110" i="72"/>
  <c r="J111" i="72"/>
  <c r="U112" i="72"/>
  <c r="T113" i="72"/>
  <c r="S114" i="72"/>
  <c r="AF115" i="72"/>
  <c r="AH116" i="72"/>
  <c r="AE109" i="72"/>
  <c r="AM114" i="72"/>
  <c r="Y109" i="72"/>
  <c r="AM110" i="72"/>
  <c r="AG116" i="72"/>
  <c r="J109" i="72"/>
  <c r="O110" i="72"/>
  <c r="Y111" i="72"/>
  <c r="AL114" i="72"/>
  <c r="AP109" i="72"/>
  <c r="J112" i="72"/>
  <c r="AP112" i="72"/>
  <c r="AO113" i="72"/>
  <c r="U115" i="72"/>
  <c r="T116" i="72"/>
  <c r="AF109" i="72"/>
  <c r="AN111" i="72"/>
  <c r="AM112" i="72"/>
  <c r="AL113" i="72"/>
  <c r="R115" i="72"/>
  <c r="Q116" i="72"/>
  <c r="P109" i="72"/>
  <c r="AE111" i="72"/>
  <c r="AF112" i="72"/>
  <c r="AE113" i="72"/>
  <c r="K115" i="72"/>
  <c r="J116" i="72"/>
  <c r="AO110" i="72"/>
  <c r="R111" i="72"/>
  <c r="Y112" i="72"/>
  <c r="X113" i="72"/>
  <c r="W114" i="72"/>
  <c r="AJ115" i="72"/>
  <c r="AI109" i="72"/>
  <c r="AJ114" i="72"/>
  <c r="AC109" i="72"/>
  <c r="L111" i="72"/>
  <c r="AP116" i="72"/>
  <c r="N109" i="72"/>
  <c r="S110" i="72"/>
  <c r="AC111" i="72"/>
  <c r="AJ116" i="72"/>
  <c r="Q110" i="72"/>
  <c r="N112" i="72"/>
  <c r="M113" i="72"/>
  <c r="L114" i="72"/>
  <c r="Y115" i="72"/>
  <c r="X116" i="72"/>
  <c r="L110" i="72"/>
  <c r="K112" i="72"/>
  <c r="J113" i="72"/>
  <c r="AP113" i="72"/>
  <c r="V115" i="72"/>
  <c r="U116" i="72"/>
  <c r="X109" i="72"/>
  <c r="AK111" i="72"/>
  <c r="AJ112" i="72"/>
  <c r="AI113" i="72"/>
  <c r="O115" i="72"/>
  <c r="N116" i="72"/>
  <c r="K109" i="72"/>
  <c r="Z111" i="72"/>
  <c r="AC112" i="72"/>
  <c r="AB113" i="72"/>
  <c r="AA114" i="72"/>
  <c r="AN115" i="72"/>
  <c r="AM109" i="72"/>
  <c r="AE114" i="72"/>
  <c r="AJ109" i="72"/>
  <c r="P111" i="72"/>
  <c r="AN114" i="72"/>
  <c r="R109" i="72"/>
  <c r="W110" i="72"/>
  <c r="AG111" i="72"/>
  <c r="AG114" i="72"/>
  <c r="Y110" i="72"/>
  <c r="R112" i="72"/>
  <c r="Q113" i="72"/>
  <c r="P114" i="72"/>
  <c r="AC115" i="72"/>
  <c r="AB116" i="72"/>
  <c r="T110" i="72"/>
  <c r="O112" i="72"/>
  <c r="N113" i="72"/>
  <c r="M114" i="72"/>
  <c r="Z115" i="72"/>
  <c r="Y116" i="72"/>
  <c r="AH109" i="72"/>
  <c r="AO111" i="72"/>
  <c r="AN112" i="72"/>
  <c r="AM113" i="72"/>
  <c r="S115" i="72"/>
  <c r="R116" i="72"/>
  <c r="S109" i="72"/>
  <c r="AH111" i="72"/>
  <c r="AG112" i="72"/>
  <c r="AF113" i="72"/>
  <c r="L115" i="72"/>
  <c r="K116" i="72"/>
  <c r="AG109" i="72"/>
  <c r="AC110" i="72"/>
  <c r="J110" i="72"/>
  <c r="T111" i="72"/>
  <c r="AO114" i="72"/>
  <c r="V109" i="72"/>
  <c r="AA110" i="72"/>
  <c r="AO116" i="72"/>
  <c r="AK110" i="72"/>
  <c r="K111" i="72"/>
  <c r="V112" i="72"/>
  <c r="U113" i="72"/>
  <c r="T114" i="72"/>
  <c r="AG115" i="72"/>
  <c r="AK116" i="72"/>
  <c r="AB110" i="72"/>
  <c r="S112" i="72"/>
  <c r="R113" i="72"/>
  <c r="Q114" i="72"/>
  <c r="AD115" i="72"/>
  <c r="AC116" i="72"/>
  <c r="M110" i="72"/>
  <c r="L112" i="72"/>
  <c r="K113" i="72"/>
  <c r="J114" i="72"/>
  <c r="W115" i="72"/>
  <c r="V116" i="72"/>
  <c r="AA109" i="72"/>
  <c r="AL111" i="72"/>
  <c r="AK112" i="72"/>
  <c r="AJ113" i="72"/>
  <c r="P115" i="72"/>
  <c r="O116" i="72"/>
  <c r="AK109" i="72"/>
  <c r="AP110" i="72"/>
  <c r="N110" i="72"/>
  <c r="X111" i="72"/>
  <c r="AF114" i="72"/>
  <c r="Z109" i="72"/>
  <c r="AN110" i="72"/>
  <c r="AF116" i="72"/>
  <c r="AE110" i="72"/>
  <c r="S111" i="72"/>
  <c r="Z112" i="72"/>
  <c r="Y113" i="72"/>
  <c r="X114" i="72"/>
  <c r="AK115" i="72"/>
  <c r="AC114" i="72"/>
  <c r="N111" i="72"/>
  <c r="W112" i="72"/>
  <c r="V113" i="72"/>
  <c r="U114" i="72"/>
  <c r="AH115" i="72"/>
  <c r="AL116" i="72"/>
  <c r="U110" i="72"/>
  <c r="P112" i="72"/>
  <c r="O113" i="72"/>
  <c r="N114" i="72"/>
  <c r="AA115" i="72"/>
  <c r="Z116" i="72"/>
  <c r="AN109" i="72"/>
  <c r="AP111" i="72"/>
  <c r="AO112" i="72"/>
  <c r="AN113" i="72"/>
  <c r="T115" i="72"/>
  <c r="S116" i="72"/>
  <c r="AD116" i="72"/>
  <c r="Q109" i="72"/>
  <c r="V110" i="72"/>
  <c r="AF111" i="72"/>
  <c r="AG110" i="72"/>
  <c r="AL109" i="72"/>
  <c r="Q111" i="72"/>
  <c r="AD114" i="72"/>
  <c r="T109" i="72"/>
  <c r="AI111" i="72"/>
  <c r="AH112" i="72"/>
  <c r="AG113" i="72"/>
  <c r="M115" i="72"/>
  <c r="L116" i="72"/>
  <c r="O109" i="72"/>
  <c r="AD111" i="72"/>
  <c r="AE112" i="72"/>
  <c r="AD113" i="72"/>
  <c r="J115" i="72"/>
  <c r="AP115" i="72"/>
  <c r="AH114" i="72"/>
  <c r="O111" i="72"/>
  <c r="X112" i="72"/>
  <c r="W113" i="72"/>
  <c r="V114" i="72"/>
  <c r="AI115" i="72"/>
  <c r="AN116" i="72"/>
  <c r="X110" i="72"/>
  <c r="Q112" i="72"/>
  <c r="P113" i="72"/>
  <c r="O114" i="72"/>
  <c r="AB115" i="72"/>
  <c r="AA116" i="72"/>
  <c r="AJ110" i="72"/>
  <c r="AB114" i="72"/>
  <c r="AI116" i="72"/>
  <c r="M112" i="72"/>
  <c r="AD109" i="72"/>
  <c r="AO115" i="72"/>
  <c r="AI110" i="72"/>
  <c r="L113" i="72"/>
  <c r="M111" i="72"/>
  <c r="AH110" i="72"/>
  <c r="T112" i="72"/>
  <c r="K114" i="72"/>
  <c r="AI114" i="72"/>
  <c r="V111" i="72"/>
  <c r="S113" i="72"/>
  <c r="X115" i="72"/>
  <c r="AO109" i="72"/>
  <c r="L109" i="72"/>
  <c r="AA112" i="72"/>
  <c r="R114" i="72"/>
  <c r="W116" i="72"/>
  <c r="AB111" i="72"/>
  <c r="AC113" i="72"/>
  <c r="AL115" i="72"/>
  <c r="P110" i="72"/>
  <c r="AD112" i="72"/>
  <c r="Z113" i="72"/>
  <c r="Y114" i="72"/>
  <c r="AE115" i="72"/>
  <c r="AE116" i="72"/>
  <c r="M109" i="72"/>
  <c r="AA111" i="72"/>
  <c r="R110" i="72"/>
  <c r="AB33" i="41"/>
  <c r="AB188" i="80"/>
  <c r="X92" i="22"/>
  <c r="X17" i="111" s="1"/>
  <c r="X29" i="111" s="1"/>
  <c r="X38" i="53"/>
  <c r="X58" i="80"/>
  <c r="X31" i="41"/>
  <c r="N38" i="53"/>
  <c r="N31" i="41"/>
  <c r="N78" i="41" s="1"/>
  <c r="CB97" i="41" s="1"/>
  <c r="N242" i="83"/>
  <c r="N269" i="83" s="1"/>
  <c r="N58" i="80"/>
  <c r="N92" i="22"/>
  <c r="N17" i="111" s="1"/>
  <c r="L189" i="80"/>
  <c r="L34" i="41"/>
  <c r="R33" i="41"/>
  <c r="R188" i="80"/>
  <c r="S298" i="31"/>
  <c r="N298" i="31"/>
  <c r="J298" i="31"/>
  <c r="S262" i="31"/>
  <c r="AP42" i="80" s="1"/>
  <c r="Q262" i="31"/>
  <c r="AP40" i="80" s="1"/>
  <c r="O298" i="31"/>
  <c r="R262" i="31"/>
  <c r="AP41" i="80" s="1"/>
  <c r="Q298" i="31"/>
  <c r="M262" i="31"/>
  <c r="AP36" i="80" s="1"/>
  <c r="M298" i="31"/>
  <c r="O262" i="31"/>
  <c r="AP38" i="80" s="1"/>
  <c r="N262" i="31"/>
  <c r="AP37" i="80" s="1"/>
  <c r="R298" i="31"/>
  <c r="K298" i="31"/>
  <c r="L262" i="31"/>
  <c r="AP35" i="80" s="1"/>
  <c r="P262" i="31"/>
  <c r="AP39" i="80" s="1"/>
  <c r="K262" i="31"/>
  <c r="AP34" i="80" s="1"/>
  <c r="P298" i="31"/>
  <c r="J262" i="31"/>
  <c r="L298" i="31"/>
  <c r="Y34" i="41"/>
  <c r="Y189" i="80"/>
  <c r="AP114" i="73"/>
  <c r="AC114" i="73"/>
  <c r="U114" i="73"/>
  <c r="AD114" i="73"/>
  <c r="J113" i="73"/>
  <c r="AB113" i="73"/>
  <c r="U107" i="73"/>
  <c r="AM114" i="73"/>
  <c r="AN114" i="73"/>
  <c r="AH114" i="73"/>
  <c r="K114" i="73"/>
  <c r="V113" i="73"/>
  <c r="AP112" i="73"/>
  <c r="Y107" i="73"/>
  <c r="Z108" i="73"/>
  <c r="AA109" i="73"/>
  <c r="AC110" i="73"/>
  <c r="AE111" i="73"/>
  <c r="T113" i="73"/>
  <c r="J114" i="73"/>
  <c r="AL114" i="73"/>
  <c r="Q114" i="73"/>
  <c r="O114" i="73"/>
  <c r="V114" i="73"/>
  <c r="AC113" i="73"/>
  <c r="J110" i="73"/>
  <c r="AK107" i="73"/>
  <c r="AL108" i="73"/>
  <c r="AM109" i="73"/>
  <c r="AO110" i="73"/>
  <c r="J107" i="73"/>
  <c r="N114" i="73"/>
  <c r="W114" i="73"/>
  <c r="S112" i="73"/>
  <c r="AA112" i="73"/>
  <c r="AO107" i="73"/>
  <c r="R109" i="73"/>
  <c r="AG110" i="73"/>
  <c r="N112" i="73"/>
  <c r="AF112" i="73"/>
  <c r="T111" i="73"/>
  <c r="AP107" i="73"/>
  <c r="K109" i="73"/>
  <c r="L110" i="73"/>
  <c r="N111" i="73"/>
  <c r="R112" i="73"/>
  <c r="Y113" i="73"/>
  <c r="AI112" i="73"/>
  <c r="AM107" i="73"/>
  <c r="AN108" i="73"/>
  <c r="AO109" i="73"/>
  <c r="K111" i="73"/>
  <c r="K112" i="73"/>
  <c r="AD113" i="73"/>
  <c r="O112" i="73"/>
  <c r="AB107" i="73"/>
  <c r="AC108" i="73"/>
  <c r="AD109" i="73"/>
  <c r="AF110" i="73"/>
  <c r="AH111" i="73"/>
  <c r="T114" i="73"/>
  <c r="R114" i="73"/>
  <c r="M113" i="73"/>
  <c r="AJ112" i="73"/>
  <c r="M108" i="73"/>
  <c r="W109" i="73"/>
  <c r="AK110" i="73"/>
  <c r="Q112" i="73"/>
  <c r="AL112" i="73"/>
  <c r="S110" i="73"/>
  <c r="N108" i="73"/>
  <c r="O109" i="73"/>
  <c r="P110" i="73"/>
  <c r="R111" i="73"/>
  <c r="T112" i="73"/>
  <c r="Q113" i="73"/>
  <c r="AH112" i="73"/>
  <c r="K108" i="73"/>
  <c r="L109" i="73"/>
  <c r="M110" i="73"/>
  <c r="O111" i="73"/>
  <c r="L113" i="73"/>
  <c r="S113" i="73"/>
  <c r="AG112" i="73"/>
  <c r="AF107" i="73"/>
  <c r="AG108" i="73"/>
  <c r="AH109" i="73"/>
  <c r="AJ110" i="73"/>
  <c r="AL111" i="73"/>
  <c r="W107" i="73"/>
  <c r="L114" i="73"/>
  <c r="AA114" i="73"/>
  <c r="R113" i="73"/>
  <c r="T110" i="73"/>
  <c r="Q108" i="73"/>
  <c r="AE109" i="73"/>
  <c r="M111" i="73"/>
  <c r="W113" i="73"/>
  <c r="W112" i="73"/>
  <c r="M107" i="73"/>
  <c r="R108" i="73"/>
  <c r="S109" i="73"/>
  <c r="V110" i="73"/>
  <c r="X111" i="73"/>
  <c r="M112" i="73"/>
  <c r="N113" i="73"/>
  <c r="S108" i="73"/>
  <c r="O108" i="73"/>
  <c r="P109" i="73"/>
  <c r="Q110" i="73"/>
  <c r="U111" i="73"/>
  <c r="AI113" i="73"/>
  <c r="P112" i="73"/>
  <c r="AC112" i="73"/>
  <c r="AJ107" i="73"/>
  <c r="AK108" i="73"/>
  <c r="AL109" i="73"/>
  <c r="AN110" i="73"/>
  <c r="AP111" i="73"/>
  <c r="V107" i="73"/>
  <c r="AO114" i="73"/>
  <c r="S114" i="73"/>
  <c r="O113" i="73"/>
  <c r="S111" i="73"/>
  <c r="V108" i="73"/>
  <c r="AI109" i="73"/>
  <c r="Q111" i="73"/>
  <c r="AN113" i="73"/>
  <c r="AE112" i="73"/>
  <c r="R107" i="73"/>
  <c r="W108" i="73"/>
  <c r="X109" i="73"/>
  <c r="Z110" i="73"/>
  <c r="AB111" i="73"/>
  <c r="AO113" i="73"/>
  <c r="U112" i="73"/>
  <c r="N107" i="73"/>
  <c r="T108" i="73"/>
  <c r="U109" i="73"/>
  <c r="W110" i="73"/>
  <c r="Y111" i="73"/>
  <c r="AK113" i="73"/>
  <c r="J109" i="73"/>
  <c r="S107" i="73"/>
  <c r="AN107" i="73"/>
  <c r="AO108" i="73"/>
  <c r="AP109" i="73"/>
  <c r="L111" i="73"/>
  <c r="AI114" i="73"/>
  <c r="AF114" i="73"/>
  <c r="AB114" i="73"/>
  <c r="AM113" i="73"/>
  <c r="L107" i="73"/>
  <c r="AD108" i="73"/>
  <c r="K110" i="73"/>
  <c r="W111" i="73"/>
  <c r="U113" i="73"/>
  <c r="X112" i="73"/>
  <c r="Z107" i="73"/>
  <c r="AA108" i="73"/>
  <c r="AB109" i="73"/>
  <c r="AD110" i="73"/>
  <c r="AF111" i="73"/>
  <c r="AG113" i="73"/>
  <c r="AO112" i="73"/>
  <c r="T107" i="73"/>
  <c r="X108" i="73"/>
  <c r="Y109" i="73"/>
  <c r="AA110" i="73"/>
  <c r="AC111" i="73"/>
  <c r="AL113" i="73"/>
  <c r="AN112" i="73"/>
  <c r="T109" i="73"/>
  <c r="L108" i="73"/>
  <c r="M109" i="73"/>
  <c r="N110" i="73"/>
  <c r="P111" i="73"/>
  <c r="AG114" i="73"/>
  <c r="AK114" i="73"/>
  <c r="M114" i="73"/>
  <c r="AH113" i="73"/>
  <c r="P107" i="73"/>
  <c r="AH108" i="73"/>
  <c r="O110" i="73"/>
  <c r="AA111" i="73"/>
  <c r="P113" i="73"/>
  <c r="J108" i="73"/>
  <c r="AD107" i="73"/>
  <c r="AE108" i="73"/>
  <c r="AF109" i="73"/>
  <c r="AH110" i="73"/>
  <c r="AJ111" i="73"/>
  <c r="AF113" i="73"/>
  <c r="AM112" i="73"/>
  <c r="AA107" i="73"/>
  <c r="AB108" i="73"/>
  <c r="AC109" i="73"/>
  <c r="AE110" i="73"/>
  <c r="AG111" i="73"/>
  <c r="K113" i="73"/>
  <c r="AB112" i="73"/>
  <c r="K107" i="73"/>
  <c r="P108" i="73"/>
  <c r="Q109" i="73"/>
  <c r="R110" i="73"/>
  <c r="V111" i="73"/>
  <c r="P114" i="73"/>
  <c r="Z114" i="73"/>
  <c r="X114" i="73"/>
  <c r="Z112" i="73"/>
  <c r="AG107" i="73"/>
  <c r="N109" i="73"/>
  <c r="Y110" i="73"/>
  <c r="AM111" i="73"/>
  <c r="Z113" i="73"/>
  <c r="Q107" i="73"/>
  <c r="AL107" i="73"/>
  <c r="AM108" i="73"/>
  <c r="AN109" i="73"/>
  <c r="AP110" i="73"/>
  <c r="J112" i="73"/>
  <c r="AP113" i="73"/>
  <c r="V112" i="73"/>
  <c r="AI107" i="73"/>
  <c r="AJ108" i="73"/>
  <c r="AK109" i="73"/>
  <c r="AM110" i="73"/>
  <c r="AO111" i="73"/>
  <c r="AE113" i="73"/>
  <c r="AK112" i="73"/>
  <c r="X107" i="73"/>
  <c r="Y108" i="73"/>
  <c r="Z109" i="73"/>
  <c r="AB110" i="73"/>
  <c r="AD111" i="73"/>
  <c r="AP108" i="73"/>
  <c r="AL110" i="73"/>
  <c r="AK111" i="73"/>
  <c r="U110" i="73"/>
  <c r="AN111" i="73"/>
  <c r="X113" i="73"/>
  <c r="AI111" i="73"/>
  <c r="AA113" i="73"/>
  <c r="AD112" i="73"/>
  <c r="Y114" i="73"/>
  <c r="AJ113" i="73"/>
  <c r="L112" i="73"/>
  <c r="O107" i="73"/>
  <c r="AE114" i="73"/>
  <c r="J111" i="73"/>
  <c r="AE107" i="73"/>
  <c r="U108" i="73"/>
  <c r="AC107" i="73"/>
  <c r="AJ109" i="73"/>
  <c r="AI110" i="73"/>
  <c r="Z111" i="73"/>
  <c r="AI108" i="73"/>
  <c r="AF108" i="73"/>
  <c r="AG109" i="73"/>
  <c r="V109" i="73"/>
  <c r="X110" i="73"/>
  <c r="AJ114" i="73"/>
  <c r="Y112" i="73"/>
  <c r="AH107" i="73"/>
  <c r="AA30" i="41"/>
  <c r="AA37" i="53"/>
  <c r="AA57" i="80"/>
  <c r="AB37" i="53"/>
  <c r="AB30" i="41"/>
  <c r="AB57" i="80"/>
  <c r="O189" i="80"/>
  <c r="O34" i="41"/>
  <c r="U38" i="53"/>
  <c r="U31" i="41"/>
  <c r="U58" i="80"/>
  <c r="U92" i="22"/>
  <c r="U17" i="111" s="1"/>
  <c r="AA188" i="80"/>
  <c r="AA33" i="41"/>
  <c r="J295" i="31"/>
  <c r="N295" i="31"/>
  <c r="P295" i="31"/>
  <c r="S295" i="31"/>
  <c r="Q259" i="31"/>
  <c r="AM40" i="80" s="1"/>
  <c r="S259" i="31"/>
  <c r="AM42" i="80" s="1"/>
  <c r="O295" i="31"/>
  <c r="N259" i="31"/>
  <c r="AM37" i="80" s="1"/>
  <c r="K295" i="31"/>
  <c r="M259" i="31"/>
  <c r="AM36" i="80" s="1"/>
  <c r="Q295" i="31"/>
  <c r="O259" i="31"/>
  <c r="AM38" i="80" s="1"/>
  <c r="J259" i="31"/>
  <c r="L295" i="31"/>
  <c r="P259" i="31"/>
  <c r="AM39" i="80" s="1"/>
  <c r="R259" i="31"/>
  <c r="AM41" i="80" s="1"/>
  <c r="L259" i="31"/>
  <c r="AM35" i="80" s="1"/>
  <c r="K259" i="31"/>
  <c r="AM34" i="80" s="1"/>
  <c r="R295" i="31"/>
  <c r="M295" i="31"/>
  <c r="L77" i="22"/>
  <c r="AH73" i="80"/>
  <c r="AH85" i="83"/>
  <c r="K293" i="31"/>
  <c r="P293" i="31"/>
  <c r="O293" i="31"/>
  <c r="Q293" i="31"/>
  <c r="N293" i="31"/>
  <c r="Q257" i="31"/>
  <c r="AK40" i="80" s="1"/>
  <c r="K257" i="31"/>
  <c r="AK34" i="80" s="1"/>
  <c r="R293" i="31"/>
  <c r="M257" i="31"/>
  <c r="AK36" i="80" s="1"/>
  <c r="R257" i="31"/>
  <c r="AK41" i="80" s="1"/>
  <c r="M293" i="31"/>
  <c r="P257" i="31"/>
  <c r="AK39" i="80" s="1"/>
  <c r="N257" i="31"/>
  <c r="AK37" i="80" s="1"/>
  <c r="L257" i="31"/>
  <c r="AK35" i="80" s="1"/>
  <c r="J257" i="31"/>
  <c r="S257" i="31"/>
  <c r="AK42" i="80" s="1"/>
  <c r="L293" i="31"/>
  <c r="O257" i="31"/>
  <c r="AK38" i="80" s="1"/>
  <c r="S293" i="31"/>
  <c r="J293" i="31"/>
  <c r="U16" i="111"/>
  <c r="U32" i="41"/>
  <c r="U18" i="74"/>
  <c r="M66" i="53"/>
  <c r="M64" i="53"/>
  <c r="M73" i="53" s="1"/>
  <c r="M246" i="83" s="1"/>
  <c r="M65" i="53"/>
  <c r="O294" i="31"/>
  <c r="J294" i="31"/>
  <c r="Q294" i="31"/>
  <c r="O258" i="31"/>
  <c r="AL38" i="80" s="1"/>
  <c r="J258" i="31"/>
  <c r="M294" i="31"/>
  <c r="Q258" i="31"/>
  <c r="AL40" i="80" s="1"/>
  <c r="P294" i="31"/>
  <c r="K258" i="31"/>
  <c r="AL34" i="80" s="1"/>
  <c r="K294" i="31"/>
  <c r="M258" i="31"/>
  <c r="AL36" i="80" s="1"/>
  <c r="S294" i="31"/>
  <c r="R258" i="31"/>
  <c r="AL41" i="80" s="1"/>
  <c r="L294" i="31"/>
  <c r="P258" i="31"/>
  <c r="AL39" i="80" s="1"/>
  <c r="S258" i="31"/>
  <c r="AL42" i="80" s="1"/>
  <c r="N258" i="31"/>
  <c r="AL37" i="80" s="1"/>
  <c r="R294" i="31"/>
  <c r="L258" i="31"/>
  <c r="AL35" i="80" s="1"/>
  <c r="N294" i="31"/>
  <c r="X16" i="111"/>
  <c r="X32" i="41"/>
  <c r="X18" i="74"/>
  <c r="AG85" i="83"/>
  <c r="AG73" i="80"/>
  <c r="P243" i="31"/>
  <c r="W39" i="80" s="1"/>
  <c r="L243" i="31"/>
  <c r="W35" i="80" s="1"/>
  <c r="N243" i="31"/>
  <c r="W37" i="80" s="1"/>
  <c r="S243" i="31"/>
  <c r="W42" i="80" s="1"/>
  <c r="J243" i="31"/>
  <c r="Q243" i="31"/>
  <c r="W40" i="80" s="1"/>
  <c r="R243" i="31"/>
  <c r="W41" i="80" s="1"/>
  <c r="M243" i="31"/>
  <c r="W36" i="80" s="1"/>
  <c r="O243" i="31"/>
  <c r="W38" i="80" s="1"/>
  <c r="K243" i="31"/>
  <c r="W34" i="80" s="1"/>
  <c r="P66" i="22"/>
  <c r="U188" i="80"/>
  <c r="U33" i="41"/>
  <c r="AM323" i="53"/>
  <c r="AM539" i="53" s="1"/>
  <c r="S236" i="31"/>
  <c r="P42" i="80" s="1"/>
  <c r="Q236" i="31"/>
  <c r="P40" i="80" s="1"/>
  <c r="O236" i="31"/>
  <c r="P38" i="80" s="1"/>
  <c r="M236" i="31"/>
  <c r="P36" i="80" s="1"/>
  <c r="K236" i="31"/>
  <c r="P34" i="80" s="1"/>
  <c r="L236" i="31"/>
  <c r="P35" i="80" s="1"/>
  <c r="R236" i="31"/>
  <c r="P41" i="80" s="1"/>
  <c r="P236" i="31"/>
  <c r="P39" i="80" s="1"/>
  <c r="J236" i="31"/>
  <c r="N236" i="31"/>
  <c r="P37" i="80" s="1"/>
  <c r="AG307" i="53"/>
  <c r="AG523" i="53" s="1"/>
  <c r="AH100" i="83"/>
  <c r="AH99" i="80"/>
  <c r="S70" i="83"/>
  <c r="AM71" i="83"/>
  <c r="P73" i="83"/>
  <c r="Z74" i="83"/>
  <c r="AI75" i="83"/>
  <c r="U69" i="83"/>
  <c r="S71" i="83"/>
  <c r="AC72" i="83"/>
  <c r="AM73" i="83"/>
  <c r="O75" i="83"/>
  <c r="Y76" i="83"/>
  <c r="AE71" i="83"/>
  <c r="R74" i="83"/>
  <c r="AK76" i="83"/>
  <c r="Y69" i="83"/>
  <c r="AF72" i="83"/>
  <c r="R75" i="83"/>
  <c r="AA71" i="83"/>
  <c r="AF69" i="83"/>
  <c r="AJ72" i="83"/>
  <c r="V75" i="83"/>
  <c r="AL71" i="83"/>
  <c r="AM69" i="83"/>
  <c r="AP73" i="83"/>
  <c r="M70" i="83"/>
  <c r="AI76" i="83"/>
  <c r="AM72" i="83"/>
  <c r="M71" i="83"/>
  <c r="P75" i="83"/>
  <c r="T71" i="83"/>
  <c r="N73" i="83"/>
  <c r="AA69" i="83"/>
  <c r="AB75" i="83"/>
  <c r="AA70" i="83"/>
  <c r="L72" i="83"/>
  <c r="U73" i="83"/>
  <c r="AE74" i="83"/>
  <c r="AO75" i="83"/>
  <c r="AC69" i="83"/>
  <c r="Y71" i="83"/>
  <c r="AH72" i="83"/>
  <c r="K74" i="83"/>
  <c r="U75" i="83"/>
  <c r="AD76" i="83"/>
  <c r="AP71" i="83"/>
  <c r="AB74" i="83"/>
  <c r="AP76" i="83"/>
  <c r="AO69" i="83"/>
  <c r="AP72" i="83"/>
  <c r="AC75" i="83"/>
  <c r="AK72" i="83"/>
  <c r="O70" i="83"/>
  <c r="M73" i="83"/>
  <c r="AG75" i="83"/>
  <c r="Z72" i="83"/>
  <c r="W69" i="83"/>
  <c r="Z73" i="83"/>
  <c r="AD69" i="83"/>
  <c r="S76" i="83"/>
  <c r="W72" i="83"/>
  <c r="AD70" i="83"/>
  <c r="AG74" i="83"/>
  <c r="AK70" i="83"/>
  <c r="P71" i="83"/>
  <c r="AD73" i="83"/>
  <c r="AF71" i="83"/>
  <c r="AJ69" i="83"/>
  <c r="Q72" i="83"/>
  <c r="AK73" i="83"/>
  <c r="Y75" i="83"/>
  <c r="AK69" i="83"/>
  <c r="AO71" i="83"/>
  <c r="AB73" i="83"/>
  <c r="Z75" i="83"/>
  <c r="AN69" i="83"/>
  <c r="AC73" i="83"/>
  <c r="P70" i="83"/>
  <c r="V71" i="83"/>
  <c r="AD74" i="83"/>
  <c r="AJ73" i="83"/>
  <c r="Z71" i="83"/>
  <c r="AH74" i="83"/>
  <c r="Y73" i="83"/>
  <c r="AN75" i="83"/>
  <c r="L71" i="83"/>
  <c r="AJ75" i="83"/>
  <c r="AO70" i="83"/>
  <c r="O76" i="83"/>
  <c r="U70" i="83"/>
  <c r="AA76" i="83"/>
  <c r="O72" i="83"/>
  <c r="K70" i="83"/>
  <c r="V72" i="83"/>
  <c r="J74" i="83"/>
  <c r="AD75" i="83"/>
  <c r="L70" i="83"/>
  <c r="M72" i="83"/>
  <c r="AG73" i="83"/>
  <c r="AE75" i="83"/>
  <c r="W70" i="83"/>
  <c r="AN73" i="83"/>
  <c r="P72" i="83"/>
  <c r="AG71" i="83"/>
  <c r="AN74" i="83"/>
  <c r="N74" i="83"/>
  <c r="AK71" i="83"/>
  <c r="K75" i="83"/>
  <c r="X74" i="83"/>
  <c r="X75" i="83"/>
  <c r="AC70" i="83"/>
  <c r="T75" i="83"/>
  <c r="Y70" i="83"/>
  <c r="AF75" i="83"/>
  <c r="AL69" i="83"/>
  <c r="AC74" i="83"/>
  <c r="Q70" i="83"/>
  <c r="AI70" i="83"/>
  <c r="AB72" i="83"/>
  <c r="O74" i="83"/>
  <c r="M76" i="83"/>
  <c r="T70" i="83"/>
  <c r="R72" i="83"/>
  <c r="P74" i="83"/>
  <c r="AK75" i="83"/>
  <c r="AM70" i="83"/>
  <c r="AM74" i="83"/>
  <c r="O73" i="83"/>
  <c r="J72" i="83"/>
  <c r="AM75" i="83"/>
  <c r="M75" i="83"/>
  <c r="N72" i="83"/>
  <c r="J76" i="83"/>
  <c r="W75" i="83"/>
  <c r="AO74" i="83"/>
  <c r="N69" i="83"/>
  <c r="AK74" i="83"/>
  <c r="AP69" i="83"/>
  <c r="Q74" i="83"/>
  <c r="V69" i="83"/>
  <c r="AE72" i="83"/>
  <c r="J71" i="83"/>
  <c r="AG72" i="83"/>
  <c r="T74" i="83"/>
  <c r="R76" i="83"/>
  <c r="AB70" i="83"/>
  <c r="X72" i="83"/>
  <c r="V74" i="83"/>
  <c r="AP75" i="83"/>
  <c r="U71" i="83"/>
  <c r="Q75" i="83"/>
  <c r="AI74" i="83"/>
  <c r="U72" i="83"/>
  <c r="Q76" i="83"/>
  <c r="V76" i="83"/>
  <c r="Y72" i="83"/>
  <c r="U76" i="83"/>
  <c r="L76" i="83"/>
  <c r="Y74" i="83"/>
  <c r="Q71" i="83"/>
  <c r="U74" i="83"/>
  <c r="Z69" i="83"/>
  <c r="AH73" i="83"/>
  <c r="AP70" i="83"/>
  <c r="AG70" i="83"/>
  <c r="J69" i="83"/>
  <c r="R71" i="83"/>
  <c r="AL72" i="83"/>
  <c r="AJ74" i="83"/>
  <c r="X76" i="83"/>
  <c r="AJ70" i="83"/>
  <c r="AN72" i="83"/>
  <c r="AA74" i="83"/>
  <c r="N76" i="83"/>
  <c r="T72" i="83"/>
  <c r="AA75" i="83"/>
  <c r="AH75" i="83"/>
  <c r="T73" i="83"/>
  <c r="AB76" i="83"/>
  <c r="AO76" i="83"/>
  <c r="X73" i="83"/>
  <c r="AF76" i="83"/>
  <c r="AL70" i="83"/>
  <c r="J73" i="83"/>
  <c r="AH70" i="83"/>
  <c r="AL73" i="83"/>
  <c r="N70" i="83"/>
  <c r="R73" i="83"/>
  <c r="K69" i="83"/>
  <c r="AH69" i="83"/>
  <c r="AB69" i="83"/>
  <c r="AH71" i="83"/>
  <c r="AF73" i="83"/>
  <c r="S75" i="83"/>
  <c r="M69" i="83"/>
  <c r="AI71" i="83"/>
  <c r="W73" i="83"/>
  <c r="J75" i="83"/>
  <c r="X69" i="83"/>
  <c r="S73" i="83"/>
  <c r="Z76" i="83"/>
  <c r="AN70" i="83"/>
  <c r="S74" i="83"/>
  <c r="AF70" i="83"/>
  <c r="N71" i="83"/>
  <c r="W74" i="83"/>
  <c r="O71" i="83"/>
  <c r="W76" i="83"/>
  <c r="AB71" i="83"/>
  <c r="S69" i="83"/>
  <c r="X71" i="83"/>
  <c r="AE76" i="83"/>
  <c r="AJ71" i="83"/>
  <c r="Z70" i="83"/>
  <c r="M74" i="83"/>
  <c r="AP74" i="83"/>
  <c r="AF74" i="83"/>
  <c r="AG76" i="83"/>
  <c r="AI73" i="83"/>
  <c r="R70" i="83"/>
  <c r="L75" i="83"/>
  <c r="N75" i="83"/>
  <c r="AL74" i="83"/>
  <c r="X70" i="83"/>
  <c r="L74" i="83"/>
  <c r="AI69" i="83"/>
  <c r="R69" i="83"/>
  <c r="L69" i="83"/>
  <c r="AC76" i="83"/>
  <c r="T76" i="83"/>
  <c r="AE73" i="83"/>
  <c r="AN76" i="83"/>
  <c r="V73" i="83"/>
  <c r="J70" i="83"/>
  <c r="T69" i="83"/>
  <c r="AH76" i="83"/>
  <c r="AJ76" i="83"/>
  <c r="AO73" i="83"/>
  <c r="AG69" i="83"/>
  <c r="AN71" i="83"/>
  <c r="K76" i="83"/>
  <c r="W71" i="83"/>
  <c r="K71" i="83"/>
  <c r="AD72" i="83"/>
  <c r="AL76" i="83"/>
  <c r="V70" i="83"/>
  <c r="AE69" i="83"/>
  <c r="AC71" i="83"/>
  <c r="AD71" i="83"/>
  <c r="AO72" i="83"/>
  <c r="Q69" i="83"/>
  <c r="AM76" i="83"/>
  <c r="O69" i="83"/>
  <c r="AA73" i="83"/>
  <c r="Q73" i="83"/>
  <c r="P76" i="83"/>
  <c r="AE70" i="83"/>
  <c r="K72" i="83"/>
  <c r="S72" i="83"/>
  <c r="AL75" i="83"/>
  <c r="P69" i="83"/>
  <c r="AA72" i="83"/>
  <c r="AI72" i="83"/>
  <c r="L73" i="83"/>
  <c r="K73" i="83"/>
  <c r="AA36" i="53"/>
  <c r="AA56" i="80"/>
  <c r="AA29" i="41"/>
  <c r="V16" i="111"/>
  <c r="V18" i="74"/>
  <c r="V32" i="41"/>
  <c r="AH105" i="83"/>
  <c r="AH116" i="80"/>
  <c r="AH106" i="83"/>
  <c r="Q248" i="31"/>
  <c r="AB40" i="80" s="1"/>
  <c r="K248" i="31"/>
  <c r="AB34" i="80" s="1"/>
  <c r="M248" i="31"/>
  <c r="AB36" i="80" s="1"/>
  <c r="R248" i="31"/>
  <c r="AB41" i="80" s="1"/>
  <c r="P248" i="31"/>
  <c r="AB39" i="80" s="1"/>
  <c r="O248" i="31"/>
  <c r="AB38" i="80" s="1"/>
  <c r="J248" i="31"/>
  <c r="S248" i="31"/>
  <c r="AB42" i="80" s="1"/>
  <c r="N248" i="31"/>
  <c r="AB37" i="80" s="1"/>
  <c r="L248" i="31"/>
  <c r="AB35" i="80" s="1"/>
  <c r="H56" i="73"/>
  <c r="H58" i="73"/>
  <c r="H54" i="73"/>
  <c r="H57" i="73"/>
  <c r="H53" i="73"/>
  <c r="H55" i="73"/>
  <c r="H59" i="73"/>
  <c r="H60" i="73"/>
  <c r="AI298" i="53"/>
  <c r="AI514" i="53" s="1"/>
  <c r="AH88" i="83"/>
  <c r="AH76" i="80"/>
  <c r="R31" i="41"/>
  <c r="R38" i="53"/>
  <c r="R58" i="80"/>
  <c r="R92" i="22"/>
  <c r="R17" i="111" s="1"/>
  <c r="S66" i="22"/>
  <c r="U189" i="80"/>
  <c r="U34" i="41"/>
  <c r="AE71" i="53"/>
  <c r="AE70" i="53"/>
  <c r="AE88" i="53" s="1"/>
  <c r="AE90" i="53" s="1"/>
  <c r="AE120" i="53" s="1"/>
  <c r="AE122" i="53" s="1"/>
  <c r="AE72" i="53"/>
  <c r="X37" i="53"/>
  <c r="X57" i="80"/>
  <c r="X30" i="41"/>
  <c r="N36" i="53"/>
  <c r="N29" i="41"/>
  <c r="N76" i="41" s="1"/>
  <c r="N97" i="41" s="1"/>
  <c r="N240" i="83"/>
  <c r="N56" i="80"/>
  <c r="P33" i="41"/>
  <c r="P188" i="80"/>
  <c r="V56" i="80"/>
  <c r="V36" i="53"/>
  <c r="V29" i="41"/>
  <c r="V76" i="41" s="1"/>
  <c r="V97" i="41" s="1"/>
  <c r="J114" i="22"/>
  <c r="Q36" i="53"/>
  <c r="Q29" i="41"/>
  <c r="Q56" i="80"/>
  <c r="W16" i="111"/>
  <c r="W32" i="41"/>
  <c r="W18" i="74"/>
  <c r="N33" i="41"/>
  <c r="N188" i="80"/>
  <c r="N191" i="80" s="1"/>
  <c r="N192" i="80" s="1"/>
  <c r="J77" i="22"/>
  <c r="AM109" i="83"/>
  <c r="AM119" i="80"/>
  <c r="S114" i="22"/>
  <c r="AH119" i="80"/>
  <c r="AH109" i="83"/>
  <c r="Y38" i="53"/>
  <c r="Y92" i="22"/>
  <c r="Y17" i="111" s="1"/>
  <c r="Y29" i="111" s="1"/>
  <c r="Y31" i="41"/>
  <c r="Y58" i="80"/>
  <c r="O57" i="80"/>
  <c r="O241" i="83"/>
  <c r="O268" i="83" s="1"/>
  <c r="AH75" i="80"/>
  <c r="AH87" i="83"/>
  <c r="Q77" i="22"/>
  <c r="AH96" i="80"/>
  <c r="AH97" i="83"/>
  <c r="S285" i="31"/>
  <c r="M285" i="31"/>
  <c r="O285" i="31"/>
  <c r="L285" i="31"/>
  <c r="K249" i="31"/>
  <c r="AC34" i="80" s="1"/>
  <c r="L249" i="31"/>
  <c r="AC35" i="80" s="1"/>
  <c r="K285" i="31"/>
  <c r="R249" i="31"/>
  <c r="AC41" i="80" s="1"/>
  <c r="P285" i="31"/>
  <c r="Q249" i="31"/>
  <c r="AC40" i="80" s="1"/>
  <c r="S249" i="31"/>
  <c r="AC42" i="80" s="1"/>
  <c r="J285" i="31"/>
  <c r="N249" i="31"/>
  <c r="AC37" i="80" s="1"/>
  <c r="Q285" i="31"/>
  <c r="P249" i="31"/>
  <c r="AC39" i="80" s="1"/>
  <c r="N285" i="31"/>
  <c r="R285" i="31"/>
  <c r="M249" i="31"/>
  <c r="AC36" i="80" s="1"/>
  <c r="O249" i="31"/>
  <c r="AC38" i="80" s="1"/>
  <c r="J249" i="31"/>
  <c r="M238" i="31"/>
  <c r="R36" i="80" s="1"/>
  <c r="R238" i="31"/>
  <c r="R41" i="80" s="1"/>
  <c r="P238" i="31"/>
  <c r="R39" i="80" s="1"/>
  <c r="S238" i="31"/>
  <c r="R42" i="80" s="1"/>
  <c r="N238" i="31"/>
  <c r="R37" i="80" s="1"/>
  <c r="L238" i="31"/>
  <c r="R35" i="80" s="1"/>
  <c r="K238" i="31"/>
  <c r="R34" i="80" s="1"/>
  <c r="J238" i="31"/>
  <c r="Q238" i="31"/>
  <c r="R40" i="80" s="1"/>
  <c r="O238" i="31"/>
  <c r="R38" i="80" s="1"/>
  <c r="O33" i="41"/>
  <c r="O188" i="80"/>
  <c r="Q247" i="31"/>
  <c r="AA40" i="80" s="1"/>
  <c r="O247" i="31"/>
  <c r="AA38" i="80" s="1"/>
  <c r="M247" i="31"/>
  <c r="AA36" i="80" s="1"/>
  <c r="K247" i="31"/>
  <c r="AA34" i="80" s="1"/>
  <c r="P247" i="31"/>
  <c r="AA39" i="80" s="1"/>
  <c r="J247" i="31"/>
  <c r="S247" i="31"/>
  <c r="AA42" i="80" s="1"/>
  <c r="L247" i="31"/>
  <c r="AA35" i="80" s="1"/>
  <c r="N247" i="31"/>
  <c r="AA37" i="80" s="1"/>
  <c r="R247" i="31"/>
  <c r="AA41" i="80" s="1"/>
  <c r="AD71" i="53"/>
  <c r="AD70" i="53"/>
  <c r="AD88" i="53" s="1"/>
  <c r="AD90" i="53" s="1"/>
  <c r="AD120" i="53" s="1"/>
  <c r="AD122" i="53" s="1"/>
  <c r="AD72" i="53"/>
  <c r="AB16" i="111"/>
  <c r="AB18" i="74"/>
  <c r="AB32" i="41"/>
  <c r="V58" i="80"/>
  <c r="V38" i="53"/>
  <c r="V92" i="22"/>
  <c r="V17" i="111" s="1"/>
  <c r="V31" i="41"/>
  <c r="K64" i="53"/>
  <c r="K66" i="53"/>
  <c r="K65" i="53"/>
  <c r="AB56" i="80"/>
  <c r="AB36" i="53"/>
  <c r="AB29" i="41"/>
  <c r="S241" i="83"/>
  <c r="S57" i="80"/>
  <c r="S37" i="53"/>
  <c r="S30" i="41"/>
  <c r="S77" i="41" s="1"/>
  <c r="AZ97" i="41" s="1"/>
  <c r="Q245" i="31"/>
  <c r="Y40" i="80" s="1"/>
  <c r="S245" i="31"/>
  <c r="Y42" i="80" s="1"/>
  <c r="J245" i="31"/>
  <c r="R245" i="31"/>
  <c r="Y41" i="80" s="1"/>
  <c r="M245" i="31"/>
  <c r="Y36" i="80" s="1"/>
  <c r="O245" i="31"/>
  <c r="Y38" i="80" s="1"/>
  <c r="L245" i="31"/>
  <c r="Y35" i="80" s="1"/>
  <c r="N245" i="31"/>
  <c r="Y37" i="80" s="1"/>
  <c r="K245" i="31"/>
  <c r="Y34" i="80" s="1"/>
  <c r="P245" i="31"/>
  <c r="Y39" i="80" s="1"/>
  <c r="J125" i="22"/>
  <c r="AM320" i="53"/>
  <c r="AM536" i="53" s="1"/>
  <c r="AH124" i="80"/>
  <c r="AH114" i="83"/>
  <c r="U37" i="53"/>
  <c r="U30" i="41"/>
  <c r="U57" i="80"/>
  <c r="L66" i="22"/>
  <c r="AI310" i="53"/>
  <c r="AI526" i="53" s="1"/>
  <c r="AG315" i="53"/>
  <c r="AG531" i="53" s="1"/>
  <c r="T136" i="22"/>
  <c r="T35" i="41" s="1"/>
  <c r="S88" i="22"/>
  <c r="AH89" i="83"/>
  <c r="AH77" i="80"/>
  <c r="O38" i="53"/>
  <c r="O242" i="83"/>
  <c r="O269" i="83" s="1"/>
  <c r="O58" i="80"/>
  <c r="O31" i="41"/>
  <c r="O78" i="41" s="1"/>
  <c r="CC97" i="41" s="1"/>
  <c r="AN204" i="80"/>
  <c r="AN202" i="80"/>
  <c r="W31" i="41"/>
  <c r="W58" i="80"/>
  <c r="W38" i="53"/>
  <c r="W92" i="22"/>
  <c r="W17" i="111" s="1"/>
  <c r="N231" i="31"/>
  <c r="K37" i="80" s="1"/>
  <c r="S231" i="31"/>
  <c r="K42" i="80" s="1"/>
  <c r="O231" i="31"/>
  <c r="K38" i="80" s="1"/>
  <c r="Q231" i="31"/>
  <c r="K40" i="80" s="1"/>
  <c r="L231" i="31"/>
  <c r="K35" i="80" s="1"/>
  <c r="R231" i="31"/>
  <c r="K41" i="80" s="1"/>
  <c r="M231" i="31"/>
  <c r="K36" i="80" s="1"/>
  <c r="P231" i="31"/>
  <c r="K39" i="80" s="1"/>
  <c r="K231" i="31"/>
  <c r="K34" i="80" s="1"/>
  <c r="J231" i="31"/>
  <c r="AB34" i="41"/>
  <c r="AB189" i="80"/>
  <c r="AH113" i="83"/>
  <c r="AH123" i="80"/>
  <c r="Q33" i="41"/>
  <c r="Q188" i="80"/>
  <c r="T125" i="22"/>
  <c r="O232" i="31"/>
  <c r="L38" i="80" s="1"/>
  <c r="Q232" i="31"/>
  <c r="L40" i="80" s="1"/>
  <c r="R232" i="31"/>
  <c r="L41" i="80" s="1"/>
  <c r="K232" i="31"/>
  <c r="L34" i="80" s="1"/>
  <c r="L33" i="41"/>
  <c r="L188" i="80"/>
  <c r="AH90" i="83"/>
  <c r="AH78" i="80"/>
  <c r="K297" i="31"/>
  <c r="R297" i="31"/>
  <c r="S297" i="31"/>
  <c r="O297" i="31"/>
  <c r="Q261" i="31"/>
  <c r="AO40" i="80" s="1"/>
  <c r="R261" i="31"/>
  <c r="AO41" i="80" s="1"/>
  <c r="N261" i="31"/>
  <c r="AO37" i="80" s="1"/>
  <c r="M297" i="31"/>
  <c r="S261" i="31"/>
  <c r="AO42" i="80" s="1"/>
  <c r="Q297" i="31"/>
  <c r="M261" i="31"/>
  <c r="AO36" i="80" s="1"/>
  <c r="J261" i="31"/>
  <c r="L297" i="31"/>
  <c r="N297" i="31"/>
  <c r="L261" i="31"/>
  <c r="AO35" i="80" s="1"/>
  <c r="K261" i="31"/>
  <c r="AO34" i="80" s="1"/>
  <c r="O261" i="31"/>
  <c r="AO38" i="80" s="1"/>
  <c r="J297" i="31"/>
  <c r="P297" i="31"/>
  <c r="P261" i="31"/>
  <c r="AO39" i="80" s="1"/>
  <c r="Q103" i="22"/>
  <c r="N16" i="111"/>
  <c r="N18" i="74"/>
  <c r="N32" i="41"/>
  <c r="L136" i="22"/>
  <c r="L35" i="41" s="1"/>
  <c r="M34" i="41"/>
  <c r="M189" i="80"/>
  <c r="M20" i="74"/>
  <c r="AI83" i="83"/>
  <c r="AI71" i="80"/>
  <c r="AH83" i="83"/>
  <c r="AH71" i="80"/>
  <c r="L103" i="22"/>
  <c r="P244" i="31"/>
  <c r="X39" i="80" s="1"/>
  <c r="O244" i="31"/>
  <c r="X38" i="80" s="1"/>
  <c r="J244" i="31"/>
  <c r="Q244" i="31"/>
  <c r="X40" i="80" s="1"/>
  <c r="K244" i="31"/>
  <c r="X34" i="80" s="1"/>
  <c r="M244" i="31"/>
  <c r="X36" i="80" s="1"/>
  <c r="S244" i="31"/>
  <c r="X42" i="80" s="1"/>
  <c r="N244" i="31"/>
  <c r="X37" i="80" s="1"/>
  <c r="R244" i="31"/>
  <c r="X41" i="80" s="1"/>
  <c r="L244" i="31"/>
  <c r="X35" i="80" s="1"/>
  <c r="AM315" i="53"/>
  <c r="AM531" i="53" s="1"/>
  <c r="AH101" i="83"/>
  <c r="AH100" i="80"/>
  <c r="N241" i="83"/>
  <c r="N268" i="83" s="1"/>
  <c r="N30" i="41"/>
  <c r="N77" i="41" s="1"/>
  <c r="AU97" i="41" s="1"/>
  <c r="N37" i="53"/>
  <c r="N57" i="80"/>
  <c r="AK294" i="53"/>
  <c r="AK510" i="53" s="1"/>
  <c r="AK305" i="53"/>
  <c r="AK521" i="53" s="1"/>
  <c r="AK316" i="53"/>
  <c r="AK532" i="53" s="1"/>
  <c r="AK317" i="53"/>
  <c r="AK533" i="53" s="1"/>
  <c r="AK295" i="53"/>
  <c r="AK511" i="53" s="1"/>
  <c r="AK296" i="53"/>
  <c r="AK512" i="53" s="1"/>
  <c r="AK306" i="53"/>
  <c r="AK522" i="53" s="1"/>
  <c r="AK320" i="53"/>
  <c r="AK536" i="53" s="1"/>
  <c r="W188" i="80"/>
  <c r="W33" i="41"/>
  <c r="S136" i="22"/>
  <c r="S35" i="41" s="1"/>
  <c r="AK323" i="53"/>
  <c r="AK539" i="53" s="1"/>
  <c r="AK309" i="53"/>
  <c r="AK525" i="53" s="1"/>
  <c r="AH110" i="83"/>
  <c r="AH120" i="80"/>
  <c r="AM296" i="53"/>
  <c r="AM512" i="53" s="1"/>
  <c r="J66" i="22"/>
  <c r="T241" i="83"/>
  <c r="P287" i="31"/>
  <c r="J287" i="31"/>
  <c r="S287" i="31"/>
  <c r="N251" i="31"/>
  <c r="AE37" i="80" s="1"/>
  <c r="O287" i="31"/>
  <c r="M251" i="31"/>
  <c r="AE36" i="80" s="1"/>
  <c r="K287" i="31"/>
  <c r="O251" i="31"/>
  <c r="AE38" i="80" s="1"/>
  <c r="J251" i="31"/>
  <c r="Q287" i="31"/>
  <c r="P251" i="31"/>
  <c r="AE39" i="80" s="1"/>
  <c r="L287" i="31"/>
  <c r="K251" i="31"/>
  <c r="AE34" i="80" s="1"/>
  <c r="M287" i="31"/>
  <c r="Q251" i="31"/>
  <c r="AE40" i="80" s="1"/>
  <c r="S251" i="31"/>
  <c r="AE42" i="80" s="1"/>
  <c r="R251" i="31"/>
  <c r="AE41" i="80" s="1"/>
  <c r="R287" i="31"/>
  <c r="N287" i="31"/>
  <c r="L251" i="31"/>
  <c r="AE35" i="80" s="1"/>
  <c r="AG312" i="53"/>
  <c r="AG528" i="53" s="1"/>
  <c r="L246" i="31"/>
  <c r="Z35" i="80" s="1"/>
  <c r="O246" i="31"/>
  <c r="Z38" i="80" s="1"/>
  <c r="J246" i="31"/>
  <c r="Q246" i="31"/>
  <c r="Z40" i="80" s="1"/>
  <c r="K246" i="31"/>
  <c r="Z34" i="80" s="1"/>
  <c r="M246" i="31"/>
  <c r="Z36" i="80" s="1"/>
  <c r="S246" i="31"/>
  <c r="Z42" i="80" s="1"/>
  <c r="N246" i="31"/>
  <c r="Z37" i="80" s="1"/>
  <c r="R246" i="31"/>
  <c r="Z41" i="80" s="1"/>
  <c r="P246" i="31"/>
  <c r="Z39" i="80" s="1"/>
  <c r="AI301" i="53"/>
  <c r="AI517" i="53" s="1"/>
  <c r="S240" i="31"/>
  <c r="T42" i="80" s="1"/>
  <c r="J240" i="31"/>
  <c r="O240" i="31"/>
  <c r="T38" i="80" s="1"/>
  <c r="Q240" i="31"/>
  <c r="T40" i="80" s="1"/>
  <c r="K240" i="31"/>
  <c r="T34" i="80" s="1"/>
  <c r="M240" i="31"/>
  <c r="T36" i="80" s="1"/>
  <c r="N240" i="31"/>
  <c r="T37" i="80" s="1"/>
  <c r="L240" i="31"/>
  <c r="T35" i="80" s="1"/>
  <c r="R240" i="31"/>
  <c r="T41" i="80" s="1"/>
  <c r="P240" i="31"/>
  <c r="T39" i="80" s="1"/>
  <c r="M237" i="31"/>
  <c r="Q36" i="80" s="1"/>
  <c r="O237" i="31"/>
  <c r="Q38" i="80" s="1"/>
  <c r="P237" i="31"/>
  <c r="Q39" i="80" s="1"/>
  <c r="K237" i="31"/>
  <c r="Q34" i="80" s="1"/>
  <c r="L237" i="31"/>
  <c r="Q35" i="80" s="1"/>
  <c r="N237" i="31"/>
  <c r="Q37" i="80" s="1"/>
  <c r="R237" i="31"/>
  <c r="Q41" i="80" s="1"/>
  <c r="Q237" i="31"/>
  <c r="Q40" i="80" s="1"/>
  <c r="S237" i="31"/>
  <c r="Q42" i="80" s="1"/>
  <c r="J237" i="31"/>
  <c r="Y57" i="80"/>
  <c r="Y30" i="41"/>
  <c r="Y37" i="53"/>
  <c r="AH84" i="83"/>
  <c r="AH72" i="80"/>
  <c r="AK321" i="53"/>
  <c r="AK537" i="53" s="1"/>
  <c r="Z30" i="41" l="1"/>
  <c r="Z77" i="41" s="1"/>
  <c r="BG97" i="41" s="1"/>
  <c r="Z92" i="22"/>
  <c r="Z17" i="111" s="1"/>
  <c r="Z29" i="111" s="1"/>
  <c r="P34" i="41"/>
  <c r="P30" i="41"/>
  <c r="AG77" i="80"/>
  <c r="R191" i="80"/>
  <c r="R192" i="80" s="1"/>
  <c r="T188" i="80"/>
  <c r="K191" i="80"/>
  <c r="K192" i="80" s="1"/>
  <c r="K202" i="80" s="1"/>
  <c r="P92" i="22"/>
  <c r="P17" i="111" s="1"/>
  <c r="O92" i="22"/>
  <c r="O17" i="111" s="1"/>
  <c r="P37" i="53"/>
  <c r="AI74" i="80"/>
  <c r="M243" i="83"/>
  <c r="W189" i="80"/>
  <c r="AP315" i="53"/>
  <c r="AP531" i="53" s="1"/>
  <c r="AP316" i="53"/>
  <c r="AP532" i="53" s="1"/>
  <c r="AP294" i="53"/>
  <c r="AP510" i="53" s="1"/>
  <c r="AP293" i="53"/>
  <c r="AP509" i="53" s="1"/>
  <c r="AP304" i="53"/>
  <c r="AP520" i="53" s="1"/>
  <c r="AP307" i="53"/>
  <c r="AP523" i="53" s="1"/>
  <c r="AP295" i="53"/>
  <c r="AP511" i="53" s="1"/>
  <c r="AP299" i="53"/>
  <c r="AP515" i="53" s="1"/>
  <c r="AP297" i="53"/>
  <c r="AP513" i="53" s="1"/>
  <c r="AP311" i="53"/>
  <c r="AP527" i="53" s="1"/>
  <c r="AP318" i="53"/>
  <c r="AP534" i="53" s="1"/>
  <c r="AP298" i="53"/>
  <c r="AP514" i="53" s="1"/>
  <c r="AP306" i="53"/>
  <c r="AP522" i="53" s="1"/>
  <c r="AP309" i="53"/>
  <c r="AP525" i="53" s="1"/>
  <c r="AP320" i="53"/>
  <c r="AP536" i="53" s="1"/>
  <c r="AP321" i="53"/>
  <c r="AP537" i="53" s="1"/>
  <c r="AP319" i="53"/>
  <c r="AP535" i="53" s="1"/>
  <c r="AP323" i="53"/>
  <c r="AP539" i="53" s="1"/>
  <c r="AP312" i="53"/>
  <c r="AP528" i="53" s="1"/>
  <c r="AP308" i="53"/>
  <c r="AP524" i="53" s="1"/>
  <c r="AP300" i="53"/>
  <c r="AP516" i="53" s="1"/>
  <c r="AP296" i="53"/>
  <c r="AP512" i="53" s="1"/>
  <c r="AP317" i="53"/>
  <c r="AP533" i="53" s="1"/>
  <c r="AP310" i="53"/>
  <c r="AP526" i="53" s="1"/>
  <c r="AP305" i="53"/>
  <c r="AP521" i="53" s="1"/>
  <c r="AP322" i="53"/>
  <c r="AP538" i="53" s="1"/>
  <c r="AP301" i="53"/>
  <c r="AP517" i="53" s="1"/>
  <c r="O30" i="41"/>
  <c r="O77" i="41" s="1"/>
  <c r="AV97" i="41" s="1"/>
  <c r="AC93" i="83"/>
  <c r="AG122" i="80"/>
  <c r="AG134" i="80" s="1"/>
  <c r="Q38" i="53"/>
  <c r="M270" i="83"/>
  <c r="Z59" i="80"/>
  <c r="Z200" i="80" s="1"/>
  <c r="Z20" i="74" s="1"/>
  <c r="J232" i="31"/>
  <c r="P232" i="31"/>
  <c r="L39" i="80" s="1"/>
  <c r="S232" i="31"/>
  <c r="L42" i="80" s="1"/>
  <c r="M232" i="31"/>
  <c r="L36" i="80" s="1"/>
  <c r="N232" i="31"/>
  <c r="L37" i="80" s="1"/>
  <c r="Z47" i="53"/>
  <c r="Z39" i="53"/>
  <c r="Z46" i="53"/>
  <c r="Z48" i="53"/>
  <c r="T37" i="53"/>
  <c r="T55" i="53" s="1"/>
  <c r="T30" i="41"/>
  <c r="T77" i="41" s="1"/>
  <c r="BA97" i="41" s="1"/>
  <c r="AK110" i="83"/>
  <c r="AA191" i="80"/>
  <c r="AA192" i="80" s="1"/>
  <c r="X191" i="80"/>
  <c r="X192" i="80" s="1"/>
  <c r="J38" i="53"/>
  <c r="Z191" i="80"/>
  <c r="Z192" i="80" s="1"/>
  <c r="Z202" i="80" s="1"/>
  <c r="J31" i="41"/>
  <c r="J78" i="41" s="1"/>
  <c r="BX97" i="41" s="1"/>
  <c r="Z55" i="53"/>
  <c r="Z57" i="53"/>
  <c r="Z56" i="53"/>
  <c r="Z66" i="53"/>
  <c r="Z64" i="53"/>
  <c r="Z65" i="53"/>
  <c r="M191" i="80"/>
  <c r="M192" i="80" s="1"/>
  <c r="Q58" i="80"/>
  <c r="K56" i="53"/>
  <c r="K57" i="53"/>
  <c r="K55" i="53"/>
  <c r="K70" i="53" s="1"/>
  <c r="K88" i="53" s="1"/>
  <c r="K90" i="53" s="1"/>
  <c r="K120" i="53" s="1"/>
  <c r="K122" i="53" s="1"/>
  <c r="K346" i="53" s="1"/>
  <c r="K357" i="53" s="1"/>
  <c r="W191" i="80"/>
  <c r="W192" i="80" s="1"/>
  <c r="M74" i="53"/>
  <c r="M247" i="83" s="1"/>
  <c r="Z28" i="111"/>
  <c r="Z34" i="111" s="1"/>
  <c r="Z27" i="111"/>
  <c r="Z33" i="111" s="1"/>
  <c r="P191" i="80"/>
  <c r="P192" i="80" s="1"/>
  <c r="K72" i="53"/>
  <c r="AF320" i="53"/>
  <c r="AF536" i="53" s="1"/>
  <c r="AF318" i="53"/>
  <c r="AF534" i="53" s="1"/>
  <c r="AF293" i="53"/>
  <c r="AF509" i="53" s="1"/>
  <c r="AF299" i="53"/>
  <c r="AF515" i="53" s="1"/>
  <c r="AF300" i="53"/>
  <c r="AF516" i="53" s="1"/>
  <c r="AF301" i="53"/>
  <c r="AF517" i="53" s="1"/>
  <c r="AF306" i="53"/>
  <c r="AF522" i="53" s="1"/>
  <c r="AF315" i="53"/>
  <c r="AF531" i="53" s="1"/>
  <c r="AF307" i="53"/>
  <c r="AF523" i="53" s="1"/>
  <c r="AF319" i="53"/>
  <c r="AF535" i="53" s="1"/>
  <c r="AF312" i="53"/>
  <c r="AF528" i="53" s="1"/>
  <c r="AF304" i="53"/>
  <c r="AF520" i="53" s="1"/>
  <c r="AF297" i="53"/>
  <c r="AF513" i="53" s="1"/>
  <c r="AF298" i="53"/>
  <c r="AF514" i="53" s="1"/>
  <c r="AF323" i="53"/>
  <c r="AF539" i="53" s="1"/>
  <c r="AF295" i="53"/>
  <c r="AF511" i="53" s="1"/>
  <c r="AF308" i="53"/>
  <c r="AF524" i="53" s="1"/>
  <c r="AF294" i="53"/>
  <c r="AF510" i="53" s="1"/>
  <c r="AF316" i="53"/>
  <c r="AF532" i="53" s="1"/>
  <c r="AF317" i="53"/>
  <c r="AF533" i="53" s="1"/>
  <c r="AF321" i="53"/>
  <c r="AF537" i="53" s="1"/>
  <c r="AF311" i="53"/>
  <c r="AF527" i="53" s="1"/>
  <c r="AF296" i="53"/>
  <c r="AF512" i="53" s="1"/>
  <c r="AF322" i="53"/>
  <c r="AF538" i="53" s="1"/>
  <c r="AF305" i="53"/>
  <c r="AF521" i="53" s="1"/>
  <c r="AF310" i="53"/>
  <c r="AF526" i="53" s="1"/>
  <c r="AF309" i="53"/>
  <c r="AF525" i="53" s="1"/>
  <c r="K71" i="53"/>
  <c r="AN206" i="80"/>
  <c r="AD206" i="80"/>
  <c r="AK97" i="80"/>
  <c r="AK109" i="80" s="1"/>
  <c r="AK89" i="83"/>
  <c r="AG123" i="80"/>
  <c r="AG135" i="80" s="1"/>
  <c r="K74" i="53"/>
  <c r="K247" i="83" s="1"/>
  <c r="K75" i="53"/>
  <c r="K248" i="83" s="1"/>
  <c r="K73" i="53"/>
  <c r="K246" i="83" s="1"/>
  <c r="AG109" i="83"/>
  <c r="AM87" i="83"/>
  <c r="AM88" i="83"/>
  <c r="AI84" i="83"/>
  <c r="AC122" i="80"/>
  <c r="AC94" i="83"/>
  <c r="AC81" i="83"/>
  <c r="AC70" i="80"/>
  <c r="AC82" i="83"/>
  <c r="AC101" i="80"/>
  <c r="AC113" i="80" s="1"/>
  <c r="J92" i="22"/>
  <c r="J17" i="111" s="1"/>
  <c r="AC74" i="80"/>
  <c r="AC86" i="83"/>
  <c r="AC73" i="80"/>
  <c r="AC85" i="80" s="1"/>
  <c r="AC75" i="80"/>
  <c r="AC87" i="80" s="1"/>
  <c r="AC87" i="83"/>
  <c r="AC88" i="83"/>
  <c r="AC76" i="80"/>
  <c r="AC88" i="80" s="1"/>
  <c r="AC100" i="80"/>
  <c r="AC101" i="83"/>
  <c r="AC90" i="83"/>
  <c r="AC78" i="80"/>
  <c r="AC90" i="80" s="1"/>
  <c r="AC72" i="80"/>
  <c r="AC84" i="80" s="1"/>
  <c r="AC84" i="83"/>
  <c r="AC99" i="80"/>
  <c r="AC111" i="80" s="1"/>
  <c r="AC100" i="83"/>
  <c r="AG70" i="80"/>
  <c r="AG82" i="80" s="1"/>
  <c r="AC116" i="80"/>
  <c r="AC128" i="80" s="1"/>
  <c r="AC106" i="83"/>
  <c r="AC105" i="83"/>
  <c r="AG82" i="83"/>
  <c r="AC89" i="83"/>
  <c r="AC77" i="80"/>
  <c r="AC89" i="80" s="1"/>
  <c r="AC99" i="83"/>
  <c r="AC98" i="80"/>
  <c r="AC124" i="80"/>
  <c r="AC136" i="80" s="1"/>
  <c r="AC114" i="83"/>
  <c r="AC120" i="80"/>
  <c r="AC132" i="80" s="1"/>
  <c r="AC110" i="83"/>
  <c r="AL294" i="53"/>
  <c r="AL510" i="53" s="1"/>
  <c r="AL317" i="53"/>
  <c r="AL533" i="53" s="1"/>
  <c r="AL308" i="53"/>
  <c r="AL524" i="53" s="1"/>
  <c r="AL305" i="53"/>
  <c r="AL521" i="53" s="1"/>
  <c r="AL316" i="53"/>
  <c r="AL532" i="53" s="1"/>
  <c r="AL297" i="53"/>
  <c r="AL513" i="53" s="1"/>
  <c r="AL309" i="53"/>
  <c r="AL525" i="53" s="1"/>
  <c r="AL296" i="53"/>
  <c r="AL512" i="53" s="1"/>
  <c r="AL306" i="53"/>
  <c r="AL522" i="53" s="1"/>
  <c r="AL318" i="53"/>
  <c r="AL534" i="53" s="1"/>
  <c r="AL319" i="53"/>
  <c r="AL535" i="53" s="1"/>
  <c r="AL320" i="53"/>
  <c r="AL536" i="53" s="1"/>
  <c r="AL295" i="53"/>
  <c r="AL511" i="53" s="1"/>
  <c r="AL307" i="53"/>
  <c r="AL523" i="53" s="1"/>
  <c r="AL298" i="53"/>
  <c r="AL514" i="53" s="1"/>
  <c r="AL301" i="53"/>
  <c r="AL517" i="53" s="1"/>
  <c r="AL300" i="53"/>
  <c r="AL516" i="53" s="1"/>
  <c r="AL310" i="53"/>
  <c r="AL526" i="53" s="1"/>
  <c r="AL321" i="53"/>
  <c r="AL537" i="53" s="1"/>
  <c r="AL311" i="53"/>
  <c r="AL527" i="53" s="1"/>
  <c r="AL304" i="53"/>
  <c r="AL520" i="53" s="1"/>
  <c r="AL315" i="53"/>
  <c r="AL531" i="53" s="1"/>
  <c r="AL323" i="53"/>
  <c r="AL539" i="53" s="1"/>
  <c r="AL293" i="53"/>
  <c r="AL509" i="53" s="1"/>
  <c r="AL299" i="53"/>
  <c r="AL515" i="53" s="1"/>
  <c r="AL322" i="53"/>
  <c r="AL538" i="53" s="1"/>
  <c r="AL312" i="53"/>
  <c r="AL528" i="53" s="1"/>
  <c r="S32" i="41"/>
  <c r="AG88" i="83"/>
  <c r="S18" i="74"/>
  <c r="AB191" i="80"/>
  <c r="AB192" i="80" s="1"/>
  <c r="AO298" i="53"/>
  <c r="AO514" i="53" s="1"/>
  <c r="AO308" i="53"/>
  <c r="AO524" i="53" s="1"/>
  <c r="AO309" i="53"/>
  <c r="AO525" i="53" s="1"/>
  <c r="AO320" i="53"/>
  <c r="AO536" i="53" s="1"/>
  <c r="AO305" i="53"/>
  <c r="AO521" i="53" s="1"/>
  <c r="AO294" i="53"/>
  <c r="AO510" i="53" s="1"/>
  <c r="AO304" i="53"/>
  <c r="AO520" i="53" s="1"/>
  <c r="AO316" i="53"/>
  <c r="AO532" i="53" s="1"/>
  <c r="AO306" i="53"/>
  <c r="AO522" i="53" s="1"/>
  <c r="AO295" i="53"/>
  <c r="AO511" i="53" s="1"/>
  <c r="AO317" i="53"/>
  <c r="AO533" i="53" s="1"/>
  <c r="AO297" i="53"/>
  <c r="AO513" i="53" s="1"/>
  <c r="AO301" i="53"/>
  <c r="AO517" i="53" s="1"/>
  <c r="AO319" i="53"/>
  <c r="AO535" i="53" s="1"/>
  <c r="AO311" i="53"/>
  <c r="AO527" i="53" s="1"/>
  <c r="AO310" i="53"/>
  <c r="AO526" i="53" s="1"/>
  <c r="AO318" i="53"/>
  <c r="AO534" i="53" s="1"/>
  <c r="AO293" i="53"/>
  <c r="AO509" i="53" s="1"/>
  <c r="AO321" i="53"/>
  <c r="AO537" i="53" s="1"/>
  <c r="AO307" i="53"/>
  <c r="AO523" i="53" s="1"/>
  <c r="AO323" i="53"/>
  <c r="AO539" i="53" s="1"/>
  <c r="AO322" i="53"/>
  <c r="AO538" i="53" s="1"/>
  <c r="AO300" i="53"/>
  <c r="AO516" i="53" s="1"/>
  <c r="AO296" i="53"/>
  <c r="AO512" i="53" s="1"/>
  <c r="AO312" i="53"/>
  <c r="AO528" i="53" s="1"/>
  <c r="AO315" i="53"/>
  <c r="AO531" i="53" s="1"/>
  <c r="AO299" i="53"/>
  <c r="AO515" i="53" s="1"/>
  <c r="AM123" i="80"/>
  <c r="AN306" i="53"/>
  <c r="AN522" i="53" s="1"/>
  <c r="AN317" i="53"/>
  <c r="AN533" i="53" s="1"/>
  <c r="AN305" i="53"/>
  <c r="AN521" i="53" s="1"/>
  <c r="AN307" i="53"/>
  <c r="AN523" i="53" s="1"/>
  <c r="AN318" i="53"/>
  <c r="AN534" i="53" s="1"/>
  <c r="AN321" i="53"/>
  <c r="AN537" i="53" s="1"/>
  <c r="AN309" i="53"/>
  <c r="AN525" i="53" s="1"/>
  <c r="AN315" i="53"/>
  <c r="AN531" i="53" s="1"/>
  <c r="AN316" i="53"/>
  <c r="AN532" i="53" s="1"/>
  <c r="AN308" i="53"/>
  <c r="AN524" i="53" s="1"/>
  <c r="AN293" i="53"/>
  <c r="AN509" i="53" s="1"/>
  <c r="AN299" i="53"/>
  <c r="AN515" i="53" s="1"/>
  <c r="AN294" i="53"/>
  <c r="AN510" i="53" s="1"/>
  <c r="AN295" i="53"/>
  <c r="AN511" i="53" s="1"/>
  <c r="AN296" i="53"/>
  <c r="AN512" i="53" s="1"/>
  <c r="AN310" i="53"/>
  <c r="AN526" i="53" s="1"/>
  <c r="AN300" i="53"/>
  <c r="AN516" i="53" s="1"/>
  <c r="AN298" i="53"/>
  <c r="AN514" i="53" s="1"/>
  <c r="AN311" i="53"/>
  <c r="AN527" i="53" s="1"/>
  <c r="AN304" i="53"/>
  <c r="AN520" i="53" s="1"/>
  <c r="AN323" i="53"/>
  <c r="AN539" i="53" s="1"/>
  <c r="AN301" i="53"/>
  <c r="AN517" i="53" s="1"/>
  <c r="AN320" i="53"/>
  <c r="AN536" i="53" s="1"/>
  <c r="AN312" i="53"/>
  <c r="AN528" i="53" s="1"/>
  <c r="AN322" i="53"/>
  <c r="AN538" i="53" s="1"/>
  <c r="AN319" i="53"/>
  <c r="AN535" i="53" s="1"/>
  <c r="AN297" i="53"/>
  <c r="AN513" i="53" s="1"/>
  <c r="AK113" i="83"/>
  <c r="AC83" i="83"/>
  <c r="AC71" i="80"/>
  <c r="AC83" i="80" s="1"/>
  <c r="AJ322" i="53"/>
  <c r="AJ538" i="53" s="1"/>
  <c r="AJ297" i="53"/>
  <c r="AJ513" i="53" s="1"/>
  <c r="AJ300" i="53"/>
  <c r="AJ516" i="53" s="1"/>
  <c r="AJ318" i="53"/>
  <c r="AJ534" i="53" s="1"/>
  <c r="AJ307" i="53"/>
  <c r="AJ523" i="53" s="1"/>
  <c r="AJ295" i="53"/>
  <c r="AJ511" i="53" s="1"/>
  <c r="AJ299" i="53"/>
  <c r="AJ515" i="53" s="1"/>
  <c r="AJ310" i="53"/>
  <c r="AJ526" i="53" s="1"/>
  <c r="AJ306" i="53"/>
  <c r="AJ522" i="53" s="1"/>
  <c r="AJ317" i="53"/>
  <c r="AJ533" i="53" s="1"/>
  <c r="AJ309" i="53"/>
  <c r="AJ525" i="53" s="1"/>
  <c r="AJ323" i="53"/>
  <c r="AJ539" i="53" s="1"/>
  <c r="AJ293" i="53"/>
  <c r="AJ509" i="53" s="1"/>
  <c r="AJ296" i="53"/>
  <c r="AJ512" i="53" s="1"/>
  <c r="AJ304" i="53"/>
  <c r="AJ520" i="53" s="1"/>
  <c r="AJ298" i="53"/>
  <c r="AJ514" i="53" s="1"/>
  <c r="AJ319" i="53"/>
  <c r="AJ535" i="53" s="1"/>
  <c r="AJ294" i="53"/>
  <c r="AJ510" i="53" s="1"/>
  <c r="AJ315" i="53"/>
  <c r="AJ531" i="53" s="1"/>
  <c r="AJ321" i="53"/>
  <c r="AJ537" i="53" s="1"/>
  <c r="AJ316" i="53"/>
  <c r="AJ532" i="53" s="1"/>
  <c r="AJ311" i="53"/>
  <c r="AJ527" i="53" s="1"/>
  <c r="AJ301" i="53"/>
  <c r="AJ517" i="53" s="1"/>
  <c r="AJ305" i="53"/>
  <c r="AJ521" i="53" s="1"/>
  <c r="AJ308" i="53"/>
  <c r="AJ524" i="53" s="1"/>
  <c r="AJ320" i="53"/>
  <c r="AJ536" i="53" s="1"/>
  <c r="AJ312" i="53"/>
  <c r="AJ528" i="53" s="1"/>
  <c r="AK100" i="83"/>
  <c r="AC107" i="83"/>
  <c r="AC117" i="80"/>
  <c r="AC129" i="80" s="1"/>
  <c r="AC108" i="83"/>
  <c r="AC118" i="80"/>
  <c r="AC130" i="80" s="1"/>
  <c r="AC98" i="83"/>
  <c r="AC97" i="80"/>
  <c r="AC109" i="80" s="1"/>
  <c r="AC94" i="80"/>
  <c r="AC106" i="80" s="1"/>
  <c r="AC95" i="83"/>
  <c r="AC96" i="83"/>
  <c r="AC95" i="80"/>
  <c r="AC107" i="80" s="1"/>
  <c r="AC109" i="83"/>
  <c r="AC119" i="80"/>
  <c r="AC131" i="80" s="1"/>
  <c r="O191" i="80"/>
  <c r="O192" i="80" s="1"/>
  <c r="O253" i="80" s="1"/>
  <c r="AC96" i="80"/>
  <c r="AC108" i="80" s="1"/>
  <c r="AC97" i="83"/>
  <c r="AM100" i="80"/>
  <c r="AM112" i="80" s="1"/>
  <c r="AG99" i="80"/>
  <c r="AG111" i="80" s="1"/>
  <c r="AM83" i="83"/>
  <c r="AM110" i="83"/>
  <c r="AM102" i="83"/>
  <c r="AI70" i="80"/>
  <c r="AI82" i="80" s="1"/>
  <c r="AM74" i="80"/>
  <c r="AM86" i="80" s="1"/>
  <c r="AI82" i="83"/>
  <c r="R21" i="31"/>
  <c r="R23" i="31" s="1"/>
  <c r="S20" i="31"/>
  <c r="S21" i="31" s="1"/>
  <c r="S23" i="31" s="1"/>
  <c r="AI73" i="80"/>
  <c r="AI85" i="80" s="1"/>
  <c r="AI89" i="83"/>
  <c r="AM77" i="80"/>
  <c r="AM89" i="80" s="1"/>
  <c r="AK116" i="80"/>
  <c r="AK105" i="83"/>
  <c r="AK101" i="83"/>
  <c r="AG110" i="83"/>
  <c r="AK75" i="80"/>
  <c r="AK87" i="80" s="1"/>
  <c r="AK97" i="83"/>
  <c r="AG72" i="80"/>
  <c r="AG84" i="80" s="1"/>
  <c r="AG96" i="83"/>
  <c r="AK86" i="83"/>
  <c r="AK109" i="83"/>
  <c r="AG97" i="80"/>
  <c r="AG109" i="80" s="1"/>
  <c r="AI112" i="83"/>
  <c r="AG74" i="80"/>
  <c r="AG86" i="80" s="1"/>
  <c r="AK101" i="80"/>
  <c r="AK113" i="80" s="1"/>
  <c r="AK78" i="80"/>
  <c r="AK90" i="80" s="1"/>
  <c r="AK70" i="80"/>
  <c r="AK82" i="80" s="1"/>
  <c r="AK81" i="83"/>
  <c r="AB27" i="111"/>
  <c r="AB33" i="111" s="1"/>
  <c r="AB28" i="111"/>
  <c r="AB34" i="111" s="1"/>
  <c r="AG108" i="83"/>
  <c r="AG118" i="80"/>
  <c r="AG130" i="80" s="1"/>
  <c r="T242" i="83"/>
  <c r="T58" i="80"/>
  <c r="T31" i="41"/>
  <c r="T78" i="41" s="1"/>
  <c r="CH97" i="41" s="1"/>
  <c r="T38" i="53"/>
  <c r="T92" i="22"/>
  <c r="T17" i="111" s="1"/>
  <c r="J18" i="74"/>
  <c r="J32" i="41"/>
  <c r="J16" i="111"/>
  <c r="AC134" i="80"/>
  <c r="AH132" i="80"/>
  <c r="AH109" i="80"/>
  <c r="AH86" i="80"/>
  <c r="L16" i="111"/>
  <c r="L18" i="74"/>
  <c r="L32" i="41"/>
  <c r="AO204" i="80"/>
  <c r="AO202" i="80"/>
  <c r="AM111" i="83"/>
  <c r="AM121" i="80"/>
  <c r="AM133" i="80" s="1"/>
  <c r="S57" i="53"/>
  <c r="S56" i="53"/>
  <c r="S55" i="53"/>
  <c r="K249" i="83"/>
  <c r="X27" i="111"/>
  <c r="X33" i="111" s="1"/>
  <c r="X28" i="111"/>
  <c r="X34" i="111" s="1"/>
  <c r="AG93" i="80"/>
  <c r="AG105" i="80" s="1"/>
  <c r="AG93" i="83"/>
  <c r="AG94" i="83"/>
  <c r="W39" i="53"/>
  <c r="W47" i="53"/>
  <c r="W48" i="53"/>
  <c r="W46" i="53"/>
  <c r="AJ204" i="80"/>
  <c r="AJ202" i="80"/>
  <c r="Y77" i="41"/>
  <c r="BF97" i="41" s="1"/>
  <c r="AI100" i="83"/>
  <c r="AI99" i="80"/>
  <c r="AI111" i="80" s="1"/>
  <c r="AA77" i="41"/>
  <c r="BH97" i="41" s="1"/>
  <c r="N56" i="53"/>
  <c r="N55" i="53"/>
  <c r="N57" i="53"/>
  <c r="AK73" i="80"/>
  <c r="AK85" i="80" s="1"/>
  <c r="AK85" i="83"/>
  <c r="Y76" i="41"/>
  <c r="Y97" i="41" s="1"/>
  <c r="O255" i="80"/>
  <c r="O259" i="80"/>
  <c r="AK95" i="80"/>
  <c r="AK107" i="80" s="1"/>
  <c r="AK96" i="83"/>
  <c r="AE204" i="80"/>
  <c r="AE202" i="80"/>
  <c r="T56" i="53"/>
  <c r="N202" i="80"/>
  <c r="Q65" i="53"/>
  <c r="Q66" i="53"/>
  <c r="Q64" i="53"/>
  <c r="AM87" i="80"/>
  <c r="AM110" i="80"/>
  <c r="AA202" i="80"/>
  <c r="Q57" i="80"/>
  <c r="Q59" i="80" s="1"/>
  <c r="Q200" i="80" s="1"/>
  <c r="Q30" i="41"/>
  <c r="Q77" i="41" s="1"/>
  <c r="AX97" i="41" s="1"/>
  <c r="Q37" i="53"/>
  <c r="Q92" i="22"/>
  <c r="Q17" i="111" s="1"/>
  <c r="O57" i="53"/>
  <c r="O55" i="53"/>
  <c r="O56" i="53"/>
  <c r="V59" i="80"/>
  <c r="V200" i="80" s="1"/>
  <c r="X57" i="53"/>
  <c r="X55" i="53"/>
  <c r="X56" i="53"/>
  <c r="X76" i="41"/>
  <c r="X97" i="41" s="1"/>
  <c r="U59" i="80"/>
  <c r="U200" i="80" s="1"/>
  <c r="AI204" i="80"/>
  <c r="AI202" i="80"/>
  <c r="AM112" i="83"/>
  <c r="AM122" i="80"/>
  <c r="AM134" i="80" s="1"/>
  <c r="AI94" i="80"/>
  <c r="AI106" i="80" s="1"/>
  <c r="AI95" i="83"/>
  <c r="AI108" i="83"/>
  <c r="AI118" i="80"/>
  <c r="AI130" i="80" s="1"/>
  <c r="AG132" i="80"/>
  <c r="R59" i="80"/>
  <c r="R200" i="80" s="1"/>
  <c r="Z204" i="80"/>
  <c r="AC86" i="80"/>
  <c r="AC204" i="80"/>
  <c r="AC202" i="80"/>
  <c r="S188" i="80"/>
  <c r="S191" i="80" s="1"/>
  <c r="S192" i="80" s="1"/>
  <c r="S33" i="41"/>
  <c r="P77" i="41"/>
  <c r="AW97" i="41" s="1"/>
  <c r="V28" i="111"/>
  <c r="V34" i="111" s="1"/>
  <c r="V27" i="111"/>
  <c r="V33" i="111" s="1"/>
  <c r="S27" i="111"/>
  <c r="S33" i="111" s="1"/>
  <c r="S28" i="111"/>
  <c r="S34" i="111" s="1"/>
  <c r="AK84" i="83"/>
  <c r="AK72" i="80"/>
  <c r="AK84" i="80" s="1"/>
  <c r="AD315" i="53"/>
  <c r="AD531" i="53" s="1"/>
  <c r="AD294" i="53"/>
  <c r="AD510" i="53" s="1"/>
  <c r="AD318" i="53"/>
  <c r="AD534" i="53" s="1"/>
  <c r="AD306" i="53"/>
  <c r="AD522" i="53" s="1"/>
  <c r="AD293" i="53"/>
  <c r="AD509" i="53" s="1"/>
  <c r="AD296" i="53"/>
  <c r="AD512" i="53" s="1"/>
  <c r="AD316" i="53"/>
  <c r="AD532" i="53" s="1"/>
  <c r="AD295" i="53"/>
  <c r="AD511" i="53" s="1"/>
  <c r="AD310" i="53"/>
  <c r="AD526" i="53" s="1"/>
  <c r="AD298" i="53"/>
  <c r="AD514" i="53" s="1"/>
  <c r="AD305" i="53"/>
  <c r="AD521" i="53" s="1"/>
  <c r="AD307" i="53"/>
  <c r="AD523" i="53" s="1"/>
  <c r="AD321" i="53"/>
  <c r="AD537" i="53" s="1"/>
  <c r="AD299" i="53"/>
  <c r="AD515" i="53" s="1"/>
  <c r="AD309" i="53"/>
  <c r="AD525" i="53" s="1"/>
  <c r="AD317" i="53"/>
  <c r="AD533" i="53" s="1"/>
  <c r="AD304" i="53"/>
  <c r="AD520" i="53" s="1"/>
  <c r="AD320" i="53"/>
  <c r="AD536" i="53" s="1"/>
  <c r="AD312" i="53"/>
  <c r="AD528" i="53" s="1"/>
  <c r="AD301" i="53"/>
  <c r="AD517" i="53" s="1"/>
  <c r="AD322" i="53"/>
  <c r="AD538" i="53" s="1"/>
  <c r="AD300" i="53"/>
  <c r="AD516" i="53" s="1"/>
  <c r="AD323" i="53"/>
  <c r="AD539" i="53" s="1"/>
  <c r="AD308" i="53"/>
  <c r="AD524" i="53" s="1"/>
  <c r="AD319" i="53"/>
  <c r="AD535" i="53" s="1"/>
  <c r="AD297" i="53"/>
  <c r="AD513" i="53" s="1"/>
  <c r="AD311" i="53"/>
  <c r="AD527" i="53" s="1"/>
  <c r="P57" i="53"/>
  <c r="P56" i="53"/>
  <c r="P55" i="53"/>
  <c r="R64" i="53"/>
  <c r="R66" i="53"/>
  <c r="R65" i="53"/>
  <c r="AK86" i="80"/>
  <c r="AK132" i="80"/>
  <c r="AM72" i="80"/>
  <c r="AM84" i="80" s="1"/>
  <c r="AM84" i="83"/>
  <c r="AI123" i="80"/>
  <c r="AI135" i="80" s="1"/>
  <c r="AI113" i="83"/>
  <c r="AI89" i="80"/>
  <c r="W56" i="53"/>
  <c r="W57" i="53"/>
  <c r="W55" i="53"/>
  <c r="V191" i="80"/>
  <c r="V192" i="80" s="1"/>
  <c r="AG107" i="80"/>
  <c r="R77" i="41"/>
  <c r="AY97" i="41" s="1"/>
  <c r="P78" i="41"/>
  <c r="CD97" i="41" s="1"/>
  <c r="AH133" i="80"/>
  <c r="AH87" i="80"/>
  <c r="AH110" i="80"/>
  <c r="R76" i="41"/>
  <c r="R97" i="41" s="1"/>
  <c r="AK114" i="83"/>
  <c r="AK124" i="80"/>
  <c r="AK136" i="80" s="1"/>
  <c r="AK108" i="83"/>
  <c r="AK118" i="80"/>
  <c r="AK130" i="80" s="1"/>
  <c r="W65" i="53"/>
  <c r="W64" i="53"/>
  <c r="W66" i="53"/>
  <c r="S242" i="83"/>
  <c r="S38" i="53"/>
  <c r="S31" i="41"/>
  <c r="S78" i="41" s="1"/>
  <c r="CG97" i="41" s="1"/>
  <c r="S58" i="80"/>
  <c r="S92" i="22"/>
  <c r="S17" i="111" s="1"/>
  <c r="AC112" i="80"/>
  <c r="AC135" i="80"/>
  <c r="N59" i="80"/>
  <c r="N200" i="80" s="1"/>
  <c r="AE305" i="53"/>
  <c r="AE521" i="53" s="1"/>
  <c r="AE306" i="53"/>
  <c r="AE522" i="53" s="1"/>
  <c r="AE316" i="53"/>
  <c r="AE532" i="53" s="1"/>
  <c r="AE323" i="53"/>
  <c r="AE539" i="53" s="1"/>
  <c r="AE317" i="53"/>
  <c r="AE533" i="53" s="1"/>
  <c r="AE312" i="53"/>
  <c r="AE528" i="53" s="1"/>
  <c r="AE311" i="53"/>
  <c r="AE527" i="53" s="1"/>
  <c r="AE304" i="53"/>
  <c r="AE520" i="53" s="1"/>
  <c r="AE310" i="53"/>
  <c r="AE526" i="53" s="1"/>
  <c r="AE299" i="53"/>
  <c r="AE515" i="53" s="1"/>
  <c r="AE295" i="53"/>
  <c r="AE511" i="53" s="1"/>
  <c r="AE301" i="53"/>
  <c r="AE517" i="53" s="1"/>
  <c r="AE300" i="53"/>
  <c r="AE516" i="53" s="1"/>
  <c r="AE322" i="53"/>
  <c r="AE538" i="53" s="1"/>
  <c r="AE293" i="53"/>
  <c r="AE509" i="53" s="1"/>
  <c r="AE294" i="53"/>
  <c r="AE510" i="53" s="1"/>
  <c r="AE319" i="53"/>
  <c r="AE535" i="53" s="1"/>
  <c r="AE307" i="53"/>
  <c r="AE523" i="53" s="1"/>
  <c r="AE298" i="53"/>
  <c r="AE514" i="53" s="1"/>
  <c r="AE297" i="53"/>
  <c r="AE513" i="53" s="1"/>
  <c r="AE318" i="53"/>
  <c r="AE534" i="53" s="1"/>
  <c r="AE296" i="53"/>
  <c r="AE512" i="53" s="1"/>
  <c r="AE308" i="53"/>
  <c r="AE524" i="53" s="1"/>
  <c r="AE320" i="53"/>
  <c r="AE536" i="53" s="1"/>
  <c r="AE321" i="53"/>
  <c r="AE537" i="53" s="1"/>
  <c r="AE309" i="53"/>
  <c r="AE525" i="53" s="1"/>
  <c r="AE315" i="53"/>
  <c r="AE531" i="53" s="1"/>
  <c r="R78" i="41"/>
  <c r="CF97" i="41" s="1"/>
  <c r="AA59" i="80"/>
  <c r="AA200" i="80" s="1"/>
  <c r="AG97" i="83"/>
  <c r="AG96" i="80"/>
  <c r="AG108" i="80" s="1"/>
  <c r="AM124" i="80"/>
  <c r="AM136" i="80" s="1"/>
  <c r="AM114" i="83"/>
  <c r="AM132" i="80"/>
  <c r="X78" i="41"/>
  <c r="CL97" i="41" s="1"/>
  <c r="AG101" i="83"/>
  <c r="AG100" i="80"/>
  <c r="AG112" i="80" s="1"/>
  <c r="AG75" i="80"/>
  <c r="AG87" i="80" s="1"/>
  <c r="AG87" i="83"/>
  <c r="AI84" i="80"/>
  <c r="AI86" i="80"/>
  <c r="AM96" i="83"/>
  <c r="AM95" i="80"/>
  <c r="AM107" i="80" s="1"/>
  <c r="V77" i="41"/>
  <c r="BC97" i="41" s="1"/>
  <c r="AI102" i="83"/>
  <c r="AI101" i="80"/>
  <c r="AI113" i="80" s="1"/>
  <c r="AI107" i="83"/>
  <c r="AI117" i="80"/>
  <c r="AI129" i="80" s="1"/>
  <c r="AG204" i="80"/>
  <c r="AG202" i="80"/>
  <c r="AG206" i="80" s="1"/>
  <c r="AB65" i="53"/>
  <c r="AB64" i="53"/>
  <c r="AB66" i="53"/>
  <c r="AA28" i="111"/>
  <c r="AA34" i="111" s="1"/>
  <c r="AA27" i="111"/>
  <c r="AA33" i="111" s="1"/>
  <c r="AH204" i="80"/>
  <c r="AH136" i="80"/>
  <c r="AH90" i="80"/>
  <c r="AH113" i="80"/>
  <c r="AH202" i="80"/>
  <c r="AH88" i="80"/>
  <c r="AH111" i="80"/>
  <c r="AH134" i="80"/>
  <c r="AB202" i="80"/>
  <c r="AG124" i="80"/>
  <c r="AG136" i="80" s="1"/>
  <c r="AG114" i="83"/>
  <c r="U46" i="53"/>
  <c r="U47" i="53"/>
  <c r="U39" i="53"/>
  <c r="U48" i="53"/>
  <c r="T32" i="41"/>
  <c r="T16" i="111"/>
  <c r="T18" i="74"/>
  <c r="AI93" i="80"/>
  <c r="AI105" i="80" s="1"/>
  <c r="AI93" i="83"/>
  <c r="AI94" i="83"/>
  <c r="AG89" i="80"/>
  <c r="R55" i="53"/>
  <c r="R57" i="53"/>
  <c r="R56" i="53"/>
  <c r="P64" i="53"/>
  <c r="P66" i="53"/>
  <c r="P65" i="53"/>
  <c r="AH128" i="80"/>
  <c r="AH82" i="80"/>
  <c r="AH105" i="80"/>
  <c r="R39" i="53"/>
  <c r="R46" i="53"/>
  <c r="R48" i="53"/>
  <c r="R47" i="53"/>
  <c r="Y59" i="80"/>
  <c r="Y200" i="80" s="1"/>
  <c r="AK98" i="80"/>
  <c r="AK110" i="80" s="1"/>
  <c r="AK99" i="83"/>
  <c r="L36" i="53"/>
  <c r="L29" i="41"/>
  <c r="L76" i="41" s="1"/>
  <c r="L97" i="41" s="1"/>
  <c r="L56" i="80"/>
  <c r="L240" i="83"/>
  <c r="J189" i="80"/>
  <c r="J34" i="41"/>
  <c r="V78" i="41"/>
  <c r="CJ97" i="41" s="1"/>
  <c r="Y78" i="41"/>
  <c r="CM97" i="41" s="1"/>
  <c r="AA76" i="41"/>
  <c r="AA97" i="41" s="1"/>
  <c r="AK89" i="80"/>
  <c r="AK112" i="80"/>
  <c r="AK135" i="80"/>
  <c r="AM88" i="80"/>
  <c r="AG78" i="80"/>
  <c r="AG90" i="80" s="1"/>
  <c r="AG90" i="83"/>
  <c r="AG111" i="83"/>
  <c r="AG121" i="80"/>
  <c r="AG133" i="80" s="1"/>
  <c r="AM98" i="83"/>
  <c r="AM97" i="80"/>
  <c r="AM109" i="80" s="1"/>
  <c r="AI105" i="83"/>
  <c r="AI116" i="80"/>
  <c r="AI128" i="80" s="1"/>
  <c r="AI106" i="83"/>
  <c r="X202" i="80"/>
  <c r="K204" i="80"/>
  <c r="AI90" i="83"/>
  <c r="AI78" i="80"/>
  <c r="AI90" i="80" s="1"/>
  <c r="AK107" i="83"/>
  <c r="AK117" i="80"/>
  <c r="AK129" i="80" s="1"/>
  <c r="N28" i="111"/>
  <c r="N34" i="111" s="1"/>
  <c r="N27" i="111"/>
  <c r="N33" i="111" s="1"/>
  <c r="U77" i="41"/>
  <c r="BB97" i="41" s="1"/>
  <c r="AB76" i="41"/>
  <c r="AB97" i="41" s="1"/>
  <c r="V66" i="53"/>
  <c r="V64" i="53"/>
  <c r="V65" i="53"/>
  <c r="AC133" i="80"/>
  <c r="AC110" i="80"/>
  <c r="Y66" i="53"/>
  <c r="Y64" i="53"/>
  <c r="Y65" i="53"/>
  <c r="Q76" i="41"/>
  <c r="Q97" i="41" s="1"/>
  <c r="N267" i="83"/>
  <c r="N243" i="83"/>
  <c r="AA47" i="53"/>
  <c r="AA39" i="53"/>
  <c r="AA106" i="53" s="1"/>
  <c r="AA107" i="53" s="1"/>
  <c r="AA48" i="53"/>
  <c r="AA46" i="53"/>
  <c r="M75" i="53"/>
  <c r="M248" i="83" s="1"/>
  <c r="AK204" i="80"/>
  <c r="AK202" i="80"/>
  <c r="AB77" i="41"/>
  <c r="BI97" i="41" s="1"/>
  <c r="AP204" i="80"/>
  <c r="AP202" i="80"/>
  <c r="M70" i="53"/>
  <c r="M71" i="53"/>
  <c r="M72" i="53"/>
  <c r="AM82" i="83"/>
  <c r="AM81" i="83"/>
  <c r="AM70" i="80"/>
  <c r="AM82" i="80" s="1"/>
  <c r="AG98" i="80"/>
  <c r="AG110" i="80" s="1"/>
  <c r="AG99" i="83"/>
  <c r="AM94" i="80"/>
  <c r="AM106" i="80" s="1"/>
  <c r="AM95" i="83"/>
  <c r="V55" i="53"/>
  <c r="V56" i="53"/>
  <c r="V57" i="53"/>
  <c r="AI114" i="83"/>
  <c r="AI124" i="80"/>
  <c r="AI136" i="80" s="1"/>
  <c r="AI109" i="83"/>
  <c r="AI119" i="80"/>
  <c r="AI131" i="80" s="1"/>
  <c r="AF204" i="80"/>
  <c r="AF202" i="80"/>
  <c r="O48" i="53"/>
  <c r="O46" i="53"/>
  <c r="O39" i="53"/>
  <c r="O47" i="53"/>
  <c r="AH129" i="80"/>
  <c r="AH106" i="80"/>
  <c r="AH83" i="80"/>
  <c r="AM204" i="80"/>
  <c r="AM113" i="80"/>
  <c r="AM202" i="80"/>
  <c r="AM206" i="80" s="1"/>
  <c r="T56" i="80"/>
  <c r="T240" i="83"/>
  <c r="T29" i="41"/>
  <c r="T76" i="41" s="1"/>
  <c r="T97" i="41" s="1"/>
  <c r="T36" i="53"/>
  <c r="AM96" i="80"/>
  <c r="AM108" i="80" s="1"/>
  <c r="AM97" i="83"/>
  <c r="W77" i="41"/>
  <c r="BD97" i="41" s="1"/>
  <c r="AI111" i="83"/>
  <c r="AI121" i="80"/>
  <c r="AI133" i="80" s="1"/>
  <c r="AG131" i="80"/>
  <c r="AG85" i="80"/>
  <c r="AK122" i="80"/>
  <c r="AK134" i="80" s="1"/>
  <c r="AK112" i="83"/>
  <c r="AK94" i="80"/>
  <c r="AK106" i="80" s="1"/>
  <c r="AK95" i="83"/>
  <c r="AM106" i="83"/>
  <c r="AM116" i="80"/>
  <c r="AM128" i="80" s="1"/>
  <c r="AM105" i="83"/>
  <c r="Q16" i="111"/>
  <c r="Q32" i="41"/>
  <c r="Q18" i="74"/>
  <c r="Q129" i="74" s="1"/>
  <c r="U56" i="53"/>
  <c r="U55" i="53"/>
  <c r="U57" i="53"/>
  <c r="Q48" i="53"/>
  <c r="Q46" i="53"/>
  <c r="Q39" i="53"/>
  <c r="Q47" i="53"/>
  <c r="J33" i="41"/>
  <c r="J188" i="80"/>
  <c r="AK105" i="80"/>
  <c r="AK128" i="80"/>
  <c r="AB55" i="53"/>
  <c r="AB57" i="53"/>
  <c r="AB56" i="53"/>
  <c r="R132" i="74"/>
  <c r="R133" i="74"/>
  <c r="J29" i="41"/>
  <c r="J76" i="41" s="1"/>
  <c r="J97" i="41" s="1"/>
  <c r="J240" i="83"/>
  <c r="J36" i="53"/>
  <c r="J56" i="80"/>
  <c r="W202" i="80"/>
  <c r="AK83" i="83"/>
  <c r="AK71" i="80"/>
  <c r="AK83" i="80" s="1"/>
  <c r="L191" i="80"/>
  <c r="L192" i="80" s="1"/>
  <c r="T34" i="41"/>
  <c r="T189" i="80"/>
  <c r="AB59" i="80"/>
  <c r="AB200" i="80" s="1"/>
  <c r="AC82" i="80"/>
  <c r="AC105" i="80"/>
  <c r="N39" i="53"/>
  <c r="N47" i="53"/>
  <c r="N46" i="53"/>
  <c r="N48" i="53"/>
  <c r="AI87" i="83"/>
  <c r="AI75" i="80"/>
  <c r="AI87" i="80" s="1"/>
  <c r="U191" i="80"/>
  <c r="U192" i="80" s="1"/>
  <c r="AK111" i="80"/>
  <c r="AM83" i="80"/>
  <c r="U65" i="53"/>
  <c r="U66" i="53"/>
  <c r="U64" i="53"/>
  <c r="X48" i="53"/>
  <c r="X46" i="53"/>
  <c r="X47" i="53"/>
  <c r="X39" i="53"/>
  <c r="X106" i="53" s="1"/>
  <c r="X107" i="53" s="1"/>
  <c r="AK76" i="80"/>
  <c r="AK88" i="80" s="1"/>
  <c r="AK88" i="83"/>
  <c r="Y28" i="111"/>
  <c r="Y34" i="111" s="1"/>
  <c r="Y27" i="111"/>
  <c r="Y33" i="111" s="1"/>
  <c r="AG71" i="80"/>
  <c r="AG83" i="80" s="1"/>
  <c r="AG83" i="83"/>
  <c r="AM100" i="83"/>
  <c r="AM99" i="80"/>
  <c r="AM111" i="80" s="1"/>
  <c r="AM108" i="83"/>
  <c r="AM118" i="80"/>
  <c r="AM130" i="80" s="1"/>
  <c r="AI101" i="83"/>
  <c r="AI100" i="80"/>
  <c r="AI112" i="80" s="1"/>
  <c r="AI99" i="83"/>
  <c r="AI98" i="80"/>
  <c r="AI110" i="80" s="1"/>
  <c r="L58" i="80"/>
  <c r="L92" i="22"/>
  <c r="L17" i="111" s="1"/>
  <c r="L242" i="83"/>
  <c r="L269" i="83" s="1"/>
  <c r="L31" i="41"/>
  <c r="L78" i="41" s="1"/>
  <c r="BZ97" i="41" s="1"/>
  <c r="L38" i="53"/>
  <c r="O59" i="80"/>
  <c r="O200" i="80" s="1"/>
  <c r="O20" i="74" s="1"/>
  <c r="J66" i="53"/>
  <c r="J65" i="53"/>
  <c r="J64" i="53"/>
  <c r="W76" i="41"/>
  <c r="W97" i="41" s="1"/>
  <c r="AH108" i="80"/>
  <c r="AH131" i="80"/>
  <c r="AH85" i="80"/>
  <c r="R27" i="111"/>
  <c r="R33" i="111" s="1"/>
  <c r="R28" i="111"/>
  <c r="R34" i="111" s="1"/>
  <c r="W78" i="41"/>
  <c r="CK97" i="41" s="1"/>
  <c r="AB48" i="53"/>
  <c r="AB46" i="53"/>
  <c r="AB39" i="53"/>
  <c r="AB106" i="53" s="1"/>
  <c r="AB107" i="53" s="1"/>
  <c r="AB47" i="53"/>
  <c r="P202" i="80"/>
  <c r="L30" i="41"/>
  <c r="L77" i="41" s="1"/>
  <c r="AS97" i="41" s="1"/>
  <c r="L37" i="53"/>
  <c r="L241" i="83"/>
  <c r="L268" i="83" s="1"/>
  <c r="L57" i="80"/>
  <c r="U78" i="41"/>
  <c r="CI97" i="41" s="1"/>
  <c r="R202" i="80"/>
  <c r="X66" i="53"/>
  <c r="X64" i="53"/>
  <c r="X65" i="53"/>
  <c r="AG117" i="80"/>
  <c r="AG129" i="80" s="1"/>
  <c r="AG107" i="83"/>
  <c r="AI134" i="80"/>
  <c r="AM117" i="80"/>
  <c r="AM129" i="80" s="1"/>
  <c r="AM107" i="83"/>
  <c r="AI97" i="80"/>
  <c r="AI109" i="80" s="1"/>
  <c r="AI98" i="83"/>
  <c r="AI120" i="80"/>
  <c r="AI132" i="80" s="1"/>
  <c r="AI110" i="83"/>
  <c r="AG88" i="80"/>
  <c r="O267" i="83"/>
  <c r="O243" i="83"/>
  <c r="AH112" i="80"/>
  <c r="AH89" i="80"/>
  <c r="AH135" i="80"/>
  <c r="Y55" i="53"/>
  <c r="Y56" i="53"/>
  <c r="Y57" i="53"/>
  <c r="AG102" i="83"/>
  <c r="AG101" i="80"/>
  <c r="AG113" i="80" s="1"/>
  <c r="AM73" i="80"/>
  <c r="AM85" i="80" s="1"/>
  <c r="AM85" i="83"/>
  <c r="AK111" i="83"/>
  <c r="AK121" i="80"/>
  <c r="AK133" i="80" s="1"/>
  <c r="M202" i="80"/>
  <c r="M206" i="80" s="1"/>
  <c r="O64" i="53"/>
  <c r="O66" i="53"/>
  <c r="O65" i="53"/>
  <c r="AG105" i="83"/>
  <c r="AG116" i="80"/>
  <c r="AG128" i="80" s="1"/>
  <c r="AG106" i="83"/>
  <c r="AC93" i="72" a="1"/>
  <c r="J30" i="41"/>
  <c r="J77" i="41" s="1"/>
  <c r="AQ97" i="41" s="1"/>
  <c r="J57" i="80"/>
  <c r="J37" i="53"/>
  <c r="J241" i="83"/>
  <c r="J268" i="83" s="1"/>
  <c r="W28" i="111"/>
  <c r="W34" i="111" s="1"/>
  <c r="W27" i="111"/>
  <c r="W33" i="111" s="1"/>
  <c r="V47" i="53"/>
  <c r="V39" i="53"/>
  <c r="V46" i="53"/>
  <c r="V48" i="53"/>
  <c r="X77" i="41"/>
  <c r="BE97" i="41" s="1"/>
  <c r="S240" i="83"/>
  <c r="S36" i="53"/>
  <c r="S56" i="80"/>
  <c r="S59" i="80" s="1"/>
  <c r="S200" i="80" s="1"/>
  <c r="S29" i="41"/>
  <c r="S76" i="41" s="1"/>
  <c r="S97" i="41" s="1"/>
  <c r="Q78" i="41"/>
  <c r="CE97" i="41" s="1"/>
  <c r="P56" i="80"/>
  <c r="P36" i="53"/>
  <c r="P29" i="41"/>
  <c r="AL204" i="80"/>
  <c r="AL202" i="80"/>
  <c r="U28" i="111"/>
  <c r="U34" i="111" s="1"/>
  <c r="U27" i="111"/>
  <c r="U33" i="111" s="1"/>
  <c r="AK108" i="80"/>
  <c r="AK131" i="80"/>
  <c r="AM135" i="80"/>
  <c r="AM131" i="80"/>
  <c r="AA55" i="53"/>
  <c r="AA56" i="53"/>
  <c r="AA57" i="53"/>
  <c r="N65" i="53"/>
  <c r="N64" i="53"/>
  <c r="N66" i="53"/>
  <c r="X59" i="80"/>
  <c r="X200" i="80" s="1"/>
  <c r="Q34" i="41"/>
  <c r="Q189" i="80"/>
  <c r="Q191" i="80" s="1"/>
  <c r="Q192" i="80" s="1"/>
  <c r="P16" i="111"/>
  <c r="P18" i="74"/>
  <c r="P129" i="74" s="1"/>
  <c r="P32" i="41"/>
  <c r="AI88" i="83"/>
  <c r="AI76" i="80"/>
  <c r="AI88" i="80" s="1"/>
  <c r="AM78" i="80"/>
  <c r="AM90" i="80" s="1"/>
  <c r="AM90" i="83"/>
  <c r="AG94" i="80"/>
  <c r="AG106" i="80" s="1"/>
  <c r="AG95" i="83"/>
  <c r="AI83" i="80"/>
  <c r="AM93" i="80"/>
  <c r="AM105" i="80" s="1"/>
  <c r="AM93" i="83"/>
  <c r="AM94" i="83"/>
  <c r="AI96" i="83"/>
  <c r="AI95" i="80"/>
  <c r="AI107" i="80" s="1"/>
  <c r="AI96" i="80"/>
  <c r="AI108" i="80" s="1"/>
  <c r="AI97" i="83"/>
  <c r="AA64" i="53"/>
  <c r="AA65" i="53"/>
  <c r="AA66" i="53"/>
  <c r="O27" i="111"/>
  <c r="O33" i="111" s="1"/>
  <c r="O28" i="111"/>
  <c r="O34" i="111" s="1"/>
  <c r="Y191" i="80"/>
  <c r="Y192" i="80" s="1"/>
  <c r="T191" i="80"/>
  <c r="T192" i="80" s="1"/>
  <c r="W59" i="80"/>
  <c r="W200" i="80" s="1"/>
  <c r="AH84" i="80"/>
  <c r="AH107" i="80"/>
  <c r="AH130" i="80"/>
  <c r="Y46" i="53"/>
  <c r="Y47" i="53"/>
  <c r="Y48" i="53"/>
  <c r="Y39" i="53"/>
  <c r="Y106" i="53" s="1"/>
  <c r="Y107" i="53" s="1"/>
  <c r="H214" i="80" l="1" a="1"/>
  <c r="K206" i="80"/>
  <c r="Z73" i="53"/>
  <c r="AP120" i="80"/>
  <c r="AP132" i="80" s="1"/>
  <c r="AP110" i="83"/>
  <c r="T57" i="53"/>
  <c r="AP123" i="80"/>
  <c r="AP135" i="80" s="1"/>
  <c r="AP113" i="83"/>
  <c r="AP102" i="83"/>
  <c r="AP101" i="80"/>
  <c r="AP113" i="80" s="1"/>
  <c r="AP75" i="80"/>
  <c r="AP87" i="80" s="1"/>
  <c r="AP87" i="83"/>
  <c r="AP93" i="83"/>
  <c r="AP94" i="83"/>
  <c r="AP93" i="80"/>
  <c r="AP105" i="80" s="1"/>
  <c r="AP95" i="83"/>
  <c r="AP94" i="80"/>
  <c r="AP106" i="80" s="1"/>
  <c r="AP114" i="83"/>
  <c r="AP124" i="80"/>
  <c r="AP136" i="80" s="1"/>
  <c r="AP109" i="83"/>
  <c r="AP119" i="80"/>
  <c r="AP131" i="80" s="1"/>
  <c r="AP145" i="80" s="1"/>
  <c r="AP171" i="80" s="1"/>
  <c r="AP81" i="83"/>
  <c r="AP70" i="80"/>
  <c r="AP82" i="80" s="1"/>
  <c r="AP82" i="83"/>
  <c r="AP100" i="83"/>
  <c r="AP99" i="80"/>
  <c r="AP111" i="80" s="1"/>
  <c r="AP71" i="80"/>
  <c r="AP83" i="80" s="1"/>
  <c r="AP83" i="83"/>
  <c r="AP118" i="80"/>
  <c r="AP130" i="80" s="1"/>
  <c r="AP108" i="83"/>
  <c r="AP112" i="83"/>
  <c r="AP122" i="80"/>
  <c r="AP134" i="80" s="1"/>
  <c r="AP86" i="83"/>
  <c r="AP74" i="80"/>
  <c r="AP86" i="80" s="1"/>
  <c r="AP117" i="80"/>
  <c r="AP129" i="80" s="1"/>
  <c r="AP107" i="83"/>
  <c r="Z75" i="53"/>
  <c r="AP85" i="83"/>
  <c r="AP73" i="80"/>
  <c r="AP85" i="80" s="1"/>
  <c r="AP111" i="83"/>
  <c r="AP121" i="80"/>
  <c r="AP133" i="80" s="1"/>
  <c r="AP88" i="83"/>
  <c r="AP76" i="80"/>
  <c r="AP88" i="80" s="1"/>
  <c r="AP116" i="80"/>
  <c r="AP128" i="80" s="1"/>
  <c r="AP106" i="83"/>
  <c r="AP105" i="83"/>
  <c r="AP101" i="83"/>
  <c r="AP100" i="80"/>
  <c r="AP112" i="80" s="1"/>
  <c r="AP89" i="83"/>
  <c r="AP77" i="80"/>
  <c r="AP89" i="80" s="1"/>
  <c r="AP99" i="83"/>
  <c r="AP98" i="80"/>
  <c r="AP110" i="80" s="1"/>
  <c r="AP84" i="83"/>
  <c r="AP72" i="80"/>
  <c r="AP84" i="80" s="1"/>
  <c r="AP90" i="83"/>
  <c r="AP78" i="80"/>
  <c r="AP90" i="80" s="1"/>
  <c r="AP150" i="80" s="1"/>
  <c r="AP208" i="80" s="1"/>
  <c r="AP97" i="80"/>
  <c r="AP109" i="80" s="1"/>
  <c r="AP98" i="83"/>
  <c r="AP96" i="83"/>
  <c r="AP95" i="80"/>
  <c r="AP107" i="80" s="1"/>
  <c r="AP96" i="80"/>
  <c r="AP108" i="80" s="1"/>
  <c r="AP97" i="83"/>
  <c r="J55" i="83" a="1"/>
  <c r="J80" i="73" a="1"/>
  <c r="AE206" i="80"/>
  <c r="O256" i="80"/>
  <c r="O252" i="80"/>
  <c r="O202" i="80"/>
  <c r="O206" i="80" s="1"/>
  <c r="O258" i="80"/>
  <c r="O257" i="80"/>
  <c r="Z70" i="53"/>
  <c r="Z88" i="53" s="1"/>
  <c r="Z72" i="53"/>
  <c r="Z106" i="53"/>
  <c r="Z107" i="53" s="1"/>
  <c r="H112" i="53" s="1"/>
  <c r="Z105" i="53"/>
  <c r="Z71" i="53"/>
  <c r="O260" i="80"/>
  <c r="O254" i="80"/>
  <c r="Z74" i="53"/>
  <c r="AP206" i="80"/>
  <c r="AF100" i="83"/>
  <c r="AF99" i="80"/>
  <c r="AF111" i="80" s="1"/>
  <c r="AF89" i="83"/>
  <c r="AF77" i="80"/>
  <c r="AF89" i="80" s="1"/>
  <c r="J191" i="80"/>
  <c r="J192" i="80" s="1"/>
  <c r="AF95" i="83"/>
  <c r="AF94" i="80"/>
  <c r="AF106" i="80" s="1"/>
  <c r="AF83" i="83"/>
  <c r="AF71" i="80"/>
  <c r="AF83" i="80" s="1"/>
  <c r="AF102" i="83"/>
  <c r="AF101" i="80"/>
  <c r="AF113" i="80" s="1"/>
  <c r="AF88" i="83"/>
  <c r="AF76" i="80"/>
  <c r="AF88" i="80" s="1"/>
  <c r="AF117" i="80"/>
  <c r="AF129" i="80" s="1"/>
  <c r="AF107" i="83"/>
  <c r="AF206" i="80"/>
  <c r="AO206" i="80"/>
  <c r="AF123" i="80"/>
  <c r="AF135" i="80" s="1"/>
  <c r="AF113" i="83"/>
  <c r="AF97" i="80"/>
  <c r="AF109" i="80" s="1"/>
  <c r="AF98" i="83"/>
  <c r="AF110" i="83"/>
  <c r="AF120" i="80"/>
  <c r="AF132" i="80" s="1"/>
  <c r="AF82" i="83"/>
  <c r="AF70" i="80"/>
  <c r="AF82" i="80" s="1"/>
  <c r="AF81" i="83"/>
  <c r="AF94" i="83"/>
  <c r="AF93" i="83"/>
  <c r="AF93" i="80"/>
  <c r="AF105" i="80" s="1"/>
  <c r="AK206" i="80"/>
  <c r="AF85" i="83"/>
  <c r="AF73" i="80"/>
  <c r="AF85" i="80" s="1"/>
  <c r="AF72" i="80"/>
  <c r="AF84" i="80" s="1"/>
  <c r="AF84" i="83"/>
  <c r="AF97" i="83"/>
  <c r="AF96" i="80"/>
  <c r="AF108" i="80" s="1"/>
  <c r="AF109" i="83"/>
  <c r="AF119" i="80"/>
  <c r="AF131" i="80" s="1"/>
  <c r="AI206" i="80"/>
  <c r="AF101" i="83"/>
  <c r="AF100" i="80"/>
  <c r="AF112" i="80" s="1"/>
  <c r="AF124" i="80"/>
  <c r="AF136" i="80" s="1"/>
  <c r="AF114" i="83"/>
  <c r="AF116" i="80"/>
  <c r="AF128" i="80" s="1"/>
  <c r="AF105" i="83"/>
  <c r="AF106" i="83"/>
  <c r="AF111" i="83"/>
  <c r="AF121" i="80"/>
  <c r="AF133" i="80" s="1"/>
  <c r="H302" i="31" a="1"/>
  <c r="H302" i="31" s="1"/>
  <c r="A4" i="31" s="1"/>
  <c r="AJ206" i="80"/>
  <c r="AF112" i="83"/>
  <c r="AF122" i="80"/>
  <c r="AF134" i="80" s="1"/>
  <c r="AF87" i="83"/>
  <c r="AF75" i="80"/>
  <c r="AF87" i="80" s="1"/>
  <c r="AF96" i="83"/>
  <c r="AF95" i="80"/>
  <c r="AF107" i="80" s="1"/>
  <c r="AF98" i="80"/>
  <c r="AF110" i="80" s="1"/>
  <c r="AF99" i="83"/>
  <c r="AF118" i="80"/>
  <c r="AF130" i="80" s="1"/>
  <c r="AF108" i="83"/>
  <c r="AF86" i="83"/>
  <c r="AF74" i="80"/>
  <c r="AF86" i="80" s="1"/>
  <c r="AF78" i="80"/>
  <c r="AF90" i="80" s="1"/>
  <c r="AF90" i="83"/>
  <c r="O75" i="53"/>
  <c r="O248" i="83" s="1"/>
  <c r="W75" i="53"/>
  <c r="Z206" i="80"/>
  <c r="N73" i="53"/>
  <c r="N246" i="83" s="1"/>
  <c r="AN81" i="83"/>
  <c r="AN70" i="80"/>
  <c r="AN82" i="80" s="1"/>
  <c r="AN82" i="83"/>
  <c r="AJ102" i="83"/>
  <c r="AJ101" i="80"/>
  <c r="AJ113" i="80" s="1"/>
  <c r="AJ77" i="80"/>
  <c r="AJ89" i="80" s="1"/>
  <c r="AJ89" i="83"/>
  <c r="AN107" i="83"/>
  <c r="AN117" i="80"/>
  <c r="AN129" i="80" s="1"/>
  <c r="AO90" i="83"/>
  <c r="AO78" i="80"/>
  <c r="AO90" i="80" s="1"/>
  <c r="AL100" i="80"/>
  <c r="AL112" i="80" s="1"/>
  <c r="AL101" i="83"/>
  <c r="AJ111" i="83"/>
  <c r="AJ121" i="80"/>
  <c r="AJ133" i="80" s="1"/>
  <c r="AJ74" i="80"/>
  <c r="AJ86" i="80" s="1"/>
  <c r="AJ86" i="83"/>
  <c r="AN105" i="83"/>
  <c r="AN116" i="80"/>
  <c r="AN128" i="80" s="1"/>
  <c r="AN106" i="83"/>
  <c r="AO74" i="80"/>
  <c r="AO86" i="80" s="1"/>
  <c r="AO86" i="83"/>
  <c r="AL122" i="80"/>
  <c r="AL134" i="80" s="1"/>
  <c r="AL112" i="83"/>
  <c r="AJ98" i="83"/>
  <c r="AJ97" i="80"/>
  <c r="AJ109" i="80" s="1"/>
  <c r="AJ123" i="80"/>
  <c r="AJ135" i="80" s="1"/>
  <c r="AJ113" i="83"/>
  <c r="AN99" i="83"/>
  <c r="AN98" i="80"/>
  <c r="AN110" i="80" s="1"/>
  <c r="AO108" i="83"/>
  <c r="AO118" i="80"/>
  <c r="AO130" i="80" s="1"/>
  <c r="AL100" i="83"/>
  <c r="AL99" i="80"/>
  <c r="AL111" i="80" s="1"/>
  <c r="AJ95" i="83"/>
  <c r="AJ94" i="80"/>
  <c r="AJ106" i="80" s="1"/>
  <c r="AN122" i="80"/>
  <c r="AN134" i="80" s="1"/>
  <c r="AN112" i="83"/>
  <c r="AO84" i="83"/>
  <c r="AO72" i="80"/>
  <c r="AO84" i="80" s="1"/>
  <c r="AL89" i="83"/>
  <c r="AL77" i="80"/>
  <c r="AL89" i="80" s="1"/>
  <c r="AL94" i="83"/>
  <c r="AL93" i="80"/>
  <c r="AL105" i="80" s="1"/>
  <c r="AL93" i="83"/>
  <c r="AJ78" i="80"/>
  <c r="AJ90" i="80" s="1"/>
  <c r="AJ90" i="83"/>
  <c r="AN109" i="83"/>
  <c r="AN119" i="80"/>
  <c r="AN131" i="80" s="1"/>
  <c r="AO95" i="80"/>
  <c r="AO107" i="80" s="1"/>
  <c r="AO96" i="83"/>
  <c r="AL90" i="83"/>
  <c r="AL78" i="80"/>
  <c r="AL90" i="80" s="1"/>
  <c r="AO101" i="83"/>
  <c r="AO100" i="80"/>
  <c r="AO112" i="80" s="1"/>
  <c r="AJ101" i="83"/>
  <c r="AJ100" i="80"/>
  <c r="AJ112" i="80" s="1"/>
  <c r="AN97" i="83"/>
  <c r="AN96" i="80"/>
  <c r="AN108" i="80" s="1"/>
  <c r="AO107" i="83"/>
  <c r="AO117" i="80"/>
  <c r="AO129" i="80" s="1"/>
  <c r="AL87" i="83"/>
  <c r="AL75" i="80"/>
  <c r="AL87" i="80" s="1"/>
  <c r="AN97" i="80"/>
  <c r="AN109" i="80" s="1"/>
  <c r="AN98" i="83"/>
  <c r="AJ117" i="80"/>
  <c r="AJ129" i="80" s="1"/>
  <c r="AJ107" i="83"/>
  <c r="AN86" i="83"/>
  <c r="AN74" i="80"/>
  <c r="AN86" i="80" s="1"/>
  <c r="AN94" i="80"/>
  <c r="AN106" i="80" s="1"/>
  <c r="AN95" i="83"/>
  <c r="AO93" i="83"/>
  <c r="AO94" i="83"/>
  <c r="AO93" i="80"/>
  <c r="AO105" i="80" s="1"/>
  <c r="AL96" i="80"/>
  <c r="AL108" i="80" s="1"/>
  <c r="AL97" i="83"/>
  <c r="AJ122" i="80"/>
  <c r="AJ134" i="80" s="1"/>
  <c r="AJ112" i="83"/>
  <c r="AN110" i="83"/>
  <c r="AN120" i="80"/>
  <c r="AN132" i="80" s="1"/>
  <c r="AN108" i="83"/>
  <c r="AN118" i="80"/>
  <c r="AN130" i="80" s="1"/>
  <c r="AO71" i="80"/>
  <c r="AO83" i="80" s="1"/>
  <c r="AO83" i="83"/>
  <c r="AL84" i="83"/>
  <c r="AL72" i="80"/>
  <c r="AL84" i="80" s="1"/>
  <c r="AP148" i="80"/>
  <c r="AP174" i="80" s="1"/>
  <c r="AJ105" i="83"/>
  <c r="AJ116" i="80"/>
  <c r="AJ128" i="80" s="1"/>
  <c r="AJ106" i="83"/>
  <c r="AN113" i="83"/>
  <c r="AN123" i="80"/>
  <c r="AN135" i="80" s="1"/>
  <c r="AN95" i="80"/>
  <c r="AN107" i="80" s="1"/>
  <c r="AN96" i="83"/>
  <c r="AO94" i="80"/>
  <c r="AO106" i="80" s="1"/>
  <c r="AO95" i="83"/>
  <c r="AL111" i="83"/>
  <c r="AL121" i="80"/>
  <c r="AL133" i="80" s="1"/>
  <c r="AO110" i="83"/>
  <c r="AO120" i="80"/>
  <c r="AO132" i="80" s="1"/>
  <c r="AJ71" i="80"/>
  <c r="AJ83" i="80" s="1"/>
  <c r="AJ83" i="83"/>
  <c r="AN101" i="80"/>
  <c r="AN113" i="80" s="1"/>
  <c r="AN102" i="83"/>
  <c r="AO121" i="80"/>
  <c r="AO133" i="80" s="1"/>
  <c r="AO111" i="83"/>
  <c r="AL110" i="83"/>
  <c r="AL120" i="80"/>
  <c r="AL132" i="80" s="1"/>
  <c r="AB73" i="53"/>
  <c r="AJ120" i="80"/>
  <c r="AJ132" i="80" s="1"/>
  <c r="AJ110" i="83"/>
  <c r="AN121" i="80"/>
  <c r="AN133" i="80" s="1"/>
  <c r="AN111" i="83"/>
  <c r="AO88" i="83"/>
  <c r="AO76" i="80"/>
  <c r="AO88" i="80" s="1"/>
  <c r="AO99" i="83"/>
  <c r="AO98" i="80"/>
  <c r="AO110" i="80" s="1"/>
  <c r="AL109" i="83"/>
  <c r="AL119" i="80"/>
  <c r="AL131" i="80" s="1"/>
  <c r="AJ119" i="80"/>
  <c r="AJ131" i="80" s="1"/>
  <c r="AJ109" i="83"/>
  <c r="W74" i="53"/>
  <c r="AJ87" i="83"/>
  <c r="AJ75" i="80"/>
  <c r="AJ87" i="80" s="1"/>
  <c r="AN78" i="80"/>
  <c r="AN90" i="80" s="1"/>
  <c r="AN90" i="83"/>
  <c r="AO106" i="83"/>
  <c r="AO105" i="83"/>
  <c r="AO116" i="80"/>
  <c r="AO128" i="80" s="1"/>
  <c r="AO98" i="83"/>
  <c r="AO97" i="80"/>
  <c r="AO109" i="80" s="1"/>
  <c r="AL95" i="80"/>
  <c r="AL107" i="80" s="1"/>
  <c r="AL96" i="83"/>
  <c r="AJ97" i="83"/>
  <c r="AJ96" i="80"/>
  <c r="AJ108" i="80" s="1"/>
  <c r="AJ94" i="83"/>
  <c r="AJ93" i="83"/>
  <c r="AJ93" i="80"/>
  <c r="AJ105" i="80" s="1"/>
  <c r="AN114" i="83"/>
  <c r="AN124" i="80"/>
  <c r="AN136" i="80" s="1"/>
  <c r="AO101" i="80"/>
  <c r="AO113" i="80" s="1"/>
  <c r="AO102" i="83"/>
  <c r="AO75" i="80"/>
  <c r="AO87" i="80" s="1"/>
  <c r="AO87" i="83"/>
  <c r="AL85" i="83"/>
  <c r="AL73" i="80"/>
  <c r="AL85" i="80" s="1"/>
  <c r="AJ73" i="80"/>
  <c r="AJ85" i="80" s="1"/>
  <c r="AJ85" i="83"/>
  <c r="AN94" i="83"/>
  <c r="AN93" i="80"/>
  <c r="AN105" i="80" s="1"/>
  <c r="AN93" i="83"/>
  <c r="AO73" i="80"/>
  <c r="AO85" i="80" s="1"/>
  <c r="AO85" i="83"/>
  <c r="AL99" i="83"/>
  <c r="AL98" i="80"/>
  <c r="AL110" i="80" s="1"/>
  <c r="AL105" i="83"/>
  <c r="AL106" i="83"/>
  <c r="AL116" i="80"/>
  <c r="AL128" i="80" s="1"/>
  <c r="X74" i="53"/>
  <c r="AJ70" i="80"/>
  <c r="AJ82" i="80" s="1"/>
  <c r="AJ81" i="83"/>
  <c r="AJ82" i="83"/>
  <c r="AN100" i="80"/>
  <c r="AN112" i="80" s="1"/>
  <c r="AN101" i="83"/>
  <c r="AO77" i="80"/>
  <c r="AO89" i="80" s="1"/>
  <c r="AO89" i="83"/>
  <c r="AL74" i="80"/>
  <c r="AL86" i="80" s="1"/>
  <c r="AL86" i="83"/>
  <c r="AJ124" i="80"/>
  <c r="AJ136" i="80" s="1"/>
  <c r="AJ114" i="83"/>
  <c r="AN87" i="83"/>
  <c r="AN75" i="80"/>
  <c r="AN87" i="80" s="1"/>
  <c r="AO113" i="83"/>
  <c r="AO123" i="80"/>
  <c r="AO135" i="80" s="1"/>
  <c r="AL117" i="80"/>
  <c r="AL129" i="80" s="1"/>
  <c r="AL107" i="83"/>
  <c r="AJ98" i="80"/>
  <c r="AJ110" i="80" s="1"/>
  <c r="AJ99" i="83"/>
  <c r="AN77" i="80"/>
  <c r="AN89" i="80" s="1"/>
  <c r="AN89" i="83"/>
  <c r="AO124" i="80"/>
  <c r="AO136" i="80" s="1"/>
  <c r="AO114" i="83"/>
  <c r="AL94" i="80"/>
  <c r="AL106" i="80" s="1"/>
  <c r="AL95" i="83"/>
  <c r="J59" i="80"/>
  <c r="J200" i="80" s="1"/>
  <c r="AJ108" i="83"/>
  <c r="AJ118" i="80"/>
  <c r="AJ130" i="80" s="1"/>
  <c r="AN100" i="83"/>
  <c r="AN99" i="80"/>
  <c r="AN111" i="80" s="1"/>
  <c r="AO97" i="83"/>
  <c r="AO96" i="80"/>
  <c r="AO108" i="80" s="1"/>
  <c r="AL102" i="83"/>
  <c r="AL101" i="80"/>
  <c r="AL113" i="80" s="1"/>
  <c r="AL98" i="83"/>
  <c r="AL97" i="80"/>
  <c r="AL109" i="80" s="1"/>
  <c r="AJ96" i="83"/>
  <c r="AJ95" i="80"/>
  <c r="AJ107" i="80" s="1"/>
  <c r="AN73" i="80"/>
  <c r="AN85" i="80" s="1"/>
  <c r="AN85" i="83"/>
  <c r="AO112" i="83"/>
  <c r="AO122" i="80"/>
  <c r="AO134" i="80" s="1"/>
  <c r="AL113" i="83"/>
  <c r="AL123" i="80"/>
  <c r="AL135" i="80" s="1"/>
  <c r="AL108" i="83"/>
  <c r="AL118" i="80"/>
  <c r="AL130" i="80" s="1"/>
  <c r="AJ99" i="80"/>
  <c r="AJ111" i="80" s="1"/>
  <c r="AJ100" i="83"/>
  <c r="AN84" i="83"/>
  <c r="AN72" i="80"/>
  <c r="AN84" i="80" s="1"/>
  <c r="AO82" i="83"/>
  <c r="AO70" i="80"/>
  <c r="AO82" i="80" s="1"/>
  <c r="AO81" i="83"/>
  <c r="AL76" i="80"/>
  <c r="AL88" i="80" s="1"/>
  <c r="AL88" i="83"/>
  <c r="AL83" i="83"/>
  <c r="AL71" i="80"/>
  <c r="AL83" i="80" s="1"/>
  <c r="AA75" i="53"/>
  <c r="AJ76" i="80"/>
  <c r="AJ88" i="80" s="1"/>
  <c r="AJ88" i="83"/>
  <c r="AN71" i="80"/>
  <c r="AN83" i="80" s="1"/>
  <c r="AN83" i="83"/>
  <c r="AO119" i="80"/>
  <c r="AO131" i="80" s="1"/>
  <c r="AO109" i="83"/>
  <c r="AL81" i="83"/>
  <c r="AL70" i="80"/>
  <c r="AL82" i="80" s="1"/>
  <c r="AL82" i="83"/>
  <c r="AJ84" i="83"/>
  <c r="AJ72" i="80"/>
  <c r="AJ84" i="80" s="1"/>
  <c r="AN76" i="80"/>
  <c r="AN88" i="80" s="1"/>
  <c r="AN88" i="83"/>
  <c r="AO100" i="83"/>
  <c r="AO99" i="80"/>
  <c r="AO111" i="80" s="1"/>
  <c r="AL124" i="80"/>
  <c r="AL136" i="80" s="1"/>
  <c r="AL114" i="83"/>
  <c r="N75" i="53"/>
  <c r="N248" i="83" s="1"/>
  <c r="AL206" i="80"/>
  <c r="AH206" i="80"/>
  <c r="AC206" i="80"/>
  <c r="AP147" i="80"/>
  <c r="AP173" i="80" s="1"/>
  <c r="H218" i="80"/>
  <c r="H230" i="80" s="1"/>
  <c r="Q243" i="80" s="1"/>
  <c r="H222" i="80"/>
  <c r="H221" i="80"/>
  <c r="H233" i="80" s="1"/>
  <c r="N259" i="80" s="1"/>
  <c r="H214" i="80"/>
  <c r="H226" i="80" s="1"/>
  <c r="V239" i="80" s="1"/>
  <c r="H215" i="80"/>
  <c r="H227" i="80" s="1"/>
  <c r="Q253" i="80" s="1"/>
  <c r="H220" i="80"/>
  <c r="H232" i="80" s="1"/>
  <c r="N258" i="80" s="1"/>
  <c r="H217" i="80"/>
  <c r="H229" i="80" s="1"/>
  <c r="Q242" i="80" s="1"/>
  <c r="H216" i="80"/>
  <c r="H228" i="80" s="1"/>
  <c r="W254" i="80" s="1"/>
  <c r="H219" i="80"/>
  <c r="H231" i="80" s="1"/>
  <c r="AA257" i="80" s="1"/>
  <c r="N74" i="53"/>
  <c r="N247" i="83" s="1"/>
  <c r="X73" i="53"/>
  <c r="O73" i="53"/>
  <c r="O246" i="83" s="1"/>
  <c r="AM150" i="80"/>
  <c r="AM176" i="80" s="1"/>
  <c r="AC146" i="80"/>
  <c r="AC172" i="80" s="1"/>
  <c r="AH143" i="80"/>
  <c r="AH169" i="80" s="1"/>
  <c r="AC144" i="80"/>
  <c r="AC170" i="80" s="1"/>
  <c r="AC149" i="80"/>
  <c r="AC175" i="80" s="1"/>
  <c r="AM144" i="80"/>
  <c r="AM170" i="80" s="1"/>
  <c r="AI143" i="80"/>
  <c r="AI169" i="80" s="1"/>
  <c r="AH144" i="80"/>
  <c r="AH170" i="80" s="1"/>
  <c r="AK144" i="80"/>
  <c r="AK170" i="80" s="1"/>
  <c r="AH149" i="80"/>
  <c r="AH175" i="80" s="1"/>
  <c r="AG145" i="80"/>
  <c r="AG171" i="80" s="1"/>
  <c r="AP144" i="80"/>
  <c r="AP170" i="80" s="1"/>
  <c r="AI147" i="80"/>
  <c r="AI173" i="80" s="1"/>
  <c r="AM145" i="80"/>
  <c r="AM171" i="80" s="1"/>
  <c r="AG143" i="80"/>
  <c r="AG169" i="80" s="1"/>
  <c r="K345" i="53"/>
  <c r="K356" i="53" s="1"/>
  <c r="K342" i="53"/>
  <c r="K353" i="53" s="1"/>
  <c r="AH146" i="80"/>
  <c r="AH172" i="80" s="1"/>
  <c r="J28" i="111"/>
  <c r="J34" i="111" s="1"/>
  <c r="J27" i="111"/>
  <c r="J33" i="111" s="1"/>
  <c r="Q133" i="74"/>
  <c r="Q132" i="74"/>
  <c r="Q139" i="74"/>
  <c r="Q134" i="74"/>
  <c r="Q140" i="74"/>
  <c r="Q138" i="74"/>
  <c r="Q153" i="74"/>
  <c r="Q136" i="74"/>
  <c r="Q155" i="74"/>
  <c r="Q154" i="74"/>
  <c r="Q135" i="74"/>
  <c r="Q150" i="74"/>
  <c r="Q137" i="74"/>
  <c r="Q147" i="74"/>
  <c r="Q148" i="74"/>
  <c r="Q149" i="74"/>
  <c r="Q151" i="74"/>
  <c r="Q141" i="74"/>
  <c r="Q152" i="74"/>
  <c r="Q146" i="74"/>
  <c r="N270" i="83"/>
  <c r="AD112" i="83"/>
  <c r="AD122" i="80"/>
  <c r="AD134" i="80" s="1"/>
  <c r="Q202" i="80"/>
  <c r="P76" i="41"/>
  <c r="P97" i="41" s="1"/>
  <c r="AM143" i="80"/>
  <c r="AM169" i="80" s="1"/>
  <c r="J39" i="53"/>
  <c r="J46" i="53"/>
  <c r="J47" i="53"/>
  <c r="J48" i="53"/>
  <c r="AM142" i="80"/>
  <c r="AM168" i="80" s="1"/>
  <c r="AE89" i="83"/>
  <c r="AE77" i="80"/>
  <c r="AE89" i="80" s="1"/>
  <c r="AD78" i="80"/>
  <c r="AD90" i="80" s="1"/>
  <c r="AD90" i="83"/>
  <c r="P39" i="53"/>
  <c r="P47" i="53"/>
  <c r="P74" i="53" s="1"/>
  <c r="P46" i="53"/>
  <c r="P48" i="53"/>
  <c r="P75" i="53" s="1"/>
  <c r="X75" i="53"/>
  <c r="T243" i="83"/>
  <c r="AE123" i="80"/>
  <c r="AE135" i="80" s="1"/>
  <c r="AE113" i="83"/>
  <c r="V202" i="80"/>
  <c r="V256" i="80"/>
  <c r="AD81" i="83"/>
  <c r="AD82" i="83"/>
  <c r="AD70" i="80"/>
  <c r="AD82" i="80" s="1"/>
  <c r="AC147" i="80"/>
  <c r="AC173" i="80" s="1"/>
  <c r="AB75" i="53"/>
  <c r="AA204" i="80"/>
  <c r="AA206" i="80" s="1"/>
  <c r="AA20" i="74"/>
  <c r="AI149" i="80"/>
  <c r="AI175" i="80" s="1"/>
  <c r="AD96" i="80"/>
  <c r="AD108" i="80" s="1"/>
  <c r="AD97" i="83"/>
  <c r="AI150" i="80"/>
  <c r="K341" i="53"/>
  <c r="K352" i="53" s="1"/>
  <c r="P133" i="74"/>
  <c r="P132" i="74"/>
  <c r="AI148" i="80"/>
  <c r="AI174" i="80" s="1"/>
  <c r="AC142" i="80"/>
  <c r="AC168" i="80" s="1"/>
  <c r="AE86" i="83"/>
  <c r="AE74" i="80"/>
  <c r="AE86" i="80" s="1"/>
  <c r="AE114" i="83"/>
  <c r="AE124" i="80"/>
  <c r="AE136" i="80" s="1"/>
  <c r="AD101" i="80"/>
  <c r="AD113" i="80" s="1"/>
  <c r="AD102" i="83"/>
  <c r="AD95" i="83"/>
  <c r="AD94" i="80"/>
  <c r="AD106" i="80" s="1"/>
  <c r="K344" i="53"/>
  <c r="K355" i="53" s="1"/>
  <c r="T129" i="74"/>
  <c r="J129" i="74"/>
  <c r="N129" i="74"/>
  <c r="K129" i="74"/>
  <c r="S129" i="74"/>
  <c r="M129" i="74"/>
  <c r="P28" i="111"/>
  <c r="P34" i="111" s="1"/>
  <c r="P27" i="111"/>
  <c r="P33" i="111" s="1"/>
  <c r="P59" i="80"/>
  <c r="P200" i="80" s="1"/>
  <c r="O74" i="53"/>
  <c r="O247" i="83" s="1"/>
  <c r="O270" i="83"/>
  <c r="AC143" i="80"/>
  <c r="AC169" i="80" s="1"/>
  <c r="AH145" i="80"/>
  <c r="AH171" i="80" s="1"/>
  <c r="AI145" i="80"/>
  <c r="AI171" i="80" s="1"/>
  <c r="U75" i="53"/>
  <c r="AK143" i="80"/>
  <c r="AK169" i="80" s="1"/>
  <c r="N70" i="53"/>
  <c r="N72" i="53"/>
  <c r="N71" i="53"/>
  <c r="AP146" i="80"/>
  <c r="AP172" i="80" s="1"/>
  <c r="Q72" i="53"/>
  <c r="Q71" i="53"/>
  <c r="Q70" i="53"/>
  <c r="Q88" i="53" s="1"/>
  <c r="Q90" i="53" s="1"/>
  <c r="Q120" i="53" s="1"/>
  <c r="Q122" i="53" s="1"/>
  <c r="T59" i="80"/>
  <c r="T200" i="80" s="1"/>
  <c r="Y74" i="53"/>
  <c r="AG149" i="80"/>
  <c r="AG175" i="80" s="1"/>
  <c r="AB74" i="53"/>
  <c r="AE106" i="83"/>
  <c r="AE105" i="83"/>
  <c r="AE116" i="80"/>
  <c r="AE128" i="80" s="1"/>
  <c r="AE87" i="83"/>
  <c r="AE75" i="80"/>
  <c r="AE87" i="80" s="1"/>
  <c r="AE84" i="83"/>
  <c r="AE72" i="80"/>
  <c r="AE84" i="80" s="1"/>
  <c r="AE107" i="83"/>
  <c r="AE117" i="80"/>
  <c r="AE129" i="80" s="1"/>
  <c r="W73" i="53"/>
  <c r="AH147" i="80"/>
  <c r="AH173" i="80" s="1"/>
  <c r="AG144" i="80"/>
  <c r="AG170" i="80" s="1"/>
  <c r="R75" i="53"/>
  <c r="AD86" i="83"/>
  <c r="AD74" i="80"/>
  <c r="AD86" i="80" s="1"/>
  <c r="AD111" i="83"/>
  <c r="AD121" i="80"/>
  <c r="AD133" i="80" s="1"/>
  <c r="AD75" i="80"/>
  <c r="AD87" i="80" s="1"/>
  <c r="AD87" i="83"/>
  <c r="AD83" i="83"/>
  <c r="AD71" i="80"/>
  <c r="AD83" i="80" s="1"/>
  <c r="K343" i="53"/>
  <c r="K354" i="53" s="1"/>
  <c r="AD129" i="74"/>
  <c r="V129" i="74"/>
  <c r="AH129" i="74"/>
  <c r="AM129" i="74"/>
  <c r="X129" i="74"/>
  <c r="AP129" i="74"/>
  <c r="W129" i="74"/>
  <c r="AC129" i="74"/>
  <c r="AA129" i="74"/>
  <c r="L129" i="74"/>
  <c r="AJ129" i="74"/>
  <c r="AB129" i="74"/>
  <c r="AF129" i="74"/>
  <c r="AI129" i="74"/>
  <c r="AN129" i="74"/>
  <c r="AO129" i="74"/>
  <c r="AG129" i="74"/>
  <c r="AE129" i="74"/>
  <c r="Y129" i="74"/>
  <c r="AL129" i="74"/>
  <c r="U129" i="74"/>
  <c r="O129" i="74"/>
  <c r="Z129" i="74"/>
  <c r="AK129" i="74"/>
  <c r="S204" i="80"/>
  <c r="S20" i="74"/>
  <c r="J202" i="80"/>
  <c r="T46" i="53"/>
  <c r="T47" i="53"/>
  <c r="T48" i="53"/>
  <c r="T39" i="53"/>
  <c r="AE85" i="83"/>
  <c r="AE73" i="80"/>
  <c r="AE85" i="80" s="1"/>
  <c r="AD123" i="80"/>
  <c r="AD135" i="80" s="1"/>
  <c r="AD113" i="83"/>
  <c r="S202" i="80"/>
  <c r="AE118" i="80"/>
  <c r="AE130" i="80" s="1"/>
  <c r="AE108" i="83"/>
  <c r="S243" i="83"/>
  <c r="U73" i="53"/>
  <c r="AB204" i="80"/>
  <c r="AB206" i="80" s="1"/>
  <c r="AB20" i="74"/>
  <c r="J267" i="83"/>
  <c r="J243" i="83"/>
  <c r="Q28" i="111"/>
  <c r="Q34" i="111" s="1"/>
  <c r="Q27" i="111"/>
  <c r="Q33" i="111" s="1"/>
  <c r="L59" i="80"/>
  <c r="L200" i="80" s="1"/>
  <c r="L20" i="74" s="1"/>
  <c r="AE78" i="80"/>
  <c r="AE90" i="80" s="1"/>
  <c r="AE90" i="83"/>
  <c r="R74" i="53"/>
  <c r="AD101" i="83"/>
  <c r="AD100" i="80"/>
  <c r="AD112" i="80" s="1"/>
  <c r="AD119" i="80"/>
  <c r="AD131" i="80" s="1"/>
  <c r="AD109" i="83"/>
  <c r="W204" i="80"/>
  <c r="W206" i="80" s="1"/>
  <c r="W20" i="74"/>
  <c r="J56" i="53"/>
  <c r="J57" i="53"/>
  <c r="J75" i="53" s="1"/>
  <c r="J248" i="83" s="1"/>
  <c r="J55" i="53"/>
  <c r="AG148" i="80"/>
  <c r="AG174" i="80" s="1"/>
  <c r="U74" i="53"/>
  <c r="O70" i="53"/>
  <c r="O72" i="53"/>
  <c r="O71" i="53"/>
  <c r="Y73" i="53"/>
  <c r="V74" i="53"/>
  <c r="L48" i="53"/>
  <c r="L47" i="53"/>
  <c r="L39" i="53"/>
  <c r="L46" i="53"/>
  <c r="T27" i="111"/>
  <c r="T33" i="111" s="1"/>
  <c r="T28" i="111"/>
  <c r="T34" i="111" s="1"/>
  <c r="AH148" i="80"/>
  <c r="AH174" i="80" s="1"/>
  <c r="AE98" i="80"/>
  <c r="AE110" i="80" s="1"/>
  <c r="AE99" i="83"/>
  <c r="AE97" i="83"/>
  <c r="AE96" i="80"/>
  <c r="AE108" i="80" s="1"/>
  <c r="AE76" i="80"/>
  <c r="AE88" i="80" s="1"/>
  <c r="AE88" i="83"/>
  <c r="AE95" i="80"/>
  <c r="AE107" i="80" s="1"/>
  <c r="AE96" i="83"/>
  <c r="R73" i="53"/>
  <c r="AD120" i="80"/>
  <c r="AD132" i="80" s="1"/>
  <c r="AD110" i="83"/>
  <c r="AD94" i="83"/>
  <c r="AD93" i="80"/>
  <c r="AD105" i="80" s="1"/>
  <c r="AD93" i="83"/>
  <c r="AD99" i="80"/>
  <c r="AD111" i="80" s="1"/>
  <c r="AD100" i="83"/>
  <c r="AD105" i="83"/>
  <c r="AD106" i="83"/>
  <c r="AD116" i="80"/>
  <c r="AD128" i="80" s="1"/>
  <c r="R204" i="80"/>
  <c r="R206" i="80" s="1"/>
  <c r="R20" i="74"/>
  <c r="W72" i="53"/>
  <c r="W70" i="53"/>
  <c r="W88" i="53" s="1"/>
  <c r="W90" i="53" s="1"/>
  <c r="W120" i="53" s="1"/>
  <c r="W122" i="53" s="1"/>
  <c r="W71" i="53"/>
  <c r="K338" i="53"/>
  <c r="K349" i="53" s="1"/>
  <c r="L28" i="111"/>
  <c r="L34" i="111" s="1"/>
  <c r="L27" i="111"/>
  <c r="L33" i="111" s="1"/>
  <c r="AK147" i="80"/>
  <c r="AK173" i="80" s="1"/>
  <c r="H140" i="22" a="1"/>
  <c r="H140" i="22" s="1"/>
  <c r="X105" i="53"/>
  <c r="X71" i="53"/>
  <c r="X72" i="53"/>
  <c r="X70" i="53"/>
  <c r="X88" i="53" s="1"/>
  <c r="W259" i="80"/>
  <c r="W258" i="80"/>
  <c r="M88" i="53"/>
  <c r="M90" i="53" s="1"/>
  <c r="M120" i="53" s="1"/>
  <c r="M122" i="53" s="1"/>
  <c r="M339" i="53" s="1"/>
  <c r="M350" i="53" s="1"/>
  <c r="Y75" i="53"/>
  <c r="V73" i="53"/>
  <c r="Y20" i="74"/>
  <c r="Y204" i="80"/>
  <c r="AH142" i="80"/>
  <c r="AH168" i="80" s="1"/>
  <c r="AI144" i="80"/>
  <c r="AI170" i="80" s="1"/>
  <c r="AE112" i="83"/>
  <c r="AE122" i="80"/>
  <c r="AE134" i="80" s="1"/>
  <c r="AE110" i="83"/>
  <c r="AE120" i="80"/>
  <c r="AE132" i="80" s="1"/>
  <c r="AE99" i="80"/>
  <c r="AE111" i="80" s="1"/>
  <c r="AE100" i="83"/>
  <c r="AE94" i="80"/>
  <c r="AE106" i="80" s="1"/>
  <c r="AE95" i="83"/>
  <c r="AD98" i="83"/>
  <c r="AD97" i="80"/>
  <c r="AD109" i="80" s="1"/>
  <c r="AD118" i="80"/>
  <c r="AD130" i="80" s="1"/>
  <c r="AD108" i="83"/>
  <c r="AD84" i="83"/>
  <c r="AD72" i="80"/>
  <c r="AD84" i="80" s="1"/>
  <c r="AC150" i="80"/>
  <c r="U204" i="80"/>
  <c r="U20" i="74"/>
  <c r="Q56" i="53"/>
  <c r="Q74" i="53" s="1"/>
  <c r="Q57" i="53"/>
  <c r="Q75" i="53" s="1"/>
  <c r="Q55" i="53"/>
  <c r="Q73" i="53" s="1"/>
  <c r="AM147" i="80"/>
  <c r="AM173" i="80" s="1"/>
  <c r="Y72" i="53"/>
  <c r="Y105" i="53"/>
  <c r="Y70" i="53"/>
  <c r="Y88" i="53" s="1"/>
  <c r="Y71" i="53"/>
  <c r="AE101" i="80"/>
  <c r="AE113" i="80" s="1"/>
  <c r="AE102" i="83"/>
  <c r="AG147" i="80"/>
  <c r="AG173" i="80" s="1"/>
  <c r="AM148" i="80"/>
  <c r="AM174" i="80" s="1"/>
  <c r="R70" i="53"/>
  <c r="R88" i="53" s="1"/>
  <c r="R90" i="53" s="1"/>
  <c r="R120" i="53" s="1"/>
  <c r="R122" i="53" s="1"/>
  <c r="R72" i="53"/>
  <c r="R71" i="53"/>
  <c r="AE109" i="83"/>
  <c r="AE119" i="80"/>
  <c r="AE131" i="80" s="1"/>
  <c r="K316" i="53"/>
  <c r="K321" i="53"/>
  <c r="K307" i="53"/>
  <c r="K294" i="53"/>
  <c r="K318" i="53"/>
  <c r="K305" i="53"/>
  <c r="K320" i="53"/>
  <c r="K295" i="53"/>
  <c r="K299" i="53"/>
  <c r="K317" i="53"/>
  <c r="K298" i="53"/>
  <c r="K306" i="53"/>
  <c r="K310" i="53"/>
  <c r="K296" i="53"/>
  <c r="K322" i="53"/>
  <c r="K309" i="53"/>
  <c r="K311" i="53"/>
  <c r="K300" i="53"/>
  <c r="K312" i="53"/>
  <c r="K308" i="53"/>
  <c r="K293" i="53"/>
  <c r="K315" i="53"/>
  <c r="K319" i="53"/>
  <c r="K297" i="53"/>
  <c r="K301" i="53"/>
  <c r="K323" i="53"/>
  <c r="K304" i="53"/>
  <c r="L57" i="53"/>
  <c r="L56" i="53"/>
  <c r="L55" i="53"/>
  <c r="AC62" i="83"/>
  <c r="AG58" i="83"/>
  <c r="AF63" i="83"/>
  <c r="AN63" i="83"/>
  <c r="K60" i="83"/>
  <c r="K128" i="83" s="1"/>
  <c r="K128" i="72" s="1"/>
  <c r="K198" i="72" s="1"/>
  <c r="K228" i="72" s="1"/>
  <c r="O56" i="83"/>
  <c r="O124" i="83" s="1"/>
  <c r="S64" i="83"/>
  <c r="S132" i="83" s="1"/>
  <c r="S132" i="72" s="1"/>
  <c r="S202" i="72" s="1"/>
  <c r="S232" i="72" s="1"/>
  <c r="W60" i="83"/>
  <c r="AA56" i="83"/>
  <c r="AK58" i="83"/>
  <c r="AA57" i="83"/>
  <c r="W61" i="83"/>
  <c r="V55" i="83"/>
  <c r="R59" i="83"/>
  <c r="N63" i="83"/>
  <c r="N131" i="83" s="1"/>
  <c r="N131" i="72" s="1"/>
  <c r="N201" i="72" s="1"/>
  <c r="N231" i="72" s="1"/>
  <c r="AH56" i="83"/>
  <c r="AD60" i="83"/>
  <c r="AE57" i="83"/>
  <c r="AA61" i="83"/>
  <c r="Z55" i="83"/>
  <c r="V59" i="83"/>
  <c r="R63" i="83"/>
  <c r="AL56" i="83"/>
  <c r="AH60" i="83"/>
  <c r="AM64" i="83"/>
  <c r="AH58" i="83"/>
  <c r="AD62" i="83"/>
  <c r="AC56" i="83"/>
  <c r="Y60" i="83"/>
  <c r="U64" i="83"/>
  <c r="Y57" i="83"/>
  <c r="U61" i="83"/>
  <c r="X56" i="83"/>
  <c r="K62" i="83"/>
  <c r="K130" i="83" s="1"/>
  <c r="K130" i="72" s="1"/>
  <c r="K200" i="72" s="1"/>
  <c r="K230" i="72" s="1"/>
  <c r="V64" i="83"/>
  <c r="AG56" i="83"/>
  <c r="AC61" i="83"/>
  <c r="Z63" i="83"/>
  <c r="S61" i="83"/>
  <c r="S129" i="83" s="1"/>
  <c r="S129" i="72" s="1"/>
  <c r="S199" i="72" s="1"/>
  <c r="S229" i="72" s="1"/>
  <c r="AD56" i="83"/>
  <c r="AK59" i="83"/>
  <c r="M62" i="83"/>
  <c r="M130" i="83" s="1"/>
  <c r="M130" i="72" s="1"/>
  <c r="M200" i="72" s="1"/>
  <c r="M230" i="72" s="1"/>
  <c r="Q58" i="83"/>
  <c r="AG62" i="83"/>
  <c r="X63" i="83"/>
  <c r="AB59" i="83"/>
  <c r="AF55" i="83"/>
  <c r="AJ63" i="83"/>
  <c r="AN59" i="83"/>
  <c r="K56" i="83"/>
  <c r="K124" i="83" s="1"/>
  <c r="V57" i="83"/>
  <c r="J58" i="83"/>
  <c r="J126" i="83" s="1"/>
  <c r="J126" i="72" s="1"/>
  <c r="J196" i="72" s="1"/>
  <c r="J226" i="72" s="1"/>
  <c r="AM61" i="83"/>
  <c r="AL55" i="83"/>
  <c r="AH59" i="83"/>
  <c r="AD63" i="83"/>
  <c r="Q57" i="83"/>
  <c r="M61" i="83"/>
  <c r="M129" i="83" s="1"/>
  <c r="M129" i="72" s="1"/>
  <c r="M199" i="72" s="1"/>
  <c r="M229" i="72" s="1"/>
  <c r="N58" i="83"/>
  <c r="N126" i="83" s="1"/>
  <c r="N126" i="72" s="1"/>
  <c r="N196" i="72" s="1"/>
  <c r="N226" i="72" s="1"/>
  <c r="J62" i="83"/>
  <c r="J130" i="83" s="1"/>
  <c r="J130" i="72" s="1"/>
  <c r="J200" i="72" s="1"/>
  <c r="J230" i="72" s="1"/>
  <c r="AP55" i="83"/>
  <c r="AL59" i="83"/>
  <c r="AH63" i="83"/>
  <c r="U57" i="83"/>
  <c r="Q61" i="83"/>
  <c r="U55" i="83"/>
  <c r="Q59" i="83"/>
  <c r="M63" i="83"/>
  <c r="M131" i="83" s="1"/>
  <c r="M131" i="72" s="1"/>
  <c r="M201" i="72" s="1"/>
  <c r="M231" i="72" s="1"/>
  <c r="L57" i="83"/>
  <c r="L125" i="83" s="1"/>
  <c r="L125" i="72" s="1"/>
  <c r="L195" i="72" s="1"/>
  <c r="L225" i="72" s="1"/>
  <c r="AO60" i="83"/>
  <c r="AK64" i="83"/>
  <c r="AO57" i="83"/>
  <c r="AK61" i="83"/>
  <c r="V58" i="83"/>
  <c r="AP63" i="83"/>
  <c r="J55" i="83"/>
  <c r="J123" i="83" s="1"/>
  <c r="AE58" i="83"/>
  <c r="AB62" i="83"/>
  <c r="M57" i="83"/>
  <c r="M125" i="83" s="1"/>
  <c r="M125" i="72" s="1"/>
  <c r="M195" i="72" s="1"/>
  <c r="M225" i="72" s="1"/>
  <c r="Q63" i="83"/>
  <c r="AB58" i="83"/>
  <c r="AG63" i="83"/>
  <c r="AD61" i="83"/>
  <c r="AH57" i="83"/>
  <c r="R61" i="83"/>
  <c r="AO62" i="83"/>
  <c r="L59" i="83"/>
  <c r="L127" i="83" s="1"/>
  <c r="L127" i="72" s="1"/>
  <c r="L197" i="72" s="1"/>
  <c r="L227" i="72" s="1"/>
  <c r="P55" i="83"/>
  <c r="T63" i="83"/>
  <c r="T131" i="83" s="1"/>
  <c r="T131" i="72" s="1"/>
  <c r="T201" i="72" s="1"/>
  <c r="T231" i="72" s="1"/>
  <c r="X59" i="83"/>
  <c r="AB55" i="83"/>
  <c r="W56" i="83"/>
  <c r="Z58" i="83"/>
  <c r="V62" i="83"/>
  <c r="U56" i="83"/>
  <c r="Q60" i="83"/>
  <c r="M64" i="83"/>
  <c r="M132" i="83" s="1"/>
  <c r="M132" i="72" s="1"/>
  <c r="M202" i="72" s="1"/>
  <c r="M232" i="72" s="1"/>
  <c r="AG57" i="83"/>
  <c r="AE64" i="83"/>
  <c r="AD58" i="83"/>
  <c r="Z62" i="83"/>
  <c r="Y56" i="83"/>
  <c r="U60" i="83"/>
  <c r="Q64" i="83"/>
  <c r="AK57" i="83"/>
  <c r="AG61" i="83"/>
  <c r="AK55" i="83"/>
  <c r="AG59" i="83"/>
  <c r="AC63" i="83"/>
  <c r="AB57" i="83"/>
  <c r="X61" i="83"/>
  <c r="K55" i="83"/>
  <c r="K123" i="83" s="1"/>
  <c r="X58" i="83"/>
  <c r="T62" i="83"/>
  <c r="T130" i="83" s="1"/>
  <c r="T130" i="72" s="1"/>
  <c r="T200" i="72" s="1"/>
  <c r="T230" i="72" s="1"/>
  <c r="T60" i="83"/>
  <c r="T128" i="83" s="1"/>
  <c r="T128" i="72" s="1"/>
  <c r="T198" i="72" s="1"/>
  <c r="T228" i="72" s="1"/>
  <c r="AE55" i="83"/>
  <c r="AC60" i="83"/>
  <c r="AA63" i="83"/>
  <c r="AP60" i="83"/>
  <c r="R55" i="83"/>
  <c r="Z60" i="83"/>
  <c r="AF57" i="83"/>
  <c r="N61" i="83"/>
  <c r="N129" i="83" s="1"/>
  <c r="N129" i="72" s="1"/>
  <c r="N199" i="72" s="1"/>
  <c r="N229" i="72" s="1"/>
  <c r="R57" i="83"/>
  <c r="AJ59" i="83"/>
  <c r="Y62" i="83"/>
  <c r="AC58" i="83"/>
  <c r="Q62" i="83"/>
  <c r="AK62" i="83"/>
  <c r="AO58" i="83"/>
  <c r="L55" i="83"/>
  <c r="L123" i="83" s="1"/>
  <c r="M55" i="83"/>
  <c r="M123" i="83" s="1"/>
  <c r="AP58" i="83"/>
  <c r="AL62" i="83"/>
  <c r="AK56" i="83"/>
  <c r="AG60" i="83"/>
  <c r="AC64" i="83"/>
  <c r="P58" i="83"/>
  <c r="Q55" i="83"/>
  <c r="M59" i="83"/>
  <c r="M127" i="83" s="1"/>
  <c r="M127" i="72" s="1"/>
  <c r="M197" i="72" s="1"/>
  <c r="M227" i="72" s="1"/>
  <c r="AP62" i="83"/>
  <c r="AO56" i="83"/>
  <c r="AK60" i="83"/>
  <c r="AG64" i="83"/>
  <c r="T58" i="83"/>
  <c r="T126" i="83" s="1"/>
  <c r="T126" i="72" s="1"/>
  <c r="T196" i="72" s="1"/>
  <c r="T226" i="72" s="1"/>
  <c r="P62" i="83"/>
  <c r="T56" i="83"/>
  <c r="T124" i="83" s="1"/>
  <c r="P60" i="83"/>
  <c r="L64" i="83"/>
  <c r="L132" i="83" s="1"/>
  <c r="L132" i="72" s="1"/>
  <c r="L202" i="72" s="1"/>
  <c r="L232" i="72" s="1"/>
  <c r="K58" i="83"/>
  <c r="K126" i="83" s="1"/>
  <c r="K126" i="72" s="1"/>
  <c r="K196" i="72" s="1"/>
  <c r="K226" i="72" s="1"/>
  <c r="AN61" i="83"/>
  <c r="AA55" i="83"/>
  <c r="AN58" i="83"/>
  <c r="AJ62" i="83"/>
  <c r="R62" i="83"/>
  <c r="AC57" i="83"/>
  <c r="AN56" i="83"/>
  <c r="AA62" i="83"/>
  <c r="Z64" i="83"/>
  <c r="K63" i="83"/>
  <c r="K131" i="83" s="1"/>
  <c r="K131" i="72" s="1"/>
  <c r="K201" i="72" s="1"/>
  <c r="K231" i="72" s="1"/>
  <c r="P57" i="83"/>
  <c r="AO61" i="83"/>
  <c r="AB61" i="83"/>
  <c r="AP64" i="83"/>
  <c r="AE60" i="83"/>
  <c r="AI56" i="83"/>
  <c r="U58" i="83"/>
  <c r="AP61" i="83"/>
  <c r="M58" i="83"/>
  <c r="M126" i="83" s="1"/>
  <c r="M126" i="72" s="1"/>
  <c r="M196" i="72" s="1"/>
  <c r="M226" i="72" s="1"/>
  <c r="AI60" i="83"/>
  <c r="U62" i="83"/>
  <c r="Y58" i="83"/>
  <c r="O64" i="83"/>
  <c r="O132" i="83" s="1"/>
  <c r="O132" i="72" s="1"/>
  <c r="O202" i="72" s="1"/>
  <c r="O232" i="72" s="1"/>
  <c r="AC55" i="83"/>
  <c r="Y59" i="83"/>
  <c r="U63" i="83"/>
  <c r="T57" i="83"/>
  <c r="T125" i="83" s="1"/>
  <c r="T125" i="72" s="1"/>
  <c r="T195" i="72" s="1"/>
  <c r="T225" i="72" s="1"/>
  <c r="P61" i="83"/>
  <c r="AA64" i="83"/>
  <c r="AF58" i="83"/>
  <c r="AG55" i="83"/>
  <c r="AC59" i="83"/>
  <c r="Y63" i="83"/>
  <c r="X57" i="83"/>
  <c r="T61" i="83"/>
  <c r="T129" i="83" s="1"/>
  <c r="T129" i="72" s="1"/>
  <c r="T199" i="72" s="1"/>
  <c r="T229" i="72" s="1"/>
  <c r="AI64" i="83"/>
  <c r="AJ58" i="83"/>
  <c r="AF62" i="83"/>
  <c r="AJ56" i="83"/>
  <c r="AF60" i="83"/>
  <c r="AB64" i="83"/>
  <c r="AA58" i="83"/>
  <c r="W62" i="83"/>
  <c r="J56" i="83"/>
  <c r="J124" i="83" s="1"/>
  <c r="W59" i="83"/>
  <c r="S63" i="83"/>
  <c r="S131" i="83" s="1"/>
  <c r="S131" i="72" s="1"/>
  <c r="S201" i="72" s="1"/>
  <c r="S231" i="72" s="1"/>
  <c r="P64" i="83"/>
  <c r="AA59" i="83"/>
  <c r="AL58" i="83"/>
  <c r="Y64" i="83"/>
  <c r="AM57" i="83"/>
  <c r="AL64" i="83"/>
  <c r="N59" i="83"/>
  <c r="N127" i="83" s="1"/>
  <c r="N127" i="72" s="1"/>
  <c r="N197" i="72" s="1"/>
  <c r="N227" i="72" s="1"/>
  <c r="AN62" i="83"/>
  <c r="O55" i="83"/>
  <c r="O123" i="83" s="1"/>
  <c r="L63" i="83"/>
  <c r="L131" i="83" s="1"/>
  <c r="L131" i="72" s="1"/>
  <c r="L201" i="72" s="1"/>
  <c r="L231" i="72" s="1"/>
  <c r="P59" i="83"/>
  <c r="T55" i="83"/>
  <c r="T123" i="83" s="1"/>
  <c r="W64" i="83"/>
  <c r="AA60" i="83"/>
  <c r="AE56" i="83"/>
  <c r="AN55" i="83"/>
  <c r="AM60" i="83"/>
  <c r="J57" i="83"/>
  <c r="J125" i="83" s="1"/>
  <c r="J125" i="72" s="1"/>
  <c r="J195" i="72" s="1"/>
  <c r="J225" i="72" s="1"/>
  <c r="S60" i="83"/>
  <c r="S128" i="83" s="1"/>
  <c r="S128" i="72" s="1"/>
  <c r="S198" i="72" s="1"/>
  <c r="S228" i="72" s="1"/>
  <c r="K57" i="83"/>
  <c r="K125" i="83" s="1"/>
  <c r="K125" i="72" s="1"/>
  <c r="K195" i="72" s="1"/>
  <c r="K225" i="72" s="1"/>
  <c r="AN60" i="83"/>
  <c r="AJ64" i="83"/>
  <c r="AI58" i="83"/>
  <c r="AE62" i="83"/>
  <c r="R56" i="83"/>
  <c r="N60" i="83"/>
  <c r="N128" i="83" s="1"/>
  <c r="N128" i="72" s="1"/>
  <c r="N198" i="72" s="1"/>
  <c r="N228" i="72" s="1"/>
  <c r="O57" i="83"/>
  <c r="O125" i="83" s="1"/>
  <c r="O125" i="72" s="1"/>
  <c r="O195" i="72" s="1"/>
  <c r="O225" i="72" s="1"/>
  <c r="K61" i="83"/>
  <c r="K129" i="83" s="1"/>
  <c r="K129" i="72" s="1"/>
  <c r="K199" i="72" s="1"/>
  <c r="K229" i="72" s="1"/>
  <c r="AN64" i="83"/>
  <c r="AM58" i="83"/>
  <c r="AI62" i="83"/>
  <c r="V56" i="83"/>
  <c r="R60" i="83"/>
  <c r="N64" i="83"/>
  <c r="N132" i="83" s="1"/>
  <c r="N132" i="72" s="1"/>
  <c r="N202" i="72" s="1"/>
  <c r="N232" i="72" s="1"/>
  <c r="R58" i="83"/>
  <c r="N62" i="83"/>
  <c r="N130" i="83" s="1"/>
  <c r="N130" i="72" s="1"/>
  <c r="N200" i="72" s="1"/>
  <c r="N230" i="72" s="1"/>
  <c r="M56" i="83"/>
  <c r="M124" i="83" s="1"/>
  <c r="AP59" i="83"/>
  <c r="AL63" i="83"/>
  <c r="AP56" i="83"/>
  <c r="AL60" i="83"/>
  <c r="AH64" i="83"/>
  <c r="M60" i="83"/>
  <c r="M128" i="83" s="1"/>
  <c r="M128" i="72" s="1"/>
  <c r="M198" i="72" s="1"/>
  <c r="M228" i="72" s="1"/>
  <c r="W63" i="83"/>
  <c r="AF64" i="83"/>
  <c r="J60" i="83"/>
  <c r="J128" i="83" s="1"/>
  <c r="J128" i="72" s="1"/>
  <c r="J198" i="72" s="1"/>
  <c r="J228" i="72" s="1"/>
  <c r="AD59" i="83"/>
  <c r="U59" i="83"/>
  <c r="AO64" i="83"/>
  <c r="AO55" i="83"/>
  <c r="J64" i="83"/>
  <c r="J132" i="83" s="1"/>
  <c r="J132" i="72" s="1"/>
  <c r="J202" i="72" s="1"/>
  <c r="J232" i="72" s="1"/>
  <c r="K64" i="83"/>
  <c r="K132" i="83" s="1"/>
  <c r="K132" i="72" s="1"/>
  <c r="K202" i="72" s="1"/>
  <c r="K232" i="72" s="1"/>
  <c r="Z61" i="83"/>
  <c r="AP57" i="83"/>
  <c r="AK63" i="83"/>
  <c r="O59" i="83"/>
  <c r="O127" i="83" s="1"/>
  <c r="O127" i="72" s="1"/>
  <c r="O197" i="72" s="1"/>
  <c r="O227" i="72" s="1"/>
  <c r="AN57" i="83"/>
  <c r="O63" i="83"/>
  <c r="O131" i="83" s="1"/>
  <c r="O131" i="72" s="1"/>
  <c r="O201" i="72" s="1"/>
  <c r="O231" i="72" s="1"/>
  <c r="J59" i="83"/>
  <c r="J127" i="83" s="1"/>
  <c r="J127" i="72" s="1"/>
  <c r="J197" i="72" s="1"/>
  <c r="J227" i="72" s="1"/>
  <c r="AI63" i="83"/>
  <c r="N56" i="83"/>
  <c r="N124" i="83" s="1"/>
  <c r="AM63" i="83"/>
  <c r="AB63" i="83"/>
  <c r="J61" i="83"/>
  <c r="J129" i="83" s="1"/>
  <c r="J129" i="72" s="1"/>
  <c r="J199" i="72" s="1"/>
  <c r="J229" i="72" s="1"/>
  <c r="Z57" i="83"/>
  <c r="T64" i="83"/>
  <c r="T132" i="83" s="1"/>
  <c r="T132" i="72" s="1"/>
  <c r="T202" i="72" s="1"/>
  <c r="T232" i="72" s="1"/>
  <c r="AE59" i="83"/>
  <c r="W58" i="83"/>
  <c r="AE63" i="83"/>
  <c r="Z59" i="83"/>
  <c r="R64" i="83"/>
  <c r="L58" i="83"/>
  <c r="L126" i="83" s="1"/>
  <c r="L126" i="72" s="1"/>
  <c r="L196" i="72" s="1"/>
  <c r="L226" i="72" s="1"/>
  <c r="AD64" i="83"/>
  <c r="O60" i="83"/>
  <c r="O128" i="83" s="1"/>
  <c r="O128" i="72" s="1"/>
  <c r="O198" i="72" s="1"/>
  <c r="O228" i="72" s="1"/>
  <c r="AD57" i="83"/>
  <c r="P63" i="83"/>
  <c r="AJ57" i="83"/>
  <c r="P56" i="83"/>
  <c r="AJ61" i="83"/>
  <c r="S57" i="83"/>
  <c r="S125" i="83" s="1"/>
  <c r="S125" i="72" s="1"/>
  <c r="S195" i="72" s="1"/>
  <c r="S225" i="72" s="1"/>
  <c r="AM62" i="83"/>
  <c r="Q56" i="83"/>
  <c r="AI61" i="83"/>
  <c r="K59" i="83"/>
  <c r="K127" i="83" s="1"/>
  <c r="K127" i="72" s="1"/>
  <c r="K197" i="72" s="1"/>
  <c r="K227" i="72" s="1"/>
  <c r="AF59" i="83"/>
  <c r="N57" i="83"/>
  <c r="N125" i="83" s="1"/>
  <c r="N125" i="72" s="1"/>
  <c r="N195" i="72" s="1"/>
  <c r="N225" i="72" s="1"/>
  <c r="AH61" i="83"/>
  <c r="S58" i="83"/>
  <c r="S126" i="83" s="1"/>
  <c r="S126" i="72" s="1"/>
  <c r="S196" i="72" s="1"/>
  <c r="S226" i="72" s="1"/>
  <c r="AF56" i="83"/>
  <c r="S62" i="83"/>
  <c r="S130" i="83" s="1"/>
  <c r="S130" i="72" s="1"/>
  <c r="S200" i="72" s="1"/>
  <c r="S230" i="72" s="1"/>
  <c r="AI57" i="83"/>
  <c r="V63" i="83"/>
  <c r="O58" i="83"/>
  <c r="O126" i="83" s="1"/>
  <c r="O126" i="72" s="1"/>
  <c r="O196" i="72" s="1"/>
  <c r="O226" i="72" s="1"/>
  <c r="AH55" i="83"/>
  <c r="L62" i="83"/>
  <c r="L130" i="83" s="1"/>
  <c r="L130" i="72" s="1"/>
  <c r="L200" i="72" s="1"/>
  <c r="L230" i="72" s="1"/>
  <c r="S56" i="83"/>
  <c r="S124" i="83" s="1"/>
  <c r="T59" i="83"/>
  <c r="T127" i="83" s="1"/>
  <c r="T127" i="72" s="1"/>
  <c r="T197" i="72" s="1"/>
  <c r="T227" i="72" s="1"/>
  <c r="L56" i="83"/>
  <c r="L124" i="83" s="1"/>
  <c r="AF61" i="83"/>
  <c r="L60" i="83"/>
  <c r="L128" i="83" s="1"/>
  <c r="L128" i="72" s="1"/>
  <c r="L198" i="72" s="1"/>
  <c r="L228" i="72" s="1"/>
  <c r="W55" i="83"/>
  <c r="O61" i="83"/>
  <c r="O129" i="83" s="1"/>
  <c r="O129" i="72" s="1"/>
  <c r="O199" i="72" s="1"/>
  <c r="O229" i="72" s="1"/>
  <c r="Y61" i="83"/>
  <c r="Y55" i="83"/>
  <c r="AJ55" i="83"/>
  <c r="AL57" i="83"/>
  <c r="AB56" i="83"/>
  <c r="O62" i="83"/>
  <c r="O130" i="83" s="1"/>
  <c r="O130" i="72" s="1"/>
  <c r="O200" i="72" s="1"/>
  <c r="O230" i="72" s="1"/>
  <c r="AB60" i="83"/>
  <c r="AM55" i="83"/>
  <c r="AE61" i="83"/>
  <c r="Z56" i="83"/>
  <c r="X62" i="83"/>
  <c r="W57" i="83"/>
  <c r="X55" i="83"/>
  <c r="X64" i="83"/>
  <c r="AH62" i="83"/>
  <c r="AL61" i="83"/>
  <c r="S59" i="83"/>
  <c r="S127" i="83" s="1"/>
  <c r="S127" i="72" s="1"/>
  <c r="S197" i="72" s="1"/>
  <c r="S227" i="72" s="1"/>
  <c r="L61" i="83"/>
  <c r="L129" i="83" s="1"/>
  <c r="L129" i="72" s="1"/>
  <c r="L199" i="72" s="1"/>
  <c r="L229" i="72" s="1"/>
  <c r="V61" i="83"/>
  <c r="AI59" i="83"/>
  <c r="J63" i="83"/>
  <c r="J131" i="83" s="1"/>
  <c r="J131" i="72" s="1"/>
  <c r="J201" i="72" s="1"/>
  <c r="J231" i="72" s="1"/>
  <c r="AO59" i="83"/>
  <c r="N55" i="83"/>
  <c r="N123" i="83" s="1"/>
  <c r="X60" i="83"/>
  <c r="AD55" i="83"/>
  <c r="AI55" i="83"/>
  <c r="V60" i="83"/>
  <c r="AM56" i="83"/>
  <c r="S55" i="83"/>
  <c r="S123" i="83" s="1"/>
  <c r="AM59" i="83"/>
  <c r="AO63" i="83"/>
  <c r="AJ60" i="83"/>
  <c r="AG142" i="80"/>
  <c r="AG168" i="80" s="1"/>
  <c r="AA74" i="53"/>
  <c r="AB71" i="53"/>
  <c r="AB72" i="53"/>
  <c r="AB105" i="53"/>
  <c r="AB70" i="53"/>
  <c r="AB88" i="53" s="1"/>
  <c r="L66" i="53"/>
  <c r="L65" i="53"/>
  <c r="L64" i="53"/>
  <c r="AK148" i="80"/>
  <c r="AK174" i="80" s="1"/>
  <c r="U202" i="80"/>
  <c r="U258" i="80"/>
  <c r="U256" i="80"/>
  <c r="U254" i="80"/>
  <c r="U257" i="80"/>
  <c r="U253" i="80"/>
  <c r="U255" i="80"/>
  <c r="U252" i="80"/>
  <c r="U259" i="80"/>
  <c r="W257" i="80"/>
  <c r="V75" i="53"/>
  <c r="P73" i="53"/>
  <c r="M249" i="83"/>
  <c r="AE121" i="80"/>
  <c r="AE133" i="80" s="1"/>
  <c r="AE111" i="83"/>
  <c r="AE71" i="80"/>
  <c r="AE83" i="80" s="1"/>
  <c r="AE83" i="83"/>
  <c r="AE94" i="83"/>
  <c r="AE93" i="83"/>
  <c r="AE93" i="80"/>
  <c r="AE105" i="80" s="1"/>
  <c r="N204" i="80"/>
  <c r="N206" i="80" s="1"/>
  <c r="N20" i="74"/>
  <c r="AK146" i="80"/>
  <c r="AK172" i="80" s="1"/>
  <c r="AD124" i="80"/>
  <c r="AD136" i="80" s="1"/>
  <c r="AD114" i="83"/>
  <c r="AD98" i="80"/>
  <c r="AD110" i="80" s="1"/>
  <c r="AD99" i="83"/>
  <c r="AD107" i="83"/>
  <c r="AD117" i="80"/>
  <c r="AD129" i="80" s="1"/>
  <c r="AG146" i="80"/>
  <c r="AG172" i="80" s="1"/>
  <c r="AI142" i="80"/>
  <c r="AI168" i="80" s="1"/>
  <c r="V204" i="80"/>
  <c r="V20" i="74"/>
  <c r="K340" i="53"/>
  <c r="K351" i="53" s="1"/>
  <c r="AC148" i="80"/>
  <c r="AC174" i="80" s="1"/>
  <c r="T66" i="53"/>
  <c r="T65" i="53"/>
  <c r="T64" i="53"/>
  <c r="Y202" i="80"/>
  <c r="Y243" i="80"/>
  <c r="Q20" i="74"/>
  <c r="Q204" i="80"/>
  <c r="S46" i="53"/>
  <c r="S39" i="53"/>
  <c r="S48" i="53"/>
  <c r="S47" i="53"/>
  <c r="L267" i="83"/>
  <c r="L243" i="83"/>
  <c r="AD96" i="83"/>
  <c r="AD95" i="80"/>
  <c r="AD107" i="80" s="1"/>
  <c r="T202" i="80"/>
  <c r="T241" i="80"/>
  <c r="T242" i="80"/>
  <c r="T246" i="80"/>
  <c r="J83" i="73"/>
  <c r="AM86" i="73"/>
  <c r="AJ83" i="73"/>
  <c r="R83" i="73"/>
  <c r="AO85" i="73"/>
  <c r="N85" i="73"/>
  <c r="AO84" i="73"/>
  <c r="Y81" i="73"/>
  <c r="T89" i="73"/>
  <c r="J88" i="73"/>
  <c r="R87" i="73"/>
  <c r="AL87" i="73"/>
  <c r="T82" i="73"/>
  <c r="AF85" i="73"/>
  <c r="AH84" i="73"/>
  <c r="AA81" i="73"/>
  <c r="S88" i="73"/>
  <c r="AA89" i="73"/>
  <c r="J86" i="73"/>
  <c r="Y87" i="73"/>
  <c r="AD83" i="73"/>
  <c r="AB82" i="73"/>
  <c r="O85" i="73"/>
  <c r="P85" i="73"/>
  <c r="AM84" i="73"/>
  <c r="AF81" i="73"/>
  <c r="AF88" i="73"/>
  <c r="AO86" i="73"/>
  <c r="AK81" i="73"/>
  <c r="N80" i="73"/>
  <c r="AO83" i="73"/>
  <c r="AJ81" i="73"/>
  <c r="N89" i="73"/>
  <c r="O80" i="73"/>
  <c r="AC86" i="73"/>
  <c r="AL84" i="73"/>
  <c r="S80" i="73"/>
  <c r="AH87" i="73"/>
  <c r="T84" i="73"/>
  <c r="AJ89" i="73"/>
  <c r="AF80" i="73"/>
  <c r="J87" i="73"/>
  <c r="AD87" i="73"/>
  <c r="S83" i="73"/>
  <c r="AM82" i="73"/>
  <c r="L85" i="73"/>
  <c r="V85" i="73"/>
  <c r="AF84" i="73"/>
  <c r="AM81" i="73"/>
  <c r="AF89" i="73"/>
  <c r="AD86" i="73"/>
  <c r="AC87" i="73"/>
  <c r="P87" i="73"/>
  <c r="W82" i="73"/>
  <c r="Y86" i="73"/>
  <c r="AP87" i="73"/>
  <c r="L83" i="73"/>
  <c r="K82" i="73"/>
  <c r="AL85" i="73"/>
  <c r="S85" i="73"/>
  <c r="L84" i="73"/>
  <c r="V81" i="73"/>
  <c r="R89" i="73"/>
  <c r="P86" i="73"/>
  <c r="L87" i="73"/>
  <c r="AG87" i="73"/>
  <c r="AG82" i="73"/>
  <c r="Q85" i="73"/>
  <c r="V84" i="73"/>
  <c r="AM88" i="73"/>
  <c r="AD89" i="73"/>
  <c r="AG89" i="73"/>
  <c r="AI86" i="73"/>
  <c r="S87" i="73"/>
  <c r="AF83" i="73"/>
  <c r="AJ82" i="73"/>
  <c r="AN85" i="73"/>
  <c r="T85" i="73"/>
  <c r="O84" i="73"/>
  <c r="AL88" i="73"/>
  <c r="AH88" i="73"/>
  <c r="V87" i="73"/>
  <c r="O88" i="73"/>
  <c r="K81" i="73"/>
  <c r="Q82" i="73"/>
  <c r="L88" i="73"/>
  <c r="AK80" i="73"/>
  <c r="Q80" i="73"/>
  <c r="X86" i="73"/>
  <c r="V88" i="73"/>
  <c r="AO80" i="73"/>
  <c r="AA87" i="73"/>
  <c r="L81" i="73"/>
  <c r="AC80" i="73"/>
  <c r="Z80" i="73"/>
  <c r="U82" i="73"/>
  <c r="AL86" i="73"/>
  <c r="AM87" i="73"/>
  <c r="AK83" i="73"/>
  <c r="AI82" i="73"/>
  <c r="AM85" i="73"/>
  <c r="K85" i="73"/>
  <c r="Y84" i="73"/>
  <c r="AC81" i="73"/>
  <c r="X89" i="73"/>
  <c r="O86" i="73"/>
  <c r="M87" i="73"/>
  <c r="X87" i="73"/>
  <c r="AL82" i="73"/>
  <c r="AH85" i="73"/>
  <c r="Z84" i="73"/>
  <c r="AC88" i="73"/>
  <c r="P89" i="73"/>
  <c r="U89" i="73"/>
  <c r="AP86" i="73"/>
  <c r="AO87" i="73"/>
  <c r="K83" i="73"/>
  <c r="L82" i="73"/>
  <c r="AE85" i="73"/>
  <c r="AP84" i="73"/>
  <c r="AG81" i="73"/>
  <c r="U88" i="73"/>
  <c r="V89" i="73"/>
  <c r="V83" i="73"/>
  <c r="AK89" i="73"/>
  <c r="T86" i="73"/>
  <c r="AF82" i="73"/>
  <c r="Y88" i="73"/>
  <c r="AD80" i="73"/>
  <c r="Y80" i="73"/>
  <c r="U87" i="73"/>
  <c r="P88" i="73"/>
  <c r="N81" i="73"/>
  <c r="AB87" i="73"/>
  <c r="AL81" i="73"/>
  <c r="K80" i="73"/>
  <c r="AH80" i="73"/>
  <c r="J85" i="73"/>
  <c r="V86" i="73"/>
  <c r="AP83" i="73"/>
  <c r="O83" i="73"/>
  <c r="O82" i="73"/>
  <c r="AP85" i="73"/>
  <c r="AA84" i="73"/>
  <c r="AI84" i="73"/>
  <c r="AB88" i="73"/>
  <c r="M81" i="73"/>
  <c r="Q86" i="73"/>
  <c r="AJ87" i="73"/>
  <c r="AL83" i="73"/>
  <c r="AH82" i="73"/>
  <c r="N84" i="73"/>
  <c r="O81" i="73"/>
  <c r="AN88" i="73"/>
  <c r="L89" i="73"/>
  <c r="J89" i="73"/>
  <c r="AE86" i="73"/>
  <c r="AH83" i="73"/>
  <c r="AN83" i="73"/>
  <c r="AA85" i="73"/>
  <c r="AI85" i="73"/>
  <c r="AC84" i="73"/>
  <c r="AE81" i="73"/>
  <c r="Q88" i="73"/>
  <c r="W89" i="73"/>
  <c r="AD82" i="73"/>
  <c r="L80" i="73"/>
  <c r="Z87" i="73"/>
  <c r="AO81" i="73"/>
  <c r="Y89" i="73"/>
  <c r="AB80" i="73"/>
  <c r="AP80" i="73"/>
  <c r="R82" i="73"/>
  <c r="AB89" i="73"/>
  <c r="AF86" i="73"/>
  <c r="M82" i="73"/>
  <c r="K89" i="73"/>
  <c r="M80" i="73"/>
  <c r="J84" i="73"/>
  <c r="Z83" i="73"/>
  <c r="W84" i="73"/>
  <c r="AA88" i="73"/>
  <c r="AN87" i="73"/>
  <c r="AO82" i="73"/>
  <c r="AB81" i="73"/>
  <c r="AM89" i="73"/>
  <c r="L86" i="73"/>
  <c r="U83" i="73"/>
  <c r="Y85" i="73"/>
  <c r="AI81" i="73"/>
  <c r="AN86" i="73"/>
  <c r="AG80" i="73"/>
  <c r="AN81" i="73"/>
  <c r="AJ80" i="73"/>
  <c r="U85" i="73"/>
  <c r="N86" i="73"/>
  <c r="Z89" i="73"/>
  <c r="AG86" i="73"/>
  <c r="AI83" i="73"/>
  <c r="AB84" i="73"/>
  <c r="AE89" i="73"/>
  <c r="K87" i="73"/>
  <c r="W85" i="73"/>
  <c r="Z88" i="73"/>
  <c r="O89" i="73"/>
  <c r="T87" i="73"/>
  <c r="AP82" i="73"/>
  <c r="AD85" i="73"/>
  <c r="N88" i="73"/>
  <c r="AK86" i="73"/>
  <c r="T81" i="73"/>
  <c r="AD88" i="73"/>
  <c r="T80" i="73"/>
  <c r="AG88" i="73"/>
  <c r="N87" i="73"/>
  <c r="AL80" i="73"/>
  <c r="M86" i="73"/>
  <c r="X82" i="73"/>
  <c r="X84" i="73"/>
  <c r="S81" i="73"/>
  <c r="W83" i="73"/>
  <c r="S84" i="73"/>
  <c r="T88" i="73"/>
  <c r="P81" i="73"/>
  <c r="AK87" i="73"/>
  <c r="AK82" i="73"/>
  <c r="R84" i="73"/>
  <c r="AK88" i="73"/>
  <c r="Q83" i="73"/>
  <c r="AI87" i="73"/>
  <c r="AE88" i="73"/>
  <c r="AE80" i="73"/>
  <c r="W88" i="73"/>
  <c r="Q87" i="73"/>
  <c r="X80" i="73"/>
  <c r="AA86" i="73"/>
  <c r="AC82" i="73"/>
  <c r="AJ84" i="73"/>
  <c r="Q81" i="73"/>
  <c r="AB83" i="73"/>
  <c r="AK84" i="73"/>
  <c r="K88" i="73"/>
  <c r="R81" i="73"/>
  <c r="AE87" i="73"/>
  <c r="Y82" i="73"/>
  <c r="AD84" i="73"/>
  <c r="M88" i="73"/>
  <c r="P83" i="73"/>
  <c r="AF87" i="73"/>
  <c r="Q89" i="73"/>
  <c r="AI80" i="73"/>
  <c r="AH89" i="73"/>
  <c r="S82" i="73"/>
  <c r="AA80" i="73"/>
  <c r="W87" i="73"/>
  <c r="AN82" i="73"/>
  <c r="AG84" i="73"/>
  <c r="AJ86" i="73"/>
  <c r="AM83" i="73"/>
  <c r="Q84" i="73"/>
  <c r="AJ88" i="73"/>
  <c r="J82" i="73"/>
  <c r="M83" i="73"/>
  <c r="X85" i="73"/>
  <c r="P84" i="73"/>
  <c r="AO88" i="73"/>
  <c r="AK85" i="73"/>
  <c r="AE83" i="73"/>
  <c r="M89" i="73"/>
  <c r="U80" i="73"/>
  <c r="W80" i="73"/>
  <c r="R85" i="73"/>
  <c r="AN80" i="73"/>
  <c r="AA83" i="73"/>
  <c r="AJ85" i="73"/>
  <c r="Z81" i="73"/>
  <c r="AH86" i="73"/>
  <c r="Z82" i="73"/>
  <c r="U84" i="73"/>
  <c r="AL89" i="73"/>
  <c r="R86" i="73"/>
  <c r="N83" i="73"/>
  <c r="AC85" i="73"/>
  <c r="AE84" i="73"/>
  <c r="R88" i="73"/>
  <c r="AH81" i="73"/>
  <c r="P82" i="73"/>
  <c r="J80" i="73"/>
  <c r="Z86" i="73"/>
  <c r="V80" i="73"/>
  <c r="M84" i="73"/>
  <c r="R80" i="73"/>
  <c r="AC83" i="73"/>
  <c r="AA82" i="73"/>
  <c r="AG83" i="73"/>
  <c r="AP89" i="73"/>
  <c r="W86" i="73"/>
  <c r="Y83" i="73"/>
  <c r="AE82" i="73"/>
  <c r="X83" i="73"/>
  <c r="AO89" i="73"/>
  <c r="K86" i="73"/>
  <c r="M85" i="73"/>
  <c r="X81" i="73"/>
  <c r="AB85" i="73"/>
  <c r="AN84" i="73"/>
  <c r="AD81" i="73"/>
  <c r="AG85" i="73"/>
  <c r="W81" i="73"/>
  <c r="Z85" i="73"/>
  <c r="K84" i="73"/>
  <c r="AP88" i="73"/>
  <c r="AI88" i="73"/>
  <c r="S89" i="73"/>
  <c r="U81" i="73"/>
  <c r="AM80" i="73"/>
  <c r="V82" i="73"/>
  <c r="AB86" i="73"/>
  <c r="S86" i="73"/>
  <c r="AI89" i="73"/>
  <c r="T83" i="73"/>
  <c r="P80" i="73"/>
  <c r="J81" i="73"/>
  <c r="X88" i="73"/>
  <c r="AC89" i="73"/>
  <c r="AP81" i="73"/>
  <c r="AN89" i="73"/>
  <c r="N82" i="73"/>
  <c r="U86" i="73"/>
  <c r="O87" i="73"/>
  <c r="AA73" i="53"/>
  <c r="X20" i="74"/>
  <c r="X204" i="80"/>
  <c r="X206" i="80" s="1"/>
  <c r="AM149" i="80"/>
  <c r="AM175" i="80" s="1"/>
  <c r="AK145" i="80"/>
  <c r="AK171" i="80" s="1"/>
  <c r="V70" i="53"/>
  <c r="V88" i="53" s="1"/>
  <c r="V90" i="53" s="1"/>
  <c r="V120" i="53" s="1"/>
  <c r="V122" i="53" s="1"/>
  <c r="V71" i="53"/>
  <c r="V72" i="53"/>
  <c r="AE93" i="72"/>
  <c r="AJ96" i="72"/>
  <c r="AJ161" i="72" s="1"/>
  <c r="AJ196" i="72" s="1"/>
  <c r="AJ226" i="72" s="1"/>
  <c r="AG97" i="72"/>
  <c r="AG162" i="72" s="1"/>
  <c r="AG197" i="72" s="1"/>
  <c r="AG227" i="72" s="1"/>
  <c r="AL96" i="72"/>
  <c r="AL161" i="72" s="1"/>
  <c r="AL196" i="72" s="1"/>
  <c r="AL226" i="72" s="1"/>
  <c r="AI97" i="72"/>
  <c r="AI162" i="72" s="1"/>
  <c r="AI197" i="72" s="1"/>
  <c r="AI227" i="72" s="1"/>
  <c r="AN94" i="72"/>
  <c r="AP94" i="72"/>
  <c r="AD99" i="72"/>
  <c r="AD164" i="72" s="1"/>
  <c r="AD199" i="72" s="1"/>
  <c r="AD229" i="72" s="1"/>
  <c r="AD98" i="72"/>
  <c r="AD163" i="72" s="1"/>
  <c r="AD198" i="72" s="1"/>
  <c r="AD228" i="72" s="1"/>
  <c r="AN99" i="72"/>
  <c r="AN164" i="72" s="1"/>
  <c r="AN199" i="72" s="1"/>
  <c r="AN229" i="72" s="1"/>
  <c r="AP93" i="72"/>
  <c r="AM94" i="72"/>
  <c r="AD94" i="72"/>
  <c r="AO94" i="72"/>
  <c r="AC99" i="72"/>
  <c r="AC164" i="72" s="1"/>
  <c r="AC199" i="72" s="1"/>
  <c r="AC229" i="72" s="1"/>
  <c r="AE99" i="72"/>
  <c r="AE164" i="72" s="1"/>
  <c r="AE199" i="72" s="1"/>
  <c r="AE229" i="72" s="1"/>
  <c r="AC101" i="72"/>
  <c r="AC166" i="72" s="1"/>
  <c r="AC201" i="72" s="1"/>
  <c r="AC231" i="72" s="1"/>
  <c r="AG102" i="72"/>
  <c r="AG167" i="72" s="1"/>
  <c r="AG202" i="72" s="1"/>
  <c r="AG232" i="72" s="1"/>
  <c r="AL102" i="72"/>
  <c r="AL167" i="72" s="1"/>
  <c r="AL202" i="72" s="1"/>
  <c r="AL232" i="72" s="1"/>
  <c r="AH95" i="72"/>
  <c r="AH160" i="72" s="1"/>
  <c r="AH195" i="72" s="1"/>
  <c r="AH225" i="72" s="1"/>
  <c r="AE96" i="72"/>
  <c r="AE161" i="72" s="1"/>
  <c r="AE196" i="72" s="1"/>
  <c r="AE226" i="72" s="1"/>
  <c r="AJ95" i="72"/>
  <c r="AJ160" i="72" s="1"/>
  <c r="AJ195" i="72" s="1"/>
  <c r="AJ225" i="72" s="1"/>
  <c r="AG96" i="72"/>
  <c r="AG161" i="72" s="1"/>
  <c r="AG196" i="72" s="1"/>
  <c r="AG226" i="72" s="1"/>
  <c r="AI102" i="72"/>
  <c r="AI167" i="72" s="1"/>
  <c r="AI202" i="72" s="1"/>
  <c r="AI232" i="72" s="1"/>
  <c r="AK102" i="72"/>
  <c r="AK167" i="72" s="1"/>
  <c r="AK202" i="72" s="1"/>
  <c r="AK232" i="72" s="1"/>
  <c r="AN96" i="72"/>
  <c r="AN161" i="72" s="1"/>
  <c r="AN196" i="72" s="1"/>
  <c r="AN226" i="72" s="1"/>
  <c r="AN95" i="72"/>
  <c r="AN160" i="72" s="1"/>
  <c r="AN195" i="72" s="1"/>
  <c r="AN225" i="72" s="1"/>
  <c r="AP101" i="72"/>
  <c r="AP166" i="72" s="1"/>
  <c r="AP201" i="72" s="1"/>
  <c r="AP231" i="72" s="1"/>
  <c r="AM102" i="72"/>
  <c r="AM167" i="72" s="1"/>
  <c r="AM202" i="72" s="1"/>
  <c r="AM232" i="72" s="1"/>
  <c r="AK93" i="72"/>
  <c r="AO102" i="72"/>
  <c r="AO167" i="72" s="1"/>
  <c r="AO202" i="72" s="1"/>
  <c r="AO232" i="72" s="1"/>
  <c r="AM93" i="72"/>
  <c r="AM96" i="72"/>
  <c r="AM161" i="72" s="1"/>
  <c r="AM196" i="72" s="1"/>
  <c r="AM226" i="72" s="1"/>
  <c r="AO96" i="72"/>
  <c r="AO161" i="72" s="1"/>
  <c r="AO196" i="72" s="1"/>
  <c r="AO226" i="72" s="1"/>
  <c r="AM98" i="72"/>
  <c r="AM163" i="72" s="1"/>
  <c r="AM198" i="72" s="1"/>
  <c r="AM228" i="72" s="1"/>
  <c r="AC100" i="72"/>
  <c r="AC165" i="72" s="1"/>
  <c r="AC200" i="72" s="1"/>
  <c r="AC230" i="72" s="1"/>
  <c r="AH100" i="72"/>
  <c r="AH165" i="72" s="1"/>
  <c r="AH200" i="72" s="1"/>
  <c r="AH230" i="72" s="1"/>
  <c r="AF94" i="72"/>
  <c r="AC95" i="72"/>
  <c r="AC160" i="72" s="1"/>
  <c r="AC195" i="72" s="1"/>
  <c r="AC225" i="72" s="1"/>
  <c r="AH94" i="72"/>
  <c r="AE95" i="72"/>
  <c r="AE160" i="72" s="1"/>
  <c r="AE195" i="72" s="1"/>
  <c r="AE225" i="72" s="1"/>
  <c r="AE100" i="72"/>
  <c r="AE165" i="72" s="1"/>
  <c r="AE200" i="72" s="1"/>
  <c r="AE230" i="72" s="1"/>
  <c r="AG100" i="72"/>
  <c r="AG165" i="72" s="1"/>
  <c r="AG200" i="72" s="1"/>
  <c r="AG230" i="72" s="1"/>
  <c r="AJ94" i="72"/>
  <c r="AJ93" i="72"/>
  <c r="AN100" i="72"/>
  <c r="AN165" i="72" s="1"/>
  <c r="AN200" i="72" s="1"/>
  <c r="AN230" i="72" s="1"/>
  <c r="AK101" i="72"/>
  <c r="AK166" i="72" s="1"/>
  <c r="AK201" i="72" s="1"/>
  <c r="AK231" i="72" s="1"/>
  <c r="AH102" i="72"/>
  <c r="AH167" i="72" s="1"/>
  <c r="AH202" i="72" s="1"/>
  <c r="AH232" i="72" s="1"/>
  <c r="AM101" i="72"/>
  <c r="AM166" i="72" s="1"/>
  <c r="AM201" i="72" s="1"/>
  <c r="AM231" i="72" s="1"/>
  <c r="AJ101" i="72"/>
  <c r="AJ166" i="72" s="1"/>
  <c r="AJ201" i="72" s="1"/>
  <c r="AJ231" i="72" s="1"/>
  <c r="AI94" i="72"/>
  <c r="AK94" i="72"/>
  <c r="AI96" i="72"/>
  <c r="AI161" i="72" s="1"/>
  <c r="AI196" i="72" s="1"/>
  <c r="AI226" i="72" s="1"/>
  <c r="AM97" i="72"/>
  <c r="AM162" i="72" s="1"/>
  <c r="AM197" i="72" s="1"/>
  <c r="AM227" i="72" s="1"/>
  <c r="AF102" i="72"/>
  <c r="AF167" i="72" s="1"/>
  <c r="AF202" i="72" s="1"/>
  <c r="AF232" i="72" s="1"/>
  <c r="AD93" i="72"/>
  <c r="AO93" i="72"/>
  <c r="AF93" i="72"/>
  <c r="AC94" i="72"/>
  <c r="AO97" i="72"/>
  <c r="AO162" i="72" s="1"/>
  <c r="AO197" i="72" s="1"/>
  <c r="AO227" i="72" s="1"/>
  <c r="AC98" i="72"/>
  <c r="AC163" i="72" s="1"/>
  <c r="AC198" i="72" s="1"/>
  <c r="AC228" i="72" s="1"/>
  <c r="AE102" i="72"/>
  <c r="AE167" i="72" s="1"/>
  <c r="AE202" i="72" s="1"/>
  <c r="AE232" i="72" s="1"/>
  <c r="AE101" i="72"/>
  <c r="AE166" i="72" s="1"/>
  <c r="AE201" i="72" s="1"/>
  <c r="AE231" i="72" s="1"/>
  <c r="AL99" i="72"/>
  <c r="AL164" i="72" s="1"/>
  <c r="AL199" i="72" s="1"/>
  <c r="AL229" i="72" s="1"/>
  <c r="AI100" i="72"/>
  <c r="AI165" i="72" s="1"/>
  <c r="AI200" i="72" s="1"/>
  <c r="AI230" i="72" s="1"/>
  <c r="AD100" i="72"/>
  <c r="AD165" i="72" s="1"/>
  <c r="AD200" i="72" s="1"/>
  <c r="AD230" i="72" s="1"/>
  <c r="AK100" i="72"/>
  <c r="AK165" i="72" s="1"/>
  <c r="AK200" i="72" s="1"/>
  <c r="AK230" i="72" s="1"/>
  <c r="AL101" i="72"/>
  <c r="AL166" i="72" s="1"/>
  <c r="AL201" i="72" s="1"/>
  <c r="AL231" i="72" s="1"/>
  <c r="AN101" i="72"/>
  <c r="AN166" i="72" s="1"/>
  <c r="AN201" i="72" s="1"/>
  <c r="AN231" i="72" s="1"/>
  <c r="AJ102" i="72"/>
  <c r="AJ167" i="72" s="1"/>
  <c r="AJ202" i="72" s="1"/>
  <c r="AJ232" i="72" s="1"/>
  <c r="AE94" i="72"/>
  <c r="AI95" i="72"/>
  <c r="AI160" i="72" s="1"/>
  <c r="AI195" i="72" s="1"/>
  <c r="AI225" i="72" s="1"/>
  <c r="AN98" i="72"/>
  <c r="AN163" i="72" s="1"/>
  <c r="AN198" i="72" s="1"/>
  <c r="AN228" i="72" s="1"/>
  <c r="AK99" i="72"/>
  <c r="AK164" i="72" s="1"/>
  <c r="AK199" i="72" s="1"/>
  <c r="AK229" i="72" s="1"/>
  <c r="AP98" i="72"/>
  <c r="AP163" i="72" s="1"/>
  <c r="AP198" i="72" s="1"/>
  <c r="AP228" i="72" s="1"/>
  <c r="AM99" i="72"/>
  <c r="AM164" i="72" s="1"/>
  <c r="AM199" i="72" s="1"/>
  <c r="AM229" i="72" s="1"/>
  <c r="AF98" i="72"/>
  <c r="AF163" i="72" s="1"/>
  <c r="AF198" i="72" s="1"/>
  <c r="AF228" i="72" s="1"/>
  <c r="AJ99" i="72"/>
  <c r="AJ164" i="72" s="1"/>
  <c r="AJ199" i="72" s="1"/>
  <c r="AJ229" i="72" s="1"/>
  <c r="AP100" i="72"/>
  <c r="AP165" i="72" s="1"/>
  <c r="AP200" i="72" s="1"/>
  <c r="AP230" i="72" s="1"/>
  <c r="AG95" i="72"/>
  <c r="AG160" i="72" s="1"/>
  <c r="AG195" i="72" s="1"/>
  <c r="AG225" i="72" s="1"/>
  <c r="AG94" i="72"/>
  <c r="AF96" i="72"/>
  <c r="AF161" i="72" s="1"/>
  <c r="AF196" i="72" s="1"/>
  <c r="AF226" i="72" s="1"/>
  <c r="AC97" i="72"/>
  <c r="AC162" i="72" s="1"/>
  <c r="AC197" i="72" s="1"/>
  <c r="AC227" i="72" s="1"/>
  <c r="AH96" i="72"/>
  <c r="AH161" i="72" s="1"/>
  <c r="AH196" i="72" s="1"/>
  <c r="AH226" i="72" s="1"/>
  <c r="AE97" i="72"/>
  <c r="AE162" i="72" s="1"/>
  <c r="AE197" i="72" s="1"/>
  <c r="AE227" i="72" s="1"/>
  <c r="AL93" i="72"/>
  <c r="AN93" i="72"/>
  <c r="AL95" i="72"/>
  <c r="AL160" i="72" s="1"/>
  <c r="AL195" i="72" s="1"/>
  <c r="AL225" i="72" s="1"/>
  <c r="AP96" i="72"/>
  <c r="AP161" i="72" s="1"/>
  <c r="AP196" i="72" s="1"/>
  <c r="AP226" i="72" s="1"/>
  <c r="AL100" i="72"/>
  <c r="AL165" i="72" s="1"/>
  <c r="AL200" i="72" s="1"/>
  <c r="AL230" i="72" s="1"/>
  <c r="AK95" i="72"/>
  <c r="AK160" i="72" s="1"/>
  <c r="AK195" i="72" s="1"/>
  <c r="AK225" i="72" s="1"/>
  <c r="AC93" i="72"/>
  <c r="AE98" i="72"/>
  <c r="AE163" i="72" s="1"/>
  <c r="AE198" i="72" s="1"/>
  <c r="AE228" i="72" s="1"/>
  <c r="AH99" i="72"/>
  <c r="AH164" i="72" s="1"/>
  <c r="AH199" i="72" s="1"/>
  <c r="AH229" i="72" s="1"/>
  <c r="AH93" i="72"/>
  <c r="AD101" i="72"/>
  <c r="AD166" i="72" s="1"/>
  <c r="AD201" i="72" s="1"/>
  <c r="AD231" i="72" s="1"/>
  <c r="AN97" i="72"/>
  <c r="AN162" i="72" s="1"/>
  <c r="AN197" i="72" s="1"/>
  <c r="AN227" i="72" s="1"/>
  <c r="AG93" i="72"/>
  <c r="AO98" i="72"/>
  <c r="AO163" i="72" s="1"/>
  <c r="AO198" i="72" s="1"/>
  <c r="AO228" i="72" s="1"/>
  <c r="AO95" i="72"/>
  <c r="AO160" i="72" s="1"/>
  <c r="AO195" i="72" s="1"/>
  <c r="AO225" i="72" s="1"/>
  <c r="AD97" i="72"/>
  <c r="AD162" i="72" s="1"/>
  <c r="AD197" i="72" s="1"/>
  <c r="AD227" i="72" s="1"/>
  <c r="AF101" i="72"/>
  <c r="AF166" i="72" s="1"/>
  <c r="AF201" i="72" s="1"/>
  <c r="AF231" i="72" s="1"/>
  <c r="AP99" i="72"/>
  <c r="AP164" i="72" s="1"/>
  <c r="AP199" i="72" s="1"/>
  <c r="AP229" i="72" s="1"/>
  <c r="AC102" i="72"/>
  <c r="AC167" i="72" s="1"/>
  <c r="AC202" i="72" s="1"/>
  <c r="AC232" i="72" s="1"/>
  <c r="AF97" i="72"/>
  <c r="AF162" i="72" s="1"/>
  <c r="AF197" i="72" s="1"/>
  <c r="AF227" i="72" s="1"/>
  <c r="AK96" i="72"/>
  <c r="AK161" i="72" s="1"/>
  <c r="AK196" i="72" s="1"/>
  <c r="AK226" i="72" s="1"/>
  <c r="AL98" i="72"/>
  <c r="AL163" i="72" s="1"/>
  <c r="AL198" i="72" s="1"/>
  <c r="AL228" i="72" s="1"/>
  <c r="AG101" i="72"/>
  <c r="AG166" i="72" s="1"/>
  <c r="AG201" i="72" s="1"/>
  <c r="AG231" i="72" s="1"/>
  <c r="AF99" i="72"/>
  <c r="AF164" i="72" s="1"/>
  <c r="AF199" i="72" s="1"/>
  <c r="AF229" i="72" s="1"/>
  <c r="AL97" i="72"/>
  <c r="AL162" i="72" s="1"/>
  <c r="AL197" i="72" s="1"/>
  <c r="AL227" i="72" s="1"/>
  <c r="AO100" i="72"/>
  <c r="AO165" i="72" s="1"/>
  <c r="AO200" i="72" s="1"/>
  <c r="AO230" i="72" s="1"/>
  <c r="AM95" i="72"/>
  <c r="AM160" i="72" s="1"/>
  <c r="AM195" i="72" s="1"/>
  <c r="AM225" i="72" s="1"/>
  <c r="AD102" i="72"/>
  <c r="AD167" i="72" s="1"/>
  <c r="AD202" i="72" s="1"/>
  <c r="AD232" i="72" s="1"/>
  <c r="AJ97" i="72"/>
  <c r="AJ162" i="72" s="1"/>
  <c r="AJ197" i="72" s="1"/>
  <c r="AJ227" i="72" s="1"/>
  <c r="AH98" i="72"/>
  <c r="AH163" i="72" s="1"/>
  <c r="AH198" i="72" s="1"/>
  <c r="AH228" i="72" s="1"/>
  <c r="AL94" i="72"/>
  <c r="AO101" i="72"/>
  <c r="AO166" i="72" s="1"/>
  <c r="AO201" i="72" s="1"/>
  <c r="AO231" i="72" s="1"/>
  <c r="AK98" i="72"/>
  <c r="AK163" i="72" s="1"/>
  <c r="AK198" i="72" s="1"/>
  <c r="AK228" i="72" s="1"/>
  <c r="AI93" i="72"/>
  <c r="AJ98" i="72"/>
  <c r="AJ163" i="72" s="1"/>
  <c r="AJ198" i="72" s="1"/>
  <c r="AJ228" i="72" s="1"/>
  <c r="AF95" i="72"/>
  <c r="AF160" i="72" s="1"/>
  <c r="AF195" i="72" s="1"/>
  <c r="AF225" i="72" s="1"/>
  <c r="AD96" i="72"/>
  <c r="AD161" i="72" s="1"/>
  <c r="AD196" i="72" s="1"/>
  <c r="AD226" i="72" s="1"/>
  <c r="AM100" i="72"/>
  <c r="AM165" i="72" s="1"/>
  <c r="AM200" i="72" s="1"/>
  <c r="AM230" i="72" s="1"/>
  <c r="AN102" i="72"/>
  <c r="AN167" i="72" s="1"/>
  <c r="AN202" i="72" s="1"/>
  <c r="AN232" i="72" s="1"/>
  <c r="AH101" i="72"/>
  <c r="AH166" i="72" s="1"/>
  <c r="AH201" i="72" s="1"/>
  <c r="AH231" i="72" s="1"/>
  <c r="AH97" i="72"/>
  <c r="AH162" i="72" s="1"/>
  <c r="AH197" i="72" s="1"/>
  <c r="AH227" i="72" s="1"/>
  <c r="AI99" i="72"/>
  <c r="AI164" i="72" s="1"/>
  <c r="AI199" i="72" s="1"/>
  <c r="AI229" i="72" s="1"/>
  <c r="AI101" i="72"/>
  <c r="AI166" i="72" s="1"/>
  <c r="AI201" i="72" s="1"/>
  <c r="AI231" i="72" s="1"/>
  <c r="AK97" i="72"/>
  <c r="AK162" i="72" s="1"/>
  <c r="AK197" i="72" s="1"/>
  <c r="AK227" i="72" s="1"/>
  <c r="AD95" i="72"/>
  <c r="AD160" i="72" s="1"/>
  <c r="AD195" i="72" s="1"/>
  <c r="AD225" i="72" s="1"/>
  <c r="AG99" i="72"/>
  <c r="AG164" i="72" s="1"/>
  <c r="AG199" i="72" s="1"/>
  <c r="AG229" i="72" s="1"/>
  <c r="AI98" i="72"/>
  <c r="AI163" i="72" s="1"/>
  <c r="AI198" i="72" s="1"/>
  <c r="AI228" i="72" s="1"/>
  <c r="AG98" i="72"/>
  <c r="AG163" i="72" s="1"/>
  <c r="AG198" i="72" s="1"/>
  <c r="AG228" i="72" s="1"/>
  <c r="AP102" i="72"/>
  <c r="AP167" i="72" s="1"/>
  <c r="AP202" i="72" s="1"/>
  <c r="AP232" i="72" s="1"/>
  <c r="AC96" i="72"/>
  <c r="AC161" i="72" s="1"/>
  <c r="AC196" i="72" s="1"/>
  <c r="AC226" i="72" s="1"/>
  <c r="AP95" i="72"/>
  <c r="AP160" i="72" s="1"/>
  <c r="AP195" i="72" s="1"/>
  <c r="AP225" i="72" s="1"/>
  <c r="AP97" i="72"/>
  <c r="AP162" i="72" s="1"/>
  <c r="AP197" i="72" s="1"/>
  <c r="AP227" i="72" s="1"/>
  <c r="AJ100" i="72"/>
  <c r="AJ165" i="72" s="1"/>
  <c r="AJ200" i="72" s="1"/>
  <c r="AJ230" i="72" s="1"/>
  <c r="AO99" i="72"/>
  <c r="AO164" i="72" s="1"/>
  <c r="AO199" i="72" s="1"/>
  <c r="AO229" i="72" s="1"/>
  <c r="AF100" i="72"/>
  <c r="AF165" i="72" s="1"/>
  <c r="AF200" i="72" s="1"/>
  <c r="AF230" i="72" s="1"/>
  <c r="AC145" i="80"/>
  <c r="AC171" i="80" s="1"/>
  <c r="L257" i="80"/>
  <c r="L253" i="80"/>
  <c r="L202" i="80"/>
  <c r="L206" i="80" s="1"/>
  <c r="L260" i="80"/>
  <c r="L256" i="80"/>
  <c r="L258" i="80"/>
  <c r="L259" i="80"/>
  <c r="L254" i="80"/>
  <c r="L252" i="80"/>
  <c r="L255" i="80"/>
  <c r="W253" i="80"/>
  <c r="AK142" i="80"/>
  <c r="AK168" i="80" s="1"/>
  <c r="AK150" i="80"/>
  <c r="AA71" i="53"/>
  <c r="AA105" i="53"/>
  <c r="AA70" i="53"/>
  <c r="AA88" i="53" s="1"/>
  <c r="AA72" i="53"/>
  <c r="AK149" i="80"/>
  <c r="AK175" i="80" s="1"/>
  <c r="U72" i="53"/>
  <c r="U71" i="53"/>
  <c r="U70" i="53"/>
  <c r="U88" i="53" s="1"/>
  <c r="U90" i="53" s="1"/>
  <c r="U120" i="53" s="1"/>
  <c r="U122" i="53" s="1"/>
  <c r="AH150" i="80"/>
  <c r="AG150" i="80"/>
  <c r="AI146" i="80"/>
  <c r="AI172" i="80" s="1"/>
  <c r="AM146" i="80"/>
  <c r="AM172" i="80" s="1"/>
  <c r="AE98" i="83"/>
  <c r="AE97" i="80"/>
  <c r="AE109" i="80" s="1"/>
  <c r="AE82" i="83"/>
  <c r="AE81" i="83"/>
  <c r="AE70" i="80"/>
  <c r="AE82" i="80" s="1"/>
  <c r="AE101" i="83"/>
  <c r="AE100" i="80"/>
  <c r="AE112" i="80" s="1"/>
  <c r="S65" i="53"/>
  <c r="S74" i="53" s="1"/>
  <c r="S247" i="83" s="1"/>
  <c r="S66" i="53"/>
  <c r="S64" i="53"/>
  <c r="AD77" i="80"/>
  <c r="AD89" i="80" s="1"/>
  <c r="AD89" i="83"/>
  <c r="AD88" i="83"/>
  <c r="AD76" i="80"/>
  <c r="AD88" i="80" s="1"/>
  <c r="AD73" i="80"/>
  <c r="AD85" i="80" s="1"/>
  <c r="AD85" i="83"/>
  <c r="N255" i="80"/>
  <c r="N256" i="80"/>
  <c r="K339" i="53"/>
  <c r="K350" i="53" s="1"/>
  <c r="AP130" i="105"/>
  <c r="T239" i="80" l="1"/>
  <c r="Y239" i="80"/>
  <c r="S239" i="80"/>
  <c r="Y252" i="80"/>
  <c r="S259" i="80"/>
  <c r="AP149" i="80"/>
  <c r="AP175" i="80" s="1"/>
  <c r="AP143" i="80"/>
  <c r="AP169" i="80" s="1"/>
  <c r="AP142" i="80"/>
  <c r="AP168" i="80" s="1"/>
  <c r="Y241" i="80"/>
  <c r="S243" i="80"/>
  <c r="U243" i="80"/>
  <c r="L241" i="80"/>
  <c r="S255" i="80"/>
  <c r="Y255" i="80"/>
  <c r="L239" i="80"/>
  <c r="Y242" i="80"/>
  <c r="U242" i="80"/>
  <c r="S242" i="80"/>
  <c r="AJ150" i="80"/>
  <c r="AJ208" i="80" s="1"/>
  <c r="AF145" i="80"/>
  <c r="AF171" i="80" s="1"/>
  <c r="AF142" i="80"/>
  <c r="AF168" i="80" s="1"/>
  <c r="J256" i="80"/>
  <c r="U239" i="80"/>
  <c r="L242" i="80"/>
  <c r="N252" i="80"/>
  <c r="AF144" i="80"/>
  <c r="AF170" i="80" s="1"/>
  <c r="AA259" i="80"/>
  <c r="T243" i="80"/>
  <c r="Y256" i="80"/>
  <c r="S256" i="80"/>
  <c r="X256" i="80"/>
  <c r="AF143" i="80"/>
  <c r="AF169" i="80" s="1"/>
  <c r="Y259" i="80"/>
  <c r="U246" i="80"/>
  <c r="AO147" i="80"/>
  <c r="AO173" i="80" s="1"/>
  <c r="AF150" i="80"/>
  <c r="AB256" i="80"/>
  <c r="L243" i="80"/>
  <c r="Y246" i="80"/>
  <c r="Y254" i="80"/>
  <c r="T259" i="80"/>
  <c r="Q256" i="80"/>
  <c r="AN144" i="80"/>
  <c r="AN170" i="80" s="1"/>
  <c r="AO150" i="80"/>
  <c r="AF146" i="80"/>
  <c r="AF172" i="80" s="1"/>
  <c r="AF149" i="80"/>
  <c r="AF175" i="80" s="1"/>
  <c r="L246" i="80"/>
  <c r="N254" i="80"/>
  <c r="U241" i="80"/>
  <c r="AF147" i="80"/>
  <c r="AF173" i="80" s="1"/>
  <c r="AF148" i="80"/>
  <c r="AF174" i="80" s="1"/>
  <c r="X252" i="80"/>
  <c r="AB253" i="80"/>
  <c r="T254" i="80"/>
  <c r="U240" i="80"/>
  <c r="Y253" i="80"/>
  <c r="X253" i="80"/>
  <c r="L240" i="80"/>
  <c r="T240" i="80"/>
  <c r="Y240" i="80"/>
  <c r="AB258" i="80"/>
  <c r="L244" i="80"/>
  <c r="Y257" i="80"/>
  <c r="S253" i="80"/>
  <c r="Y258" i="80"/>
  <c r="J39" i="55"/>
  <c r="L245" i="80"/>
  <c r="J74" i="53"/>
  <c r="J247" i="83" s="1"/>
  <c r="T245" i="80"/>
  <c r="Y245" i="80"/>
  <c r="AJ148" i="80"/>
  <c r="AJ174" i="80" s="1"/>
  <c r="AJ143" i="80"/>
  <c r="AJ169" i="80" s="1"/>
  <c r="AL150" i="80"/>
  <c r="AL208" i="80" s="1"/>
  <c r="U245" i="80"/>
  <c r="X259" i="80"/>
  <c r="AA258" i="80"/>
  <c r="AN143" i="80"/>
  <c r="AN169" i="80" s="1"/>
  <c r="T253" i="80"/>
  <c r="T244" i="80"/>
  <c r="T258" i="80"/>
  <c r="T257" i="80"/>
  <c r="U244" i="80"/>
  <c r="Y244" i="80"/>
  <c r="T252" i="80"/>
  <c r="T256" i="80"/>
  <c r="T255" i="80"/>
  <c r="X255" i="80"/>
  <c r="X258" i="80"/>
  <c r="J243" i="80"/>
  <c r="J242" i="80"/>
  <c r="T373" i="53"/>
  <c r="T378" i="53" s="1"/>
  <c r="N249" i="83"/>
  <c r="S252" i="80"/>
  <c r="AL145" i="80"/>
  <c r="AL171" i="80" s="1"/>
  <c r="AJ146" i="80"/>
  <c r="AJ172" i="80" s="1"/>
  <c r="AJ147" i="80"/>
  <c r="AJ173" i="80" s="1"/>
  <c r="U206" i="80"/>
  <c r="S241" i="80"/>
  <c r="AL149" i="80"/>
  <c r="AL175" i="80" s="1"/>
  <c r="AO144" i="80"/>
  <c r="AO170" i="80" s="1"/>
  <c r="AJ144" i="80"/>
  <c r="AJ170" i="80" s="1"/>
  <c r="AL146" i="80"/>
  <c r="AL172" i="80" s="1"/>
  <c r="AN149" i="80"/>
  <c r="AN175" i="80" s="1"/>
  <c r="AL147" i="80"/>
  <c r="AL173" i="80" s="1"/>
  <c r="AA255" i="80"/>
  <c r="S240" i="80"/>
  <c r="W255" i="80"/>
  <c r="AJ149" i="80"/>
  <c r="AJ175" i="80" s="1"/>
  <c r="AA256" i="80"/>
  <c r="J239" i="80"/>
  <c r="W256" i="80"/>
  <c r="AA252" i="80"/>
  <c r="J246" i="80"/>
  <c r="N253" i="80"/>
  <c r="J240" i="80"/>
  <c r="AN148" i="80"/>
  <c r="AN174" i="80" s="1"/>
  <c r="AO145" i="80"/>
  <c r="AO171" i="80" s="1"/>
  <c r="AO143" i="80"/>
  <c r="AO169" i="80" s="1"/>
  <c r="AE143" i="80"/>
  <c r="AE169" i="80" s="1"/>
  <c r="J245" i="80"/>
  <c r="AB254" i="80"/>
  <c r="AA253" i="80"/>
  <c r="S246" i="80"/>
  <c r="T374" i="53"/>
  <c r="T379" i="53" s="1"/>
  <c r="V259" i="80"/>
  <c r="S258" i="80"/>
  <c r="V246" i="80"/>
  <c r="AL143" i="80"/>
  <c r="AL169" i="80" s="1"/>
  <c r="AJ145" i="80"/>
  <c r="AJ171" i="80" s="1"/>
  <c r="AO146" i="80"/>
  <c r="AO172" i="80" s="1"/>
  <c r="T375" i="53"/>
  <c r="T380" i="53" s="1"/>
  <c r="AL144" i="80"/>
  <c r="AL170" i="80" s="1"/>
  <c r="AL142" i="80"/>
  <c r="AL168" i="80" s="1"/>
  <c r="AO149" i="80"/>
  <c r="AO175" i="80" s="1"/>
  <c r="AM177" i="80"/>
  <c r="X257" i="80"/>
  <c r="S244" i="80"/>
  <c r="AO142" i="80"/>
  <c r="AO168" i="80" s="1"/>
  <c r="V253" i="80"/>
  <c r="S206" i="80"/>
  <c r="V242" i="80"/>
  <c r="V255" i="80"/>
  <c r="Q255" i="80"/>
  <c r="H111" i="53"/>
  <c r="H117" i="53" s="1"/>
  <c r="X118" i="53" s="1"/>
  <c r="Q252" i="80"/>
  <c r="V243" i="80"/>
  <c r="Q258" i="80"/>
  <c r="AL148" i="80"/>
  <c r="AL174" i="80" s="1"/>
  <c r="AO148" i="80"/>
  <c r="AO174" i="80" s="1"/>
  <c r="AJ142" i="80"/>
  <c r="AJ168" i="80" s="1"/>
  <c r="J204" i="80"/>
  <c r="J206" i="80" s="1"/>
  <c r="J20" i="74"/>
  <c r="L75" i="53"/>
  <c r="L248" i="83" s="1"/>
  <c r="J73" i="53"/>
  <c r="J246" i="83" s="1"/>
  <c r="J259" i="80"/>
  <c r="AA254" i="80"/>
  <c r="J252" i="80"/>
  <c r="J255" i="80"/>
  <c r="J258" i="80"/>
  <c r="V258" i="80"/>
  <c r="Q241" i="80"/>
  <c r="AN145" i="80"/>
  <c r="AN171" i="80" s="1"/>
  <c r="J257" i="80"/>
  <c r="AN150" i="80"/>
  <c r="J254" i="80"/>
  <c r="AN147" i="80"/>
  <c r="AN173" i="80" s="1"/>
  <c r="S254" i="80"/>
  <c r="J253" i="80"/>
  <c r="S245" i="80"/>
  <c r="AN146" i="80"/>
  <c r="AN172" i="80" s="1"/>
  <c r="S75" i="53"/>
  <c r="S248" i="83" s="1"/>
  <c r="AN142" i="80"/>
  <c r="AN168" i="80" s="1"/>
  <c r="H80" i="53"/>
  <c r="H89" i="53" s="1"/>
  <c r="AA90" i="53" s="1"/>
  <c r="O249" i="83"/>
  <c r="T73" i="53"/>
  <c r="T246" i="83" s="1"/>
  <c r="T75" i="53"/>
  <c r="T248" i="83" s="1"/>
  <c r="AM208" i="80"/>
  <c r="Q206" i="80"/>
  <c r="S257" i="80"/>
  <c r="W252" i="80"/>
  <c r="J241" i="80"/>
  <c r="J244" i="80"/>
  <c r="V245" i="80"/>
  <c r="Y206" i="80"/>
  <c r="V254" i="80"/>
  <c r="V244" i="80"/>
  <c r="Q239" i="80"/>
  <c r="V241" i="80"/>
  <c r="Q244" i="80"/>
  <c r="V252" i="80"/>
  <c r="Q240" i="80"/>
  <c r="V206" i="80"/>
  <c r="Q259" i="80"/>
  <c r="AB255" i="80"/>
  <c r="AB259" i="80"/>
  <c r="Q246" i="80"/>
  <c r="H29" i="73"/>
  <c r="L168" i="73" s="1"/>
  <c r="L228" i="73" s="1"/>
  <c r="AN257" i="80"/>
  <c r="K257" i="80"/>
  <c r="AD244" i="80"/>
  <c r="AD257" i="80"/>
  <c r="AN244" i="80"/>
  <c r="K244" i="80"/>
  <c r="AO257" i="80"/>
  <c r="P244" i="80"/>
  <c r="AF244" i="80"/>
  <c r="AO244" i="80"/>
  <c r="R244" i="80"/>
  <c r="AI244" i="80"/>
  <c r="AJ257" i="80"/>
  <c r="AE257" i="80"/>
  <c r="AL257" i="80"/>
  <c r="AE244" i="80"/>
  <c r="AC257" i="80"/>
  <c r="O244" i="80"/>
  <c r="Z244" i="80"/>
  <c r="AG257" i="80"/>
  <c r="AF257" i="80"/>
  <c r="AM244" i="80"/>
  <c r="Z257" i="80"/>
  <c r="AG244" i="80"/>
  <c r="AK244" i="80"/>
  <c r="AM257" i="80"/>
  <c r="AK257" i="80"/>
  <c r="AB244" i="80"/>
  <c r="AP257" i="80"/>
  <c r="AA244" i="80"/>
  <c r="AH244" i="80"/>
  <c r="AP244" i="80"/>
  <c r="AH257" i="80"/>
  <c r="X244" i="80"/>
  <c r="W244" i="80"/>
  <c r="M244" i="80"/>
  <c r="AJ244" i="80"/>
  <c r="AC244" i="80"/>
  <c r="AI257" i="80"/>
  <c r="R257" i="80"/>
  <c r="M257" i="80"/>
  <c r="N244" i="80"/>
  <c r="AL244" i="80"/>
  <c r="H26" i="73"/>
  <c r="O135" i="73" s="1"/>
  <c r="AD241" i="80"/>
  <c r="AD254" i="80"/>
  <c r="AN254" i="80"/>
  <c r="AN241" i="80"/>
  <c r="AL254" i="80"/>
  <c r="AH254" i="80"/>
  <c r="AC241" i="80"/>
  <c r="O241" i="80"/>
  <c r="AH241" i="80"/>
  <c r="AC254" i="80"/>
  <c r="AG254" i="80"/>
  <c r="AO254" i="80"/>
  <c r="AG241" i="80"/>
  <c r="AO241" i="80"/>
  <c r="K241" i="80"/>
  <c r="AB241" i="80"/>
  <c r="AF241" i="80"/>
  <c r="K254" i="80"/>
  <c r="AM254" i="80"/>
  <c r="AM241" i="80"/>
  <c r="M254" i="80"/>
  <c r="AP241" i="80"/>
  <c r="AP254" i="80"/>
  <c r="AA241" i="80"/>
  <c r="AI241" i="80"/>
  <c r="X241" i="80"/>
  <c r="W241" i="80"/>
  <c r="AK254" i="80"/>
  <c r="AI254" i="80"/>
  <c r="AE254" i="80"/>
  <c r="Z241" i="80"/>
  <c r="AJ241" i="80"/>
  <c r="Z254" i="80"/>
  <c r="R241" i="80"/>
  <c r="AJ254" i="80"/>
  <c r="AL241" i="80"/>
  <c r="R254" i="80"/>
  <c r="M241" i="80"/>
  <c r="AE241" i="80"/>
  <c r="N241" i="80"/>
  <c r="AF254" i="80"/>
  <c r="AK241" i="80"/>
  <c r="P241" i="80"/>
  <c r="AD242" i="80"/>
  <c r="K255" i="80"/>
  <c r="AN242" i="80"/>
  <c r="AD255" i="80"/>
  <c r="AN255" i="80"/>
  <c r="H27" i="73"/>
  <c r="S166" i="73" s="1"/>
  <c r="S226" i="73" s="1"/>
  <c r="AP255" i="80"/>
  <c r="R255" i="80"/>
  <c r="Z242" i="80"/>
  <c r="N242" i="80"/>
  <c r="AH242" i="80"/>
  <c r="Z255" i="80"/>
  <c r="AM242" i="80"/>
  <c r="AF242" i="80"/>
  <c r="AP242" i="80"/>
  <c r="AG242" i="80"/>
  <c r="AH255" i="80"/>
  <c r="AM255" i="80"/>
  <c r="K242" i="80"/>
  <c r="AF255" i="80"/>
  <c r="AG255" i="80"/>
  <c r="R242" i="80"/>
  <c r="AK255" i="80"/>
  <c r="X242" i="80"/>
  <c r="AL255" i="80"/>
  <c r="AL242" i="80"/>
  <c r="O242" i="80"/>
  <c r="AO255" i="80"/>
  <c r="AO242" i="80"/>
  <c r="M242" i="80"/>
  <c r="AC255" i="80"/>
  <c r="AI242" i="80"/>
  <c r="AC242" i="80"/>
  <c r="AI255" i="80"/>
  <c r="AB242" i="80"/>
  <c r="AE255" i="80"/>
  <c r="AE242" i="80"/>
  <c r="AA242" i="80"/>
  <c r="AJ242" i="80"/>
  <c r="AJ255" i="80"/>
  <c r="AK242" i="80"/>
  <c r="M255" i="80"/>
  <c r="W242" i="80"/>
  <c r="P242" i="80"/>
  <c r="N257" i="80"/>
  <c r="H30" i="73"/>
  <c r="U169" i="73" s="1"/>
  <c r="U229" i="73" s="1"/>
  <c r="AN258" i="80"/>
  <c r="AN245" i="80"/>
  <c r="AD258" i="80"/>
  <c r="AD245" i="80"/>
  <c r="AM245" i="80"/>
  <c r="Z245" i="80"/>
  <c r="O245" i="80"/>
  <c r="AH258" i="80"/>
  <c r="AP258" i="80"/>
  <c r="AH245" i="80"/>
  <c r="AO258" i="80"/>
  <c r="AJ245" i="80"/>
  <c r="AL258" i="80"/>
  <c r="AP245" i="80"/>
  <c r="K258" i="80"/>
  <c r="AO245" i="80"/>
  <c r="AC258" i="80"/>
  <c r="AF258" i="80"/>
  <c r="AL245" i="80"/>
  <c r="AE258" i="80"/>
  <c r="AG258" i="80"/>
  <c r="AE245" i="80"/>
  <c r="AG245" i="80"/>
  <c r="AM258" i="80"/>
  <c r="K245" i="80"/>
  <c r="AB245" i="80"/>
  <c r="R245" i="80"/>
  <c r="AF245" i="80"/>
  <c r="AI245" i="80"/>
  <c r="AI258" i="80"/>
  <c r="AJ258" i="80"/>
  <c r="R258" i="80"/>
  <c r="M245" i="80"/>
  <c r="AA245" i="80"/>
  <c r="AK258" i="80"/>
  <c r="X245" i="80"/>
  <c r="W245" i="80"/>
  <c r="M258" i="80"/>
  <c r="AC245" i="80"/>
  <c r="Z258" i="80"/>
  <c r="AK245" i="80"/>
  <c r="P245" i="80"/>
  <c r="N245" i="80"/>
  <c r="AD240" i="80"/>
  <c r="AD253" i="80"/>
  <c r="AN253" i="80"/>
  <c r="AN240" i="80"/>
  <c r="H25" i="73"/>
  <c r="J164" i="73" s="1"/>
  <c r="J224" i="73" s="1"/>
  <c r="K45" i="82" a="1"/>
  <c r="AF240" i="80"/>
  <c r="AG253" i="80"/>
  <c r="AF253" i="80"/>
  <c r="AG240" i="80"/>
  <c r="K240" i="80"/>
  <c r="N240" i="80"/>
  <c r="AO253" i="80"/>
  <c r="AH240" i="80"/>
  <c r="Z240" i="80"/>
  <c r="AO240" i="80"/>
  <c r="AH253" i="80"/>
  <c r="Z253" i="80"/>
  <c r="O240" i="80"/>
  <c r="R240" i="80"/>
  <c r="AI253" i="80"/>
  <c r="AM240" i="80"/>
  <c r="P240" i="80"/>
  <c r="AI240" i="80"/>
  <c r="AA240" i="80"/>
  <c r="M253" i="80"/>
  <c r="AL253" i="80"/>
  <c r="AL240" i="80"/>
  <c r="AP240" i="80"/>
  <c r="AE253" i="80"/>
  <c r="AK253" i="80"/>
  <c r="AB240" i="80"/>
  <c r="AP253" i="80"/>
  <c r="AE240" i="80"/>
  <c r="AK240" i="80"/>
  <c r="X240" i="80"/>
  <c r="AC253" i="80"/>
  <c r="R253" i="80"/>
  <c r="W240" i="80"/>
  <c r="AC240" i="80"/>
  <c r="AM253" i="80"/>
  <c r="M240" i="80"/>
  <c r="AJ240" i="80"/>
  <c r="K253" i="80"/>
  <c r="AJ253" i="80"/>
  <c r="H24" i="73"/>
  <c r="H23" i="73"/>
  <c r="AD239" i="80"/>
  <c r="AD252" i="80"/>
  <c r="AN239" i="80"/>
  <c r="AN252" i="80"/>
  <c r="M252" i="80"/>
  <c r="AJ239" i="80"/>
  <c r="K239" i="80"/>
  <c r="Z239" i="80"/>
  <c r="AF239" i="80"/>
  <c r="R252" i="80"/>
  <c r="Z252" i="80"/>
  <c r="AF252" i="80"/>
  <c r="AG252" i="80"/>
  <c r="AA239" i="80"/>
  <c r="AM239" i="80"/>
  <c r="O239" i="80"/>
  <c r="AG239" i="80"/>
  <c r="N239" i="80"/>
  <c r="AP239" i="80"/>
  <c r="K252" i="80"/>
  <c r="AP252" i="80"/>
  <c r="AC239" i="80"/>
  <c r="AO252" i="80"/>
  <c r="AL252" i="80"/>
  <c r="AH252" i="80"/>
  <c r="AO239" i="80"/>
  <c r="AL239" i="80"/>
  <c r="AC252" i="80"/>
  <c r="AI239" i="80"/>
  <c r="AK252" i="80"/>
  <c r="W239" i="80"/>
  <c r="AI252" i="80"/>
  <c r="AB239" i="80"/>
  <c r="AJ252" i="80"/>
  <c r="X239" i="80"/>
  <c r="AK239" i="80"/>
  <c r="M239" i="80"/>
  <c r="P239" i="80"/>
  <c r="AM252" i="80"/>
  <c r="R239" i="80"/>
  <c r="AH239" i="80"/>
  <c r="AE239" i="80"/>
  <c r="AE252" i="80"/>
  <c r="H31" i="73"/>
  <c r="N170" i="73" s="1"/>
  <c r="N230" i="73" s="1"/>
  <c r="AN246" i="80"/>
  <c r="AN259" i="80"/>
  <c r="AD246" i="80"/>
  <c r="AD259" i="80"/>
  <c r="N246" i="80"/>
  <c r="AL259" i="80"/>
  <c r="Z259" i="80"/>
  <c r="P246" i="80"/>
  <c r="Z246" i="80"/>
  <c r="AM259" i="80"/>
  <c r="AP259" i="80"/>
  <c r="AG259" i="80"/>
  <c r="X246" i="80"/>
  <c r="AP246" i="80"/>
  <c r="AG246" i="80"/>
  <c r="AJ246" i="80"/>
  <c r="AL246" i="80"/>
  <c r="AO246" i="80"/>
  <c r="AE259" i="80"/>
  <c r="O246" i="80"/>
  <c r="AO259" i="80"/>
  <c r="AK259" i="80"/>
  <c r="AE246" i="80"/>
  <c r="AM246" i="80"/>
  <c r="W246" i="80"/>
  <c r="AI246" i="80"/>
  <c r="AB246" i="80"/>
  <c r="R246" i="80"/>
  <c r="AI259" i="80"/>
  <c r="M246" i="80"/>
  <c r="AH246" i="80"/>
  <c r="AA246" i="80"/>
  <c r="AH259" i="80"/>
  <c r="AJ259" i="80"/>
  <c r="K246" i="80"/>
  <c r="K259" i="80"/>
  <c r="AC246" i="80"/>
  <c r="AK246" i="80"/>
  <c r="AF259" i="80"/>
  <c r="AC259" i="80"/>
  <c r="R259" i="80"/>
  <c r="M259" i="80"/>
  <c r="AF246" i="80"/>
  <c r="Q245" i="80"/>
  <c r="Q257" i="80"/>
  <c r="H28" i="73"/>
  <c r="S167" i="73" s="1"/>
  <c r="S227" i="73" s="1"/>
  <c r="AD243" i="80"/>
  <c r="AD256" i="80"/>
  <c r="AN256" i="80"/>
  <c r="AN243" i="80"/>
  <c r="AM256" i="80"/>
  <c r="O243" i="80"/>
  <c r="AP256" i="80"/>
  <c r="AK243" i="80"/>
  <c r="AP243" i="80"/>
  <c r="K256" i="80"/>
  <c r="AL243" i="80"/>
  <c r="AG256" i="80"/>
  <c r="AM243" i="80"/>
  <c r="AO256" i="80"/>
  <c r="AK256" i="80"/>
  <c r="R243" i="80"/>
  <c r="K243" i="80"/>
  <c r="AO243" i="80"/>
  <c r="AF243" i="80"/>
  <c r="AF256" i="80"/>
  <c r="AG243" i="80"/>
  <c r="AB243" i="80"/>
  <c r="Z256" i="80"/>
  <c r="M243" i="80"/>
  <c r="Z243" i="80"/>
  <c r="AJ243" i="80"/>
  <c r="M256" i="80"/>
  <c r="P243" i="80"/>
  <c r="AC256" i="80"/>
  <c r="X243" i="80"/>
  <c r="W243" i="80"/>
  <c r="AE256" i="80"/>
  <c r="AC243" i="80"/>
  <c r="R256" i="80"/>
  <c r="AE243" i="80"/>
  <c r="AA243" i="80"/>
  <c r="AI243" i="80"/>
  <c r="N243" i="80"/>
  <c r="AI256" i="80"/>
  <c r="AL256" i="80"/>
  <c r="AH256" i="80"/>
  <c r="AH243" i="80"/>
  <c r="AJ256" i="80"/>
  <c r="AB257" i="80"/>
  <c r="V257" i="80"/>
  <c r="Q254" i="80"/>
  <c r="V240" i="80"/>
  <c r="X254" i="80"/>
  <c r="AB252" i="80"/>
  <c r="H81" i="53"/>
  <c r="AD149" i="80"/>
  <c r="AD175" i="80" s="1"/>
  <c r="AD145" i="80"/>
  <c r="AD171" i="80" s="1"/>
  <c r="AD148" i="80"/>
  <c r="AD174" i="80" s="1"/>
  <c r="AE142" i="80"/>
  <c r="AE168" i="80" s="1"/>
  <c r="AE149" i="80"/>
  <c r="AE175" i="80" s="1"/>
  <c r="AE147" i="80"/>
  <c r="AE173" i="80" s="1"/>
  <c r="AP176" i="80"/>
  <c r="AP177" i="80" s="1"/>
  <c r="AO176" i="80"/>
  <c r="AO208" i="80"/>
  <c r="V319" i="53"/>
  <c r="V535" i="53" s="1"/>
  <c r="V307" i="53"/>
  <c r="V523" i="53" s="1"/>
  <c r="V297" i="53"/>
  <c r="V513" i="53" s="1"/>
  <c r="V298" i="53"/>
  <c r="V514" i="53" s="1"/>
  <c r="V316" i="53"/>
  <c r="V532" i="53" s="1"/>
  <c r="V306" i="53"/>
  <c r="V522" i="53" s="1"/>
  <c r="V309" i="53"/>
  <c r="V525" i="53" s="1"/>
  <c r="V295" i="53"/>
  <c r="V511" i="53" s="1"/>
  <c r="V317" i="53"/>
  <c r="V533" i="53" s="1"/>
  <c r="V308" i="53"/>
  <c r="V524" i="53" s="1"/>
  <c r="V318" i="53"/>
  <c r="V534" i="53" s="1"/>
  <c r="V320" i="53"/>
  <c r="V536" i="53" s="1"/>
  <c r="V294" i="53"/>
  <c r="V510" i="53" s="1"/>
  <c r="V296" i="53"/>
  <c r="V512" i="53" s="1"/>
  <c r="V305" i="53"/>
  <c r="V521" i="53" s="1"/>
  <c r="V310" i="53"/>
  <c r="V526" i="53" s="1"/>
  <c r="V321" i="53"/>
  <c r="V537" i="53" s="1"/>
  <c r="V315" i="53"/>
  <c r="V531" i="53" s="1"/>
  <c r="V293" i="53"/>
  <c r="V509" i="53" s="1"/>
  <c r="V322" i="53"/>
  <c r="V538" i="53" s="1"/>
  <c r="V304" i="53"/>
  <c r="V520" i="53" s="1"/>
  <c r="V301" i="53"/>
  <c r="V517" i="53" s="1"/>
  <c r="V312" i="53"/>
  <c r="V528" i="53" s="1"/>
  <c r="V311" i="53"/>
  <c r="V527" i="53" s="1"/>
  <c r="V323" i="53"/>
  <c r="V539" i="53" s="1"/>
  <c r="V300" i="53"/>
  <c r="V516" i="53" s="1"/>
  <c r="V299" i="53"/>
  <c r="V515" i="53" s="1"/>
  <c r="X123" i="83"/>
  <c r="AB124" i="83"/>
  <c r="AF158" i="83"/>
  <c r="AF28" i="71" s="1"/>
  <c r="AF133" i="71" s="1"/>
  <c r="AF187" i="83"/>
  <c r="AF58" i="71" s="1"/>
  <c r="AF163" i="71" s="1"/>
  <c r="AF129" i="83"/>
  <c r="AF216" i="83"/>
  <c r="AF88" i="71" s="1"/>
  <c r="AF193" i="71" s="1"/>
  <c r="AI125" i="83"/>
  <c r="AI183" i="83"/>
  <c r="AI54" i="71" s="1"/>
  <c r="AI159" i="71" s="1"/>
  <c r="AI154" i="83"/>
  <c r="AI24" i="71" s="1"/>
  <c r="AI129" i="71" s="1"/>
  <c r="AI212" i="83"/>
  <c r="AI84" i="71" s="1"/>
  <c r="AI189" i="71" s="1"/>
  <c r="AI187" i="83"/>
  <c r="AI58" i="71" s="1"/>
  <c r="AI163" i="71" s="1"/>
  <c r="AI129" i="83"/>
  <c r="AI158" i="83"/>
  <c r="AI28" i="71" s="1"/>
  <c r="AI133" i="71" s="1"/>
  <c r="AI216" i="83"/>
  <c r="AI88" i="71" s="1"/>
  <c r="AI193" i="71" s="1"/>
  <c r="AD154" i="83"/>
  <c r="AD24" i="71" s="1"/>
  <c r="AD129" i="71" s="1"/>
  <c r="AD212" i="83"/>
  <c r="AD84" i="71" s="1"/>
  <c r="AD189" i="71" s="1"/>
  <c r="AD125" i="83"/>
  <c r="AD183" i="83"/>
  <c r="AD54" i="71" s="1"/>
  <c r="AD159" i="71" s="1"/>
  <c r="AE127" i="83"/>
  <c r="AE214" i="83"/>
  <c r="AE86" i="71" s="1"/>
  <c r="AE191" i="71" s="1"/>
  <c r="AE185" i="83"/>
  <c r="AE56" i="71" s="1"/>
  <c r="AE161" i="71" s="1"/>
  <c r="AE156" i="83"/>
  <c r="AE26" i="71" s="1"/>
  <c r="AE131" i="71" s="1"/>
  <c r="AL124" i="83"/>
  <c r="AL182" i="83"/>
  <c r="AL53" i="71" s="1"/>
  <c r="AL158" i="71" s="1"/>
  <c r="AL153" i="83"/>
  <c r="AL23" i="71" s="1"/>
  <c r="AL128" i="71" s="1"/>
  <c r="AL211" i="83"/>
  <c r="AL83" i="71" s="1"/>
  <c r="AL188" i="71" s="1"/>
  <c r="AD144" i="80"/>
  <c r="AD170" i="80" s="1"/>
  <c r="M340" i="53"/>
  <c r="AM124" i="83"/>
  <c r="AM153" i="83"/>
  <c r="AM23" i="71" s="1"/>
  <c r="AM128" i="71" s="1"/>
  <c r="AM182" i="83"/>
  <c r="AM53" i="71" s="1"/>
  <c r="AM158" i="71" s="1"/>
  <c r="AM211" i="83"/>
  <c r="AM83" i="71" s="1"/>
  <c r="AM188" i="71" s="1"/>
  <c r="AI185" i="83"/>
  <c r="AI56" i="71" s="1"/>
  <c r="AI161" i="71" s="1"/>
  <c r="AI214" i="83"/>
  <c r="AI86" i="71" s="1"/>
  <c r="AI191" i="71" s="1"/>
  <c r="AI127" i="83"/>
  <c r="AI156" i="83"/>
  <c r="AI26" i="71" s="1"/>
  <c r="AI131" i="71" s="1"/>
  <c r="W125" i="83"/>
  <c r="W125" i="72" s="1"/>
  <c r="W195" i="72" s="1"/>
  <c r="W225" i="72" s="1"/>
  <c r="AL125" i="83"/>
  <c r="AL212" i="83"/>
  <c r="AL84" i="71" s="1"/>
  <c r="AL189" i="71" s="1"/>
  <c r="AL154" i="83"/>
  <c r="AL24" i="71" s="1"/>
  <c r="AL129" i="71" s="1"/>
  <c r="AL183" i="83"/>
  <c r="AL54" i="71" s="1"/>
  <c r="AL159" i="71" s="1"/>
  <c r="AO123" i="83"/>
  <c r="AO181" i="83"/>
  <c r="AO52" i="71" s="1"/>
  <c r="AO157" i="71" s="1"/>
  <c r="AO210" i="83"/>
  <c r="AO82" i="71" s="1"/>
  <c r="AO187" i="71" s="1"/>
  <c r="AO152" i="83"/>
  <c r="AH219" i="83"/>
  <c r="AH91" i="71" s="1"/>
  <c r="AH196" i="71" s="1"/>
  <c r="AH190" i="83"/>
  <c r="AH61" i="71" s="1"/>
  <c r="AH166" i="71" s="1"/>
  <c r="AH132" i="83"/>
  <c r="AH161" i="83"/>
  <c r="AH31" i="71" s="1"/>
  <c r="AH136" i="71" s="1"/>
  <c r="S73" i="53"/>
  <c r="S246" i="83" s="1"/>
  <c r="AK176" i="80"/>
  <c r="AK177" i="80" s="1"/>
  <c r="AK208" i="80"/>
  <c r="S71" i="53"/>
  <c r="S70" i="53"/>
  <c r="S72" i="53"/>
  <c r="AI123" i="83"/>
  <c r="AI152" i="83"/>
  <c r="AI210" i="83"/>
  <c r="AI82" i="71" s="1"/>
  <c r="AI187" i="71" s="1"/>
  <c r="AI181" i="83"/>
  <c r="AI52" i="71" s="1"/>
  <c r="AI157" i="71" s="1"/>
  <c r="Z124" i="83"/>
  <c r="Y123" i="83"/>
  <c r="U127" i="83"/>
  <c r="U127" i="72" s="1"/>
  <c r="U197" i="72" s="1"/>
  <c r="U227" i="72" s="1"/>
  <c r="AP124" i="83"/>
  <c r="AP182" i="83"/>
  <c r="AP53" i="71" s="1"/>
  <c r="AP158" i="71" s="1"/>
  <c r="AP211" i="83"/>
  <c r="AP83" i="71" s="1"/>
  <c r="AP188" i="71" s="1"/>
  <c r="AP153" i="83"/>
  <c r="AP23" i="71" s="1"/>
  <c r="AP128" i="71" s="1"/>
  <c r="V124" i="83"/>
  <c r="AE217" i="83"/>
  <c r="AE89" i="71" s="1"/>
  <c r="AE194" i="71" s="1"/>
  <c r="AE130" i="83"/>
  <c r="AE188" i="83"/>
  <c r="AE59" i="71" s="1"/>
  <c r="AE164" i="71" s="1"/>
  <c r="AE159" i="83"/>
  <c r="AE29" i="71" s="1"/>
  <c r="AE134" i="71" s="1"/>
  <c r="AN123" i="83"/>
  <c r="AN210" i="83"/>
  <c r="AN82" i="71" s="1"/>
  <c r="AN187" i="71" s="1"/>
  <c r="AN181" i="83"/>
  <c r="AN52" i="71" s="1"/>
  <c r="AN157" i="71" s="1"/>
  <c r="AN152" i="83"/>
  <c r="AN217" i="83"/>
  <c r="AN89" i="71" s="1"/>
  <c r="AN194" i="71" s="1"/>
  <c r="AN159" i="83"/>
  <c r="AN29" i="71" s="1"/>
  <c r="AN134" i="71" s="1"/>
  <c r="AN130" i="83"/>
  <c r="AN188" i="83"/>
  <c r="AN59" i="71" s="1"/>
  <c r="AN164" i="71" s="1"/>
  <c r="AF217" i="83"/>
  <c r="AF89" i="71" s="1"/>
  <c r="AF194" i="71" s="1"/>
  <c r="AF159" i="83"/>
  <c r="AF29" i="71" s="1"/>
  <c r="AF134" i="71" s="1"/>
  <c r="AF130" i="83"/>
  <c r="AF188" i="83"/>
  <c r="AF59" i="71" s="1"/>
  <c r="AF164" i="71" s="1"/>
  <c r="AF213" i="83"/>
  <c r="AF85" i="71" s="1"/>
  <c r="AF190" i="71" s="1"/>
  <c r="AF126" i="83"/>
  <c r="AF184" i="83"/>
  <c r="AF55" i="71" s="1"/>
  <c r="AF160" i="71" s="1"/>
  <c r="AF155" i="83"/>
  <c r="AF25" i="71" s="1"/>
  <c r="AF130" i="71" s="1"/>
  <c r="Y126" i="83"/>
  <c r="Y126" i="72" s="1"/>
  <c r="Y196" i="72" s="1"/>
  <c r="Y226" i="72" s="1"/>
  <c r="AP190" i="83"/>
  <c r="AP61" i="71" s="1"/>
  <c r="AP166" i="71" s="1"/>
  <c r="AP161" i="83"/>
  <c r="AP31" i="71" s="1"/>
  <c r="AP136" i="71" s="1"/>
  <c r="AP132" i="83"/>
  <c r="AP219" i="83"/>
  <c r="AP91" i="71" s="1"/>
  <c r="AP196" i="71" s="1"/>
  <c r="AC125" i="83"/>
  <c r="AC154" i="83"/>
  <c r="AC24" i="71" s="1"/>
  <c r="AC129" i="71" s="1"/>
  <c r="AC183" i="83"/>
  <c r="AC54" i="71" s="1"/>
  <c r="AC159" i="71" s="1"/>
  <c r="AC212" i="83"/>
  <c r="AC84" i="71" s="1"/>
  <c r="AC189" i="71" s="1"/>
  <c r="P128" i="83"/>
  <c r="P128" i="72" s="1"/>
  <c r="P198" i="72" s="1"/>
  <c r="P228" i="72" s="1"/>
  <c r="R125" i="83"/>
  <c r="R125" i="72" s="1"/>
  <c r="R195" i="72" s="1"/>
  <c r="R225" i="72" s="1"/>
  <c r="AE123" i="83"/>
  <c r="AE152" i="83"/>
  <c r="AE181" i="83"/>
  <c r="AE52" i="71" s="1"/>
  <c r="AE157" i="71" s="1"/>
  <c r="AE210" i="83"/>
  <c r="AE82" i="71" s="1"/>
  <c r="AE187" i="71" s="1"/>
  <c r="AG214" i="83"/>
  <c r="AG86" i="71" s="1"/>
  <c r="AG191" i="71" s="1"/>
  <c r="AG156" i="83"/>
  <c r="AG26" i="71" s="1"/>
  <c r="AG131" i="71" s="1"/>
  <c r="AG185" i="83"/>
  <c r="AG56" i="71" s="1"/>
  <c r="AG161" i="71" s="1"/>
  <c r="AG127" i="83"/>
  <c r="AD126" i="83"/>
  <c r="AD155" i="83"/>
  <c r="AD25" i="71" s="1"/>
  <c r="AD130" i="71" s="1"/>
  <c r="AD184" i="83"/>
  <c r="AD55" i="71" s="1"/>
  <c r="AD160" i="71" s="1"/>
  <c r="AD213" i="83"/>
  <c r="AD85" i="71" s="1"/>
  <c r="AD190" i="71" s="1"/>
  <c r="W124" i="83"/>
  <c r="AH183" i="83"/>
  <c r="AH54" i="71" s="1"/>
  <c r="AH159" i="71" s="1"/>
  <c r="AH154" i="83"/>
  <c r="AH24" i="71" s="1"/>
  <c r="AH129" i="71" s="1"/>
  <c r="AH212" i="83"/>
  <c r="AH84" i="71" s="1"/>
  <c r="AH189" i="71" s="1"/>
  <c r="AH125" i="83"/>
  <c r="AG130" i="83"/>
  <c r="AG188" i="83"/>
  <c r="AG59" i="71" s="1"/>
  <c r="AG164" i="71" s="1"/>
  <c r="AG159" i="83"/>
  <c r="AG29" i="71" s="1"/>
  <c r="AG134" i="71" s="1"/>
  <c r="AG217" i="83"/>
  <c r="AG89" i="71" s="1"/>
  <c r="AG194" i="71" s="1"/>
  <c r="AG182" i="83"/>
  <c r="AG53" i="71" s="1"/>
  <c r="AG158" i="71" s="1"/>
  <c r="AG153" i="83"/>
  <c r="AG23" i="71" s="1"/>
  <c r="AG128" i="71" s="1"/>
  <c r="AG124" i="83"/>
  <c r="AG211" i="83"/>
  <c r="AG83" i="71" s="1"/>
  <c r="AG188" i="71" s="1"/>
  <c r="AC124" i="83"/>
  <c r="AC182" i="83"/>
  <c r="AC53" i="71" s="1"/>
  <c r="AC158" i="71" s="1"/>
  <c r="AC153" i="83"/>
  <c r="AC23" i="71" s="1"/>
  <c r="AC128" i="71" s="1"/>
  <c r="AC211" i="83"/>
  <c r="AC83" i="71" s="1"/>
  <c r="AC188" i="71" s="1"/>
  <c r="Z123" i="83"/>
  <c r="W129" i="83"/>
  <c r="W129" i="72" s="1"/>
  <c r="W199" i="72" s="1"/>
  <c r="W229" i="72" s="1"/>
  <c r="AN160" i="83"/>
  <c r="AN30" i="71" s="1"/>
  <c r="AN135" i="71" s="1"/>
  <c r="AN218" i="83"/>
  <c r="AN90" i="71" s="1"/>
  <c r="AN195" i="71" s="1"/>
  <c r="AN189" i="83"/>
  <c r="AN60" i="71" s="1"/>
  <c r="AN165" i="71" s="1"/>
  <c r="AN131" i="83"/>
  <c r="M346" i="53"/>
  <c r="AE148" i="80"/>
  <c r="AE174" i="80" s="1"/>
  <c r="AF176" i="80"/>
  <c r="AF208" i="80"/>
  <c r="AE145" i="80"/>
  <c r="AE171" i="80" s="1"/>
  <c r="AL132" i="74"/>
  <c r="AL133" i="74"/>
  <c r="AB133" i="74"/>
  <c r="AB132" i="74"/>
  <c r="AM133" i="74"/>
  <c r="AM132" i="74"/>
  <c r="P204" i="80"/>
  <c r="P206" i="80" s="1"/>
  <c r="P20" i="74"/>
  <c r="P254" i="80"/>
  <c r="P252" i="80"/>
  <c r="P257" i="80"/>
  <c r="P255" i="80"/>
  <c r="P259" i="80"/>
  <c r="P256" i="80"/>
  <c r="P258" i="80"/>
  <c r="P253" i="80"/>
  <c r="N132" i="74"/>
  <c r="N133" i="74"/>
  <c r="AE146" i="80"/>
  <c r="AE172" i="80" s="1"/>
  <c r="AD142" i="80"/>
  <c r="AD168" i="80" s="1"/>
  <c r="AF189" i="83"/>
  <c r="AF60" i="71" s="1"/>
  <c r="AF165" i="71" s="1"/>
  <c r="AF218" i="83"/>
  <c r="AF90" i="71" s="1"/>
  <c r="AF195" i="71" s="1"/>
  <c r="AF160" i="83"/>
  <c r="AF30" i="71" s="1"/>
  <c r="AF135" i="71" s="1"/>
  <c r="AF131" i="83"/>
  <c r="L270" i="83"/>
  <c r="AD123" i="83"/>
  <c r="AD210" i="83"/>
  <c r="AD82" i="71" s="1"/>
  <c r="AD187" i="71" s="1"/>
  <c r="AD152" i="83"/>
  <c r="AD181" i="83"/>
  <c r="AD52" i="71" s="1"/>
  <c r="AD157" i="71" s="1"/>
  <c r="AH158" i="83"/>
  <c r="AH28" i="71" s="1"/>
  <c r="AH133" i="71" s="1"/>
  <c r="AH187" i="83"/>
  <c r="AH58" i="71" s="1"/>
  <c r="AH163" i="71" s="1"/>
  <c r="AH129" i="83"/>
  <c r="AH216" i="83"/>
  <c r="AH88" i="71" s="1"/>
  <c r="AH193" i="71" s="1"/>
  <c r="AJ158" i="83"/>
  <c r="AJ28" i="71" s="1"/>
  <c r="AJ133" i="71" s="1"/>
  <c r="AJ216" i="83"/>
  <c r="AJ88" i="71" s="1"/>
  <c r="AJ193" i="71" s="1"/>
  <c r="AJ187" i="83"/>
  <c r="AJ58" i="71" s="1"/>
  <c r="AJ163" i="71" s="1"/>
  <c r="AJ129" i="83"/>
  <c r="R132" i="83"/>
  <c r="R132" i="72" s="1"/>
  <c r="R202" i="72" s="1"/>
  <c r="R232" i="72" s="1"/>
  <c r="AB131" i="83"/>
  <c r="AB131" i="72" s="1"/>
  <c r="AB201" i="72" s="1"/>
  <c r="AB231" i="72" s="1"/>
  <c r="AK218" i="83"/>
  <c r="AK90" i="71" s="1"/>
  <c r="AK195" i="71" s="1"/>
  <c r="AK131" i="83"/>
  <c r="AK189" i="83"/>
  <c r="AK60" i="71" s="1"/>
  <c r="AK165" i="71" s="1"/>
  <c r="AK160" i="83"/>
  <c r="AK30" i="71" s="1"/>
  <c r="AK135" i="71" s="1"/>
  <c r="AD127" i="83"/>
  <c r="AD156" i="83"/>
  <c r="AD26" i="71" s="1"/>
  <c r="AD131" i="71" s="1"/>
  <c r="AD185" i="83"/>
  <c r="AD56" i="71" s="1"/>
  <c r="AD161" i="71" s="1"/>
  <c r="AD214" i="83"/>
  <c r="AD86" i="71" s="1"/>
  <c r="AD191" i="71" s="1"/>
  <c r="AL189" i="83"/>
  <c r="AL60" i="71" s="1"/>
  <c r="AL165" i="71" s="1"/>
  <c r="AL160" i="83"/>
  <c r="AL30" i="71" s="1"/>
  <c r="AL135" i="71" s="1"/>
  <c r="AL131" i="83"/>
  <c r="AL218" i="83"/>
  <c r="AL90" i="71" s="1"/>
  <c r="AL195" i="71" s="1"/>
  <c r="AI130" i="83"/>
  <c r="AI217" i="83"/>
  <c r="AI89" i="71" s="1"/>
  <c r="AI194" i="71" s="1"/>
  <c r="AI188" i="83"/>
  <c r="AI59" i="71" s="1"/>
  <c r="AI164" i="71" s="1"/>
  <c r="AI159" i="83"/>
  <c r="AI29" i="71" s="1"/>
  <c r="AI134" i="71" s="1"/>
  <c r="AI126" i="83"/>
  <c r="AI155" i="83"/>
  <c r="AI25" i="71" s="1"/>
  <c r="AI130" i="71" s="1"/>
  <c r="AI184" i="83"/>
  <c r="AI55" i="71" s="1"/>
  <c r="AI160" i="71" s="1"/>
  <c r="AI213" i="83"/>
  <c r="AI85" i="71" s="1"/>
  <c r="AI190" i="71" s="1"/>
  <c r="AE124" i="83"/>
  <c r="AE211" i="83"/>
  <c r="AE83" i="71" s="1"/>
  <c r="AE188" i="71" s="1"/>
  <c r="AE153" i="83"/>
  <c r="AE23" i="71" s="1"/>
  <c r="AE128" i="71" s="1"/>
  <c r="AE182" i="83"/>
  <c r="AE53" i="71" s="1"/>
  <c r="AE158" i="71" s="1"/>
  <c r="W127" i="83"/>
  <c r="W127" i="72" s="1"/>
  <c r="W197" i="72" s="1"/>
  <c r="W227" i="72" s="1"/>
  <c r="AA132" i="83"/>
  <c r="AA132" i="72" s="1"/>
  <c r="AA202" i="72" s="1"/>
  <c r="AA232" i="72" s="1"/>
  <c r="R130" i="83"/>
  <c r="R130" i="72" s="1"/>
  <c r="R200" i="72" s="1"/>
  <c r="R230" i="72" s="1"/>
  <c r="Q126" i="83"/>
  <c r="Q126" i="72" s="1"/>
  <c r="Q196" i="72" s="1"/>
  <c r="Q226" i="72" s="1"/>
  <c r="AA129" i="83"/>
  <c r="AA129" i="72" s="1"/>
  <c r="AA199" i="72" s="1"/>
  <c r="AA229" i="72" s="1"/>
  <c r="R316" i="53"/>
  <c r="R532" i="53" s="1"/>
  <c r="R320" i="53"/>
  <c r="R536" i="53" s="1"/>
  <c r="R294" i="53"/>
  <c r="R510" i="53" s="1"/>
  <c r="R298" i="53"/>
  <c r="R514" i="53" s="1"/>
  <c r="R306" i="53"/>
  <c r="R522" i="53" s="1"/>
  <c r="R305" i="53"/>
  <c r="R521" i="53" s="1"/>
  <c r="R293" i="53"/>
  <c r="R509" i="53" s="1"/>
  <c r="R295" i="53"/>
  <c r="R511" i="53" s="1"/>
  <c r="R307" i="53"/>
  <c r="R523" i="53" s="1"/>
  <c r="R304" i="53"/>
  <c r="R520" i="53" s="1"/>
  <c r="R296" i="53"/>
  <c r="R512" i="53" s="1"/>
  <c r="R318" i="53"/>
  <c r="R534" i="53" s="1"/>
  <c r="R309" i="53"/>
  <c r="R525" i="53" s="1"/>
  <c r="R315" i="53"/>
  <c r="R531" i="53" s="1"/>
  <c r="R317" i="53"/>
  <c r="R533" i="53" s="1"/>
  <c r="R311" i="53"/>
  <c r="R527" i="53" s="1"/>
  <c r="R300" i="53"/>
  <c r="R516" i="53" s="1"/>
  <c r="R312" i="53"/>
  <c r="R528" i="53" s="1"/>
  <c r="R323" i="53"/>
  <c r="R539" i="53" s="1"/>
  <c r="R319" i="53"/>
  <c r="R535" i="53" s="1"/>
  <c r="R297" i="53"/>
  <c r="R513" i="53" s="1"/>
  <c r="R299" i="53"/>
  <c r="R515" i="53" s="1"/>
  <c r="R310" i="53"/>
  <c r="R526" i="53" s="1"/>
  <c r="R308" i="53"/>
  <c r="R524" i="53" s="1"/>
  <c r="R321" i="53"/>
  <c r="R537" i="53" s="1"/>
  <c r="R301" i="53"/>
  <c r="R517" i="53" s="1"/>
  <c r="R322" i="53"/>
  <c r="R538" i="53" s="1"/>
  <c r="M317" i="53"/>
  <c r="M306" i="53"/>
  <c r="M320" i="53"/>
  <c r="M298" i="53"/>
  <c r="M316" i="53"/>
  <c r="M309" i="53"/>
  <c r="M294" i="53"/>
  <c r="M305" i="53"/>
  <c r="M295" i="53"/>
  <c r="M299" i="53"/>
  <c r="M296" i="53"/>
  <c r="M308" i="53"/>
  <c r="M307" i="53"/>
  <c r="M297" i="53"/>
  <c r="M318" i="53"/>
  <c r="M310" i="53"/>
  <c r="M293" i="53"/>
  <c r="M304" i="53"/>
  <c r="M312" i="53"/>
  <c r="M323" i="53"/>
  <c r="M321" i="53"/>
  <c r="M319" i="53"/>
  <c r="M311" i="53"/>
  <c r="M300" i="53"/>
  <c r="M322" i="53"/>
  <c r="M301" i="53"/>
  <c r="M315" i="53"/>
  <c r="AJ132" i="74"/>
  <c r="AJ133" i="74"/>
  <c r="J133" i="74"/>
  <c r="J132" i="74"/>
  <c r="AJ128" i="83"/>
  <c r="AJ215" i="83"/>
  <c r="AJ87" i="71" s="1"/>
  <c r="AJ192" i="71" s="1"/>
  <c r="AJ157" i="83"/>
  <c r="AJ27" i="71" s="1"/>
  <c r="AJ132" i="71" s="1"/>
  <c r="AJ186" i="83"/>
  <c r="AJ57" i="71" s="1"/>
  <c r="AJ162" i="71" s="1"/>
  <c r="X128" i="83"/>
  <c r="X128" i="72" s="1"/>
  <c r="X198" i="72" s="1"/>
  <c r="X228" i="72" s="1"/>
  <c r="AL158" i="83"/>
  <c r="AL28" i="71" s="1"/>
  <c r="AL133" i="71" s="1"/>
  <c r="AL216" i="83"/>
  <c r="AL88" i="71" s="1"/>
  <c r="AL193" i="71" s="1"/>
  <c r="AL129" i="83"/>
  <c r="AL187" i="83"/>
  <c r="AL58" i="71" s="1"/>
  <c r="AL163" i="71" s="1"/>
  <c r="AM123" i="83"/>
  <c r="AM152" i="83"/>
  <c r="AM181" i="83"/>
  <c r="AM52" i="71" s="1"/>
  <c r="AM157" i="71" s="1"/>
  <c r="AM210" i="83"/>
  <c r="AM82" i="71" s="1"/>
  <c r="AM187" i="71" s="1"/>
  <c r="P124" i="83"/>
  <c r="Z127" i="83"/>
  <c r="Z127" i="72" s="1"/>
  <c r="Z197" i="72" s="1"/>
  <c r="Z227" i="72" s="1"/>
  <c r="AM189" i="83"/>
  <c r="AM60" i="71" s="1"/>
  <c r="AM165" i="71" s="1"/>
  <c r="AM131" i="83"/>
  <c r="AM160" i="83"/>
  <c r="AM30" i="71" s="1"/>
  <c r="AM135" i="71" s="1"/>
  <c r="AM218" i="83"/>
  <c r="AM90" i="71" s="1"/>
  <c r="AM195" i="71" s="1"/>
  <c r="AP212" i="83"/>
  <c r="AP84" i="71" s="1"/>
  <c r="AP189" i="71" s="1"/>
  <c r="AP183" i="83"/>
  <c r="AP54" i="71" s="1"/>
  <c r="AP159" i="71" s="1"/>
  <c r="AP125" i="83"/>
  <c r="AP154" i="83"/>
  <c r="AP24" i="71" s="1"/>
  <c r="AP129" i="71" s="1"/>
  <c r="AP214" i="83"/>
  <c r="AP86" i="71" s="1"/>
  <c r="AP191" i="71" s="1"/>
  <c r="AP156" i="83"/>
  <c r="AP26" i="71" s="1"/>
  <c r="AP131" i="71" s="1"/>
  <c r="AP127" i="83"/>
  <c r="AP185" i="83"/>
  <c r="AP56" i="71" s="1"/>
  <c r="AP161" i="71" s="1"/>
  <c r="AI219" i="83"/>
  <c r="AI91" i="71" s="1"/>
  <c r="AI196" i="71" s="1"/>
  <c r="AI161" i="83"/>
  <c r="AI31" i="71" s="1"/>
  <c r="AI136" i="71" s="1"/>
  <c r="AI190" i="83"/>
  <c r="AI61" i="71" s="1"/>
  <c r="AI166" i="71" s="1"/>
  <c r="AI132" i="83"/>
  <c r="P129" i="83"/>
  <c r="P129" i="72" s="1"/>
  <c r="P199" i="72" s="1"/>
  <c r="P229" i="72" s="1"/>
  <c r="AI157" i="83"/>
  <c r="AI27" i="71" s="1"/>
  <c r="AI132" i="71" s="1"/>
  <c r="AI128" i="83"/>
  <c r="AI186" i="83"/>
  <c r="AI57" i="71" s="1"/>
  <c r="AI162" i="71" s="1"/>
  <c r="AI215" i="83"/>
  <c r="AI87" i="71" s="1"/>
  <c r="AI192" i="71" s="1"/>
  <c r="AO158" i="83"/>
  <c r="AO28" i="71" s="1"/>
  <c r="AO133" i="71" s="1"/>
  <c r="AO129" i="83"/>
  <c r="AO216" i="83"/>
  <c r="AO88" i="71" s="1"/>
  <c r="AO193" i="71" s="1"/>
  <c r="AO187" i="83"/>
  <c r="AO58" i="71" s="1"/>
  <c r="AO163" i="71" s="1"/>
  <c r="AJ159" i="83"/>
  <c r="AJ29" i="71" s="1"/>
  <c r="AJ134" i="71" s="1"/>
  <c r="AJ130" i="83"/>
  <c r="AJ188" i="83"/>
  <c r="AJ59" i="71" s="1"/>
  <c r="AJ164" i="71" s="1"/>
  <c r="AJ217" i="83"/>
  <c r="AJ89" i="71" s="1"/>
  <c r="AJ194" i="71" s="1"/>
  <c r="P130" i="83"/>
  <c r="P130" i="72" s="1"/>
  <c r="P200" i="72" s="1"/>
  <c r="P230" i="72" s="1"/>
  <c r="P126" i="83"/>
  <c r="P126" i="72" s="1"/>
  <c r="P196" i="72" s="1"/>
  <c r="P226" i="72" s="1"/>
  <c r="AO155" i="83"/>
  <c r="AO25" i="71" s="1"/>
  <c r="AO130" i="71" s="1"/>
  <c r="AO213" i="83"/>
  <c r="AO85" i="71" s="1"/>
  <c r="AO190" i="71" s="1"/>
  <c r="AO126" i="83"/>
  <c r="AO184" i="83"/>
  <c r="AO55" i="71" s="1"/>
  <c r="AO160" i="71" s="1"/>
  <c r="AF154" i="83"/>
  <c r="AF24" i="71" s="1"/>
  <c r="AF129" i="71" s="1"/>
  <c r="AF125" i="83"/>
  <c r="AF183" i="83"/>
  <c r="AF54" i="71" s="1"/>
  <c r="AF159" i="71" s="1"/>
  <c r="AF212" i="83"/>
  <c r="AF84" i="71" s="1"/>
  <c r="AF189" i="71" s="1"/>
  <c r="AH126" i="83"/>
  <c r="AH184" i="83"/>
  <c r="AH55" i="71" s="1"/>
  <c r="AH160" i="71" s="1"/>
  <c r="AH213" i="83"/>
  <c r="AH85" i="71" s="1"/>
  <c r="AH190" i="71" s="1"/>
  <c r="AH155" i="83"/>
  <c r="AH25" i="71" s="1"/>
  <c r="AH130" i="71" s="1"/>
  <c r="AK126" i="83"/>
  <c r="AK213" i="83"/>
  <c r="AK85" i="71" s="1"/>
  <c r="AK190" i="71" s="1"/>
  <c r="AK155" i="83"/>
  <c r="AK25" i="71" s="1"/>
  <c r="AK130" i="71" s="1"/>
  <c r="AK184" i="83"/>
  <c r="AK55" i="71" s="1"/>
  <c r="AK160" i="71" s="1"/>
  <c r="M338" i="53"/>
  <c r="AE132" i="74"/>
  <c r="AE133" i="74"/>
  <c r="L133" i="74"/>
  <c r="L132" i="74"/>
  <c r="T133" i="74"/>
  <c r="T132" i="74"/>
  <c r="J72" i="53"/>
  <c r="J70" i="53"/>
  <c r="J71" i="53"/>
  <c r="S370" i="53"/>
  <c r="S380" i="53" s="1"/>
  <c r="L73" i="53"/>
  <c r="L246" i="83" s="1"/>
  <c r="AO131" i="83"/>
  <c r="AO160" i="83"/>
  <c r="AO30" i="71" s="1"/>
  <c r="AO135" i="71" s="1"/>
  <c r="AO218" i="83"/>
  <c r="AO90" i="71" s="1"/>
  <c r="AO195" i="71" s="1"/>
  <c r="AO189" i="83"/>
  <c r="AO60" i="71" s="1"/>
  <c r="AO165" i="71" s="1"/>
  <c r="AH159" i="83"/>
  <c r="AH29" i="71" s="1"/>
  <c r="AH134" i="71" s="1"/>
  <c r="AH217" i="83"/>
  <c r="AH89" i="71" s="1"/>
  <c r="AH194" i="71" s="1"/>
  <c r="AH130" i="83"/>
  <c r="AH188" i="83"/>
  <c r="AH59" i="71" s="1"/>
  <c r="AH164" i="71" s="1"/>
  <c r="AB128" i="83"/>
  <c r="AB128" i="72" s="1"/>
  <c r="AB198" i="72" s="1"/>
  <c r="AB228" i="72" s="1"/>
  <c r="W123" i="83"/>
  <c r="AF156" i="83"/>
  <c r="AF26" i="71" s="1"/>
  <c r="AF131" i="71" s="1"/>
  <c r="AF127" i="83"/>
  <c r="AF185" i="83"/>
  <c r="AF56" i="71" s="1"/>
  <c r="AF161" i="71" s="1"/>
  <c r="AF214" i="83"/>
  <c r="AF86" i="71" s="1"/>
  <c r="AF191" i="71" s="1"/>
  <c r="AJ125" i="83"/>
  <c r="AJ154" i="83"/>
  <c r="AJ24" i="71" s="1"/>
  <c r="AJ129" i="71" s="1"/>
  <c r="AJ183" i="83"/>
  <c r="AJ54" i="71" s="1"/>
  <c r="AJ159" i="71" s="1"/>
  <c r="AJ212" i="83"/>
  <c r="AJ84" i="71" s="1"/>
  <c r="AJ189" i="71" s="1"/>
  <c r="AE160" i="83"/>
  <c r="AE30" i="71" s="1"/>
  <c r="AE135" i="71" s="1"/>
  <c r="AE131" i="83"/>
  <c r="AE218" i="83"/>
  <c r="AE90" i="71" s="1"/>
  <c r="AE195" i="71" s="1"/>
  <c r="AE189" i="83"/>
  <c r="AE60" i="71" s="1"/>
  <c r="AE165" i="71" s="1"/>
  <c r="Z129" i="83"/>
  <c r="Z129" i="72" s="1"/>
  <c r="Z199" i="72" s="1"/>
  <c r="Z229" i="72" s="1"/>
  <c r="AF132" i="83"/>
  <c r="AF190" i="83"/>
  <c r="AF61" i="71" s="1"/>
  <c r="AF166" i="71" s="1"/>
  <c r="AF219" i="83"/>
  <c r="AF91" i="71" s="1"/>
  <c r="AF196" i="71" s="1"/>
  <c r="AF161" i="83"/>
  <c r="AF31" i="71" s="1"/>
  <c r="AF136" i="71" s="1"/>
  <c r="AN190" i="83"/>
  <c r="AN61" i="71" s="1"/>
  <c r="AN166" i="71" s="1"/>
  <c r="AN132" i="83"/>
  <c r="AN161" i="83"/>
  <c r="AN31" i="71" s="1"/>
  <c r="AN136" i="71" s="1"/>
  <c r="AN219" i="83"/>
  <c r="AN91" i="71" s="1"/>
  <c r="AN196" i="71" s="1"/>
  <c r="AN128" i="83"/>
  <c r="AN215" i="83"/>
  <c r="AN87" i="71" s="1"/>
  <c r="AN192" i="71" s="1"/>
  <c r="AN157" i="83"/>
  <c r="AN27" i="71" s="1"/>
  <c r="AN132" i="71" s="1"/>
  <c r="AN186" i="83"/>
  <c r="AN57" i="71" s="1"/>
  <c r="AN162" i="71" s="1"/>
  <c r="W132" i="83"/>
  <c r="W132" i="72" s="1"/>
  <c r="W202" i="72" s="1"/>
  <c r="W232" i="72" s="1"/>
  <c r="AM154" i="83"/>
  <c r="AM24" i="71" s="1"/>
  <c r="AM129" i="71" s="1"/>
  <c r="AM183" i="83"/>
  <c r="AM54" i="71" s="1"/>
  <c r="AM159" i="71" s="1"/>
  <c r="AM125" i="83"/>
  <c r="AM212" i="83"/>
  <c r="AM84" i="71" s="1"/>
  <c r="AM189" i="71" s="1"/>
  <c r="W130" i="83"/>
  <c r="W130" i="72" s="1"/>
  <c r="W200" i="72" s="1"/>
  <c r="W230" i="72" s="1"/>
  <c r="P125" i="83"/>
  <c r="P125" i="72" s="1"/>
  <c r="P195" i="72" s="1"/>
  <c r="P225" i="72" s="1"/>
  <c r="AN184" i="83"/>
  <c r="AN55" i="71" s="1"/>
  <c r="AN160" i="71" s="1"/>
  <c r="AN126" i="83"/>
  <c r="AN213" i="83"/>
  <c r="AN85" i="71" s="1"/>
  <c r="AN190" i="71" s="1"/>
  <c r="AN155" i="83"/>
  <c r="AN25" i="71" s="1"/>
  <c r="AN130" i="71" s="1"/>
  <c r="AC132" i="83"/>
  <c r="AC161" i="83"/>
  <c r="AC31" i="71" s="1"/>
  <c r="AC136" i="71" s="1"/>
  <c r="AC190" i="83"/>
  <c r="AC61" i="71" s="1"/>
  <c r="AC166" i="71" s="1"/>
  <c r="AC219" i="83"/>
  <c r="AC91" i="71" s="1"/>
  <c r="AC196" i="71" s="1"/>
  <c r="AK217" i="83"/>
  <c r="AK89" i="71" s="1"/>
  <c r="AK194" i="71" s="1"/>
  <c r="AK159" i="83"/>
  <c r="AK29" i="71" s="1"/>
  <c r="AK134" i="71" s="1"/>
  <c r="AK130" i="83"/>
  <c r="AK188" i="83"/>
  <c r="AK59" i="71" s="1"/>
  <c r="AK164" i="71" s="1"/>
  <c r="Z128" i="83"/>
  <c r="Z128" i="72" s="1"/>
  <c r="Z198" i="72" s="1"/>
  <c r="Z228" i="72" s="1"/>
  <c r="X126" i="83"/>
  <c r="X126" i="72" s="1"/>
  <c r="X196" i="72" s="1"/>
  <c r="X226" i="72" s="1"/>
  <c r="AK125" i="83"/>
  <c r="AK212" i="83"/>
  <c r="AK84" i="71" s="1"/>
  <c r="AK189" i="71" s="1"/>
  <c r="AK154" i="83"/>
  <c r="AK24" i="71" s="1"/>
  <c r="AK129" i="71" s="1"/>
  <c r="AK183" i="83"/>
  <c r="AK54" i="71" s="1"/>
  <c r="AK159" i="71" s="1"/>
  <c r="AB126" i="83"/>
  <c r="AB126" i="72" s="1"/>
  <c r="AB196" i="72" s="1"/>
  <c r="AB226" i="72" s="1"/>
  <c r="AK129" i="83"/>
  <c r="AK158" i="83"/>
  <c r="AK28" i="71" s="1"/>
  <c r="AK133" i="71" s="1"/>
  <c r="AK216" i="83"/>
  <c r="AK88" i="71" s="1"/>
  <c r="AK193" i="71" s="1"/>
  <c r="AK187" i="83"/>
  <c r="AK58" i="71" s="1"/>
  <c r="AK163" i="71" s="1"/>
  <c r="Q129" i="83"/>
  <c r="Q129" i="72" s="1"/>
  <c r="Q199" i="72" s="1"/>
  <c r="Q229" i="72" s="1"/>
  <c r="Q125" i="83"/>
  <c r="Q125" i="72" s="1"/>
  <c r="Q195" i="72" s="1"/>
  <c r="Q225" i="72" s="1"/>
  <c r="AN156" i="83"/>
  <c r="AN26" i="71" s="1"/>
  <c r="AN131" i="71" s="1"/>
  <c r="AN214" i="83"/>
  <c r="AN86" i="71" s="1"/>
  <c r="AN191" i="71" s="1"/>
  <c r="AN185" i="83"/>
  <c r="AN56" i="71" s="1"/>
  <c r="AN161" i="71" s="1"/>
  <c r="AN127" i="83"/>
  <c r="AK156" i="83"/>
  <c r="AK26" i="71" s="1"/>
  <c r="AK131" i="71" s="1"/>
  <c r="AK185" i="83"/>
  <c r="AK56" i="71" s="1"/>
  <c r="AK161" i="71" s="1"/>
  <c r="AK127" i="83"/>
  <c r="AK214" i="83"/>
  <c r="AK86" i="71" s="1"/>
  <c r="AK191" i="71" s="1"/>
  <c r="X124" i="83"/>
  <c r="AM219" i="83"/>
  <c r="AM91" i="71" s="1"/>
  <c r="AM196" i="71" s="1"/>
  <c r="AM190" i="83"/>
  <c r="AM61" i="71" s="1"/>
  <c r="AM166" i="71" s="1"/>
  <c r="AM161" i="83"/>
  <c r="AM31" i="71" s="1"/>
  <c r="AM136" i="71" s="1"/>
  <c r="AM132" i="83"/>
  <c r="AD186" i="83"/>
  <c r="AD57" i="71" s="1"/>
  <c r="AD162" i="71" s="1"/>
  <c r="AD128" i="83"/>
  <c r="AD157" i="83"/>
  <c r="AD27" i="71" s="1"/>
  <c r="AD132" i="71" s="1"/>
  <c r="AD215" i="83"/>
  <c r="AD87" i="71" s="1"/>
  <c r="AD192" i="71" s="1"/>
  <c r="AA124" i="83"/>
  <c r="AC188" i="83"/>
  <c r="AC59" i="71" s="1"/>
  <c r="AC164" i="71" s="1"/>
  <c r="AC159" i="83"/>
  <c r="AC29" i="71" s="1"/>
  <c r="AC134" i="71" s="1"/>
  <c r="AC217" i="83"/>
  <c r="AC89" i="71" s="1"/>
  <c r="AC194" i="71" s="1"/>
  <c r="AC130" i="83"/>
  <c r="AC176" i="80"/>
  <c r="AC177" i="80" s="1"/>
  <c r="AC208" i="80"/>
  <c r="M343" i="53"/>
  <c r="Z118" i="53"/>
  <c r="O88" i="53"/>
  <c r="O90" i="53" s="1"/>
  <c r="O120" i="53" s="1"/>
  <c r="O122" i="53" s="1"/>
  <c r="O340" i="53" s="1"/>
  <c r="O351" i="53" s="1"/>
  <c r="J270" i="83"/>
  <c r="T70" i="53"/>
  <c r="T72" i="53"/>
  <c r="T71" i="53"/>
  <c r="AG132" i="74"/>
  <c r="AG133" i="74"/>
  <c r="AA132" i="74"/>
  <c r="AA133" i="74"/>
  <c r="AD133" i="74"/>
  <c r="AD132" i="74"/>
  <c r="T204" i="80"/>
  <c r="T206" i="80" s="1"/>
  <c r="T20" i="74"/>
  <c r="P70" i="53"/>
  <c r="P88" i="53" s="1"/>
  <c r="P90" i="53" s="1"/>
  <c r="P120" i="53" s="1"/>
  <c r="P122" i="53" s="1"/>
  <c r="P72" i="53"/>
  <c r="P71" i="53"/>
  <c r="AE129" i="83"/>
  <c r="AE187" i="83"/>
  <c r="AE58" i="71" s="1"/>
  <c r="AE163" i="71" s="1"/>
  <c r="AE158" i="83"/>
  <c r="AE28" i="71" s="1"/>
  <c r="AE133" i="71" s="1"/>
  <c r="AE216" i="83"/>
  <c r="AE88" i="71" s="1"/>
  <c r="AE193" i="71" s="1"/>
  <c r="Y129" i="83"/>
  <c r="Y129" i="72" s="1"/>
  <c r="Y199" i="72" s="1"/>
  <c r="Y229" i="72" s="1"/>
  <c r="AJ155" i="83"/>
  <c r="AJ25" i="71" s="1"/>
  <c r="AJ130" i="71" s="1"/>
  <c r="AJ184" i="83"/>
  <c r="AJ55" i="71" s="1"/>
  <c r="AJ160" i="71" s="1"/>
  <c r="AJ213" i="83"/>
  <c r="AJ85" i="71" s="1"/>
  <c r="AJ190" i="71" s="1"/>
  <c r="AJ126" i="83"/>
  <c r="U130" i="83"/>
  <c r="U130" i="72" s="1"/>
  <c r="U200" i="72" s="1"/>
  <c r="U230" i="72" s="1"/>
  <c r="AB129" i="83"/>
  <c r="AB129" i="72" s="1"/>
  <c r="AB199" i="72" s="1"/>
  <c r="AB229" i="72" s="1"/>
  <c r="Q123" i="83"/>
  <c r="AK123" i="83"/>
  <c r="AK152" i="83"/>
  <c r="AK210" i="83"/>
  <c r="AK82" i="71" s="1"/>
  <c r="AK187" i="71" s="1"/>
  <c r="AK181" i="83"/>
  <c r="AK52" i="71" s="1"/>
  <c r="AK157" i="71" s="1"/>
  <c r="AE132" i="83"/>
  <c r="AE219" i="83"/>
  <c r="AE91" i="71" s="1"/>
  <c r="AE196" i="71" s="1"/>
  <c r="AE190" i="83"/>
  <c r="AE61" i="71" s="1"/>
  <c r="AE166" i="71" s="1"/>
  <c r="AE161" i="83"/>
  <c r="AE31" i="71" s="1"/>
  <c r="AE136" i="71" s="1"/>
  <c r="AB123" i="83"/>
  <c r="AD129" i="83"/>
  <c r="AD187" i="83"/>
  <c r="AD58" i="71" s="1"/>
  <c r="AD163" i="71" s="1"/>
  <c r="AD158" i="83"/>
  <c r="AD28" i="71" s="1"/>
  <c r="AD133" i="71" s="1"/>
  <c r="AD216" i="83"/>
  <c r="AD88" i="71" s="1"/>
  <c r="AD193" i="71" s="1"/>
  <c r="AP131" i="83"/>
  <c r="AP218" i="83"/>
  <c r="AP90" i="71" s="1"/>
  <c r="AP195" i="71" s="1"/>
  <c r="AP160" i="83"/>
  <c r="AP30" i="71" s="1"/>
  <c r="AP135" i="71" s="1"/>
  <c r="AP189" i="83"/>
  <c r="AP60" i="71" s="1"/>
  <c r="AP165" i="71" s="1"/>
  <c r="Q127" i="83"/>
  <c r="Q127" i="72" s="1"/>
  <c r="Q197" i="72" s="1"/>
  <c r="Q227" i="72" s="1"/>
  <c r="V125" i="83"/>
  <c r="V125" i="72" s="1"/>
  <c r="V195" i="72" s="1"/>
  <c r="V225" i="72" s="1"/>
  <c r="V132" i="83"/>
  <c r="V132" i="72" s="1"/>
  <c r="V202" i="72" s="1"/>
  <c r="V232" i="72" s="1"/>
  <c r="AD217" i="83"/>
  <c r="AD89" i="71" s="1"/>
  <c r="AD194" i="71" s="1"/>
  <c r="AD159" i="83"/>
  <c r="AD29" i="71" s="1"/>
  <c r="AD134" i="71" s="1"/>
  <c r="AD188" i="83"/>
  <c r="AD59" i="71" s="1"/>
  <c r="AD164" i="71" s="1"/>
  <c r="AD130" i="83"/>
  <c r="AA125" i="83"/>
  <c r="AA125" i="72" s="1"/>
  <c r="AA195" i="72" s="1"/>
  <c r="AA225" i="72" s="1"/>
  <c r="M344" i="53"/>
  <c r="Y132" i="74"/>
  <c r="Y133" i="74"/>
  <c r="AH133" i="74"/>
  <c r="AH132" i="74"/>
  <c r="AD143" i="80"/>
  <c r="AD169" i="80" s="1"/>
  <c r="U304" i="53"/>
  <c r="U520" i="53" s="1"/>
  <c r="U310" i="53"/>
  <c r="U526" i="53" s="1"/>
  <c r="U316" i="53"/>
  <c r="U532" i="53" s="1"/>
  <c r="U306" i="53"/>
  <c r="U522" i="53" s="1"/>
  <c r="U295" i="53"/>
  <c r="U511" i="53" s="1"/>
  <c r="U307" i="53"/>
  <c r="U523" i="53" s="1"/>
  <c r="U317" i="53"/>
  <c r="U533" i="53" s="1"/>
  <c r="U321" i="53"/>
  <c r="U537" i="53" s="1"/>
  <c r="U299" i="53"/>
  <c r="U515" i="53" s="1"/>
  <c r="U315" i="53"/>
  <c r="U531" i="53" s="1"/>
  <c r="U318" i="53"/>
  <c r="U534" i="53" s="1"/>
  <c r="U293" i="53"/>
  <c r="U509" i="53" s="1"/>
  <c r="U305" i="53"/>
  <c r="U521" i="53" s="1"/>
  <c r="U294" i="53"/>
  <c r="U510" i="53" s="1"/>
  <c r="U296" i="53"/>
  <c r="U512" i="53" s="1"/>
  <c r="U300" i="53"/>
  <c r="U516" i="53" s="1"/>
  <c r="U308" i="53"/>
  <c r="U524" i="53" s="1"/>
  <c r="U312" i="53"/>
  <c r="U528" i="53" s="1"/>
  <c r="U311" i="53"/>
  <c r="U527" i="53" s="1"/>
  <c r="U309" i="53"/>
  <c r="U525" i="53" s="1"/>
  <c r="U298" i="53"/>
  <c r="U514" i="53" s="1"/>
  <c r="U319" i="53"/>
  <c r="U535" i="53" s="1"/>
  <c r="U320" i="53"/>
  <c r="U536" i="53" s="1"/>
  <c r="U323" i="53"/>
  <c r="U539" i="53" s="1"/>
  <c r="U322" i="53"/>
  <c r="U538" i="53" s="1"/>
  <c r="U301" i="53"/>
  <c r="U517" i="53" s="1"/>
  <c r="U297" i="53"/>
  <c r="U513" i="53" s="1"/>
  <c r="T74" i="53"/>
  <c r="T247" i="83" s="1"/>
  <c r="AH123" i="83"/>
  <c r="AH181" i="83"/>
  <c r="AH52" i="71" s="1"/>
  <c r="AH157" i="71" s="1"/>
  <c r="AH210" i="83"/>
  <c r="AH82" i="71" s="1"/>
  <c r="AH187" i="71" s="1"/>
  <c r="AH152" i="83"/>
  <c r="AM213" i="83"/>
  <c r="AM85" i="71" s="1"/>
  <c r="AM190" i="71" s="1"/>
  <c r="AM184" i="83"/>
  <c r="AM55" i="71" s="1"/>
  <c r="AM160" i="71" s="1"/>
  <c r="AM155" i="83"/>
  <c r="AM25" i="71" s="1"/>
  <c r="AM130" i="71" s="1"/>
  <c r="AM126" i="83"/>
  <c r="AJ132" i="83"/>
  <c r="AJ190" i="83"/>
  <c r="AJ61" i="71" s="1"/>
  <c r="AJ166" i="71" s="1"/>
  <c r="AJ219" i="83"/>
  <c r="AJ91" i="71" s="1"/>
  <c r="AJ196" i="71" s="1"/>
  <c r="AJ161" i="83"/>
  <c r="AJ31" i="71" s="1"/>
  <c r="AJ136" i="71" s="1"/>
  <c r="AA128" i="83"/>
  <c r="AA128" i="72" s="1"/>
  <c r="AA198" i="72" s="1"/>
  <c r="AA228" i="72" s="1"/>
  <c r="AL190" i="83"/>
  <c r="AL61" i="71" s="1"/>
  <c r="AL166" i="71" s="1"/>
  <c r="AL132" i="83"/>
  <c r="AL219" i="83"/>
  <c r="AL91" i="71" s="1"/>
  <c r="AL196" i="71" s="1"/>
  <c r="AL161" i="83"/>
  <c r="AL31" i="71" s="1"/>
  <c r="AL136" i="71" s="1"/>
  <c r="AG158" i="83"/>
  <c r="AG28" i="71" s="1"/>
  <c r="AG133" i="71" s="1"/>
  <c r="AG216" i="83"/>
  <c r="AG88" i="71" s="1"/>
  <c r="AG193" i="71" s="1"/>
  <c r="AG187" i="83"/>
  <c r="AG58" i="71" s="1"/>
  <c r="AG163" i="71" s="1"/>
  <c r="AG129" i="83"/>
  <c r="AG183" i="83"/>
  <c r="AG54" i="71" s="1"/>
  <c r="AG159" i="71" s="1"/>
  <c r="AG154" i="83"/>
  <c r="AG24" i="71" s="1"/>
  <c r="AG129" i="71" s="1"/>
  <c r="AG125" i="83"/>
  <c r="AG212" i="83"/>
  <c r="AG84" i="71" s="1"/>
  <c r="AG189" i="71" s="1"/>
  <c r="X127" i="83"/>
  <c r="X127" i="72" s="1"/>
  <c r="X197" i="72" s="1"/>
  <c r="X227" i="72" s="1"/>
  <c r="AG131" i="83"/>
  <c r="AG189" i="83"/>
  <c r="AG60" i="71" s="1"/>
  <c r="AG165" i="71" s="1"/>
  <c r="AG218" i="83"/>
  <c r="AG90" i="71" s="1"/>
  <c r="AG195" i="71" s="1"/>
  <c r="AG160" i="83"/>
  <c r="AG30" i="71" s="1"/>
  <c r="AG135" i="71" s="1"/>
  <c r="V126" i="83"/>
  <c r="V126" i="72" s="1"/>
  <c r="V196" i="72" s="1"/>
  <c r="V226" i="72" s="1"/>
  <c r="U123" i="83"/>
  <c r="AE212" i="83"/>
  <c r="AE84" i="71" s="1"/>
  <c r="AE189" i="71" s="1"/>
  <c r="AE183" i="83"/>
  <c r="AE54" i="71" s="1"/>
  <c r="AE159" i="71" s="1"/>
  <c r="AE125" i="83"/>
  <c r="AE154" i="83"/>
  <c r="AE24" i="71" s="1"/>
  <c r="AE129" i="71" s="1"/>
  <c r="AG126" i="83"/>
  <c r="AG184" i="83"/>
  <c r="AG55" i="71" s="1"/>
  <c r="AG160" i="71" s="1"/>
  <c r="AG155" i="83"/>
  <c r="AG25" i="71" s="1"/>
  <c r="AG130" i="71" s="1"/>
  <c r="AG213" i="83"/>
  <c r="AG85" i="71" s="1"/>
  <c r="AG190" i="71" s="1"/>
  <c r="V133" i="74"/>
  <c r="V132" i="74"/>
  <c r="L74" i="53"/>
  <c r="L247" i="83" s="1"/>
  <c r="AM127" i="83"/>
  <c r="AM156" i="83"/>
  <c r="AM26" i="71" s="1"/>
  <c r="AM131" i="71" s="1"/>
  <c r="AM185" i="83"/>
  <c r="AM56" i="71" s="1"/>
  <c r="AM161" i="71" s="1"/>
  <c r="AM214" i="83"/>
  <c r="AM86" i="71" s="1"/>
  <c r="AM191" i="71" s="1"/>
  <c r="AO127" i="83"/>
  <c r="AO214" i="83"/>
  <c r="AO86" i="71" s="1"/>
  <c r="AO191" i="71" s="1"/>
  <c r="AO156" i="83"/>
  <c r="AO26" i="71" s="1"/>
  <c r="AO131" i="71" s="1"/>
  <c r="AO185" i="83"/>
  <c r="AO56" i="71" s="1"/>
  <c r="AO161" i="71" s="1"/>
  <c r="X132" i="83"/>
  <c r="X132" i="72" s="1"/>
  <c r="X202" i="72" s="1"/>
  <c r="X232" i="72" s="1"/>
  <c r="V131" i="83"/>
  <c r="V131" i="72" s="1"/>
  <c r="V201" i="72" s="1"/>
  <c r="V231" i="72" s="1"/>
  <c r="P131" i="83"/>
  <c r="P131" i="72" s="1"/>
  <c r="P201" i="72" s="1"/>
  <c r="P231" i="72" s="1"/>
  <c r="W126" i="83"/>
  <c r="W126" i="72" s="1"/>
  <c r="W196" i="72" s="1"/>
  <c r="W226" i="72" s="1"/>
  <c r="AI189" i="83"/>
  <c r="AI60" i="71" s="1"/>
  <c r="AI165" i="71" s="1"/>
  <c r="AI131" i="83"/>
  <c r="AI160" i="83"/>
  <c r="AI30" i="71" s="1"/>
  <c r="AI135" i="71" s="1"/>
  <c r="AI218" i="83"/>
  <c r="AI90" i="71" s="1"/>
  <c r="AI195" i="71" s="1"/>
  <c r="W131" i="83"/>
  <c r="W131" i="72" s="1"/>
  <c r="W201" i="72" s="1"/>
  <c r="W231" i="72" s="1"/>
  <c r="Y132" i="83"/>
  <c r="Y132" i="72" s="1"/>
  <c r="Y202" i="72" s="1"/>
  <c r="Y232" i="72" s="1"/>
  <c r="AA126" i="83"/>
  <c r="AA126" i="72" s="1"/>
  <c r="AA196" i="72" s="1"/>
  <c r="AA226" i="72" s="1"/>
  <c r="X125" i="83"/>
  <c r="X125" i="72" s="1"/>
  <c r="X195" i="72" s="1"/>
  <c r="X225" i="72" s="1"/>
  <c r="U131" i="83"/>
  <c r="U131" i="72" s="1"/>
  <c r="U201" i="72" s="1"/>
  <c r="U231" i="72" s="1"/>
  <c r="AP129" i="83"/>
  <c r="AP187" i="83"/>
  <c r="AP58" i="71" s="1"/>
  <c r="AP163" i="71" s="1"/>
  <c r="AP216" i="83"/>
  <c r="AP88" i="71" s="1"/>
  <c r="AP193" i="71" s="1"/>
  <c r="AP158" i="83"/>
  <c r="AP28" i="71" s="1"/>
  <c r="AP133" i="71" s="1"/>
  <c r="AA123" i="83"/>
  <c r="AG219" i="83"/>
  <c r="AG91" i="71" s="1"/>
  <c r="AG196" i="71" s="1"/>
  <c r="AG190" i="83"/>
  <c r="AG61" i="71" s="1"/>
  <c r="AG166" i="71" s="1"/>
  <c r="AG161" i="83"/>
  <c r="AG31" i="71" s="1"/>
  <c r="AG136" i="71" s="1"/>
  <c r="AG132" i="83"/>
  <c r="AG128" i="83"/>
  <c r="AG157" i="83"/>
  <c r="AG27" i="71" s="1"/>
  <c r="AG132" i="71" s="1"/>
  <c r="AG186" i="83"/>
  <c r="AG57" i="71" s="1"/>
  <c r="AG162" i="71" s="1"/>
  <c r="AG215" i="83"/>
  <c r="AG87" i="71" s="1"/>
  <c r="AG192" i="71" s="1"/>
  <c r="Q130" i="83"/>
  <c r="Q130" i="72" s="1"/>
  <c r="Q200" i="72" s="1"/>
  <c r="Q230" i="72" s="1"/>
  <c r="R123" i="83"/>
  <c r="Q132" i="83"/>
  <c r="Q132" i="72" s="1"/>
  <c r="Q202" i="72" s="1"/>
  <c r="Q232" i="72" s="1"/>
  <c r="Q128" i="83"/>
  <c r="Q128" i="72" s="1"/>
  <c r="Q198" i="72" s="1"/>
  <c r="Q228" i="72" s="1"/>
  <c r="P123" i="83"/>
  <c r="Q131" i="83"/>
  <c r="Q131" i="72" s="1"/>
  <c r="Q201" i="72" s="1"/>
  <c r="Q231" i="72" s="1"/>
  <c r="AO183" i="83"/>
  <c r="AO54" i="71" s="1"/>
  <c r="AO159" i="71" s="1"/>
  <c r="AO212" i="83"/>
  <c r="AO84" i="71" s="1"/>
  <c r="AO189" i="71" s="1"/>
  <c r="AO154" i="83"/>
  <c r="AO24" i="71" s="1"/>
  <c r="AO129" i="71" s="1"/>
  <c r="AO125" i="83"/>
  <c r="U125" i="83"/>
  <c r="U125" i="72" s="1"/>
  <c r="U195" i="72" s="1"/>
  <c r="U225" i="72" s="1"/>
  <c r="AD218" i="83"/>
  <c r="AD90" i="71" s="1"/>
  <c r="AD195" i="71" s="1"/>
  <c r="AD131" i="83"/>
  <c r="AD189" i="83"/>
  <c r="AD60" i="71" s="1"/>
  <c r="AD165" i="71" s="1"/>
  <c r="AD160" i="83"/>
  <c r="AD30" i="71" s="1"/>
  <c r="AD135" i="71" s="1"/>
  <c r="AJ160" i="83"/>
  <c r="AJ30" i="71" s="1"/>
  <c r="AJ135" i="71" s="1"/>
  <c r="AJ131" i="83"/>
  <c r="AJ189" i="83"/>
  <c r="AJ60" i="71" s="1"/>
  <c r="AJ165" i="71" s="1"/>
  <c r="AJ218" i="83"/>
  <c r="AJ90" i="71" s="1"/>
  <c r="AJ195" i="71" s="1"/>
  <c r="AD124" i="83"/>
  <c r="AD211" i="83"/>
  <c r="AD83" i="71" s="1"/>
  <c r="AD188" i="71" s="1"/>
  <c r="AD153" i="83"/>
  <c r="AD23" i="71" s="1"/>
  <c r="AD128" i="71" s="1"/>
  <c r="AD182" i="83"/>
  <c r="AD53" i="71" s="1"/>
  <c r="AD158" i="71" s="1"/>
  <c r="U129" i="83"/>
  <c r="U129" i="72" s="1"/>
  <c r="U199" i="72" s="1"/>
  <c r="U229" i="72" s="1"/>
  <c r="AH157" i="83"/>
  <c r="AH27" i="71" s="1"/>
  <c r="AH132" i="71" s="1"/>
  <c r="AH128" i="83"/>
  <c r="AH215" i="83"/>
  <c r="AH87" i="71" s="1"/>
  <c r="AH192" i="71" s="1"/>
  <c r="AH186" i="83"/>
  <c r="AH57" i="71" s="1"/>
  <c r="AH162" i="71" s="1"/>
  <c r="AH124" i="83"/>
  <c r="AH182" i="83"/>
  <c r="AH53" i="71" s="1"/>
  <c r="AH158" i="71" s="1"/>
  <c r="AH153" i="83"/>
  <c r="AH23" i="71" s="1"/>
  <c r="AH128" i="71" s="1"/>
  <c r="AH211" i="83"/>
  <c r="AH83" i="71" s="1"/>
  <c r="AH188" i="71" s="1"/>
  <c r="W128" i="83"/>
  <c r="W128" i="72" s="1"/>
  <c r="W198" i="72" s="1"/>
  <c r="W228" i="72" s="1"/>
  <c r="M342" i="53"/>
  <c r="AE150" i="80"/>
  <c r="AK132" i="74"/>
  <c r="AK133" i="74"/>
  <c r="AO133" i="74"/>
  <c r="AO132" i="74"/>
  <c r="AC132" i="74"/>
  <c r="AC133" i="74"/>
  <c r="AD147" i="80"/>
  <c r="AD173" i="80" s="1"/>
  <c r="A4" i="22"/>
  <c r="J41" i="55"/>
  <c r="Z133" i="74"/>
  <c r="Z132" i="74"/>
  <c r="AN133" i="74"/>
  <c r="AN132" i="74"/>
  <c r="W133" i="74"/>
  <c r="W132" i="74"/>
  <c r="Q318" i="53"/>
  <c r="Q534" i="53" s="1"/>
  <c r="Q320" i="53"/>
  <c r="Q536" i="53" s="1"/>
  <c r="Q310" i="53"/>
  <c r="Q526" i="53" s="1"/>
  <c r="Q307" i="53"/>
  <c r="Q523" i="53" s="1"/>
  <c r="Q315" i="53"/>
  <c r="Q531" i="53" s="1"/>
  <c r="Q319" i="53"/>
  <c r="Q535" i="53" s="1"/>
  <c r="Q304" i="53"/>
  <c r="Q520" i="53" s="1"/>
  <c r="Q299" i="53"/>
  <c r="Q515" i="53" s="1"/>
  <c r="Q295" i="53"/>
  <c r="Q511" i="53" s="1"/>
  <c r="Q316" i="53"/>
  <c r="Q532" i="53" s="1"/>
  <c r="Q296" i="53"/>
  <c r="Q512" i="53" s="1"/>
  <c r="Q305" i="53"/>
  <c r="Q521" i="53" s="1"/>
  <c r="Q298" i="53"/>
  <c r="Q514" i="53" s="1"/>
  <c r="Q309" i="53"/>
  <c r="Q525" i="53" s="1"/>
  <c r="Q306" i="53"/>
  <c r="Q522" i="53" s="1"/>
  <c r="Q294" i="53"/>
  <c r="Q510" i="53" s="1"/>
  <c r="Q308" i="53"/>
  <c r="Q524" i="53" s="1"/>
  <c r="Q317" i="53"/>
  <c r="Q533" i="53" s="1"/>
  <c r="Q293" i="53"/>
  <c r="Q509" i="53" s="1"/>
  <c r="Q321" i="53"/>
  <c r="Q537" i="53" s="1"/>
  <c r="Q297" i="53"/>
  <c r="Q513" i="53" s="1"/>
  <c r="Q300" i="53"/>
  <c r="Q516" i="53" s="1"/>
  <c r="Q322" i="53"/>
  <c r="Q538" i="53" s="1"/>
  <c r="Q301" i="53"/>
  <c r="Q517" i="53" s="1"/>
  <c r="Q311" i="53"/>
  <c r="Q527" i="53" s="1"/>
  <c r="Q323" i="53"/>
  <c r="Q539" i="53" s="1"/>
  <c r="Q312" i="53"/>
  <c r="Q528" i="53" s="1"/>
  <c r="N88" i="53"/>
  <c r="N90" i="53" s="1"/>
  <c r="N120" i="53" s="1"/>
  <c r="N122" i="53" s="1"/>
  <c r="N344" i="53" s="1"/>
  <c r="N355" i="53" s="1"/>
  <c r="M132" i="74"/>
  <c r="M133" i="74"/>
  <c r="H33" i="111"/>
  <c r="T74" i="81" s="1"/>
  <c r="T76" i="81" s="1"/>
  <c r="T108" i="81" s="1"/>
  <c r="S47" i="82" s="1"/>
  <c r="R126" i="83"/>
  <c r="R126" i="72" s="1"/>
  <c r="R196" i="72" s="1"/>
  <c r="R226" i="72" s="1"/>
  <c r="P127" i="83"/>
  <c r="P127" i="72" s="1"/>
  <c r="P197" i="72" s="1"/>
  <c r="P227" i="72" s="1"/>
  <c r="AL126" i="83"/>
  <c r="AL184" i="83"/>
  <c r="AL55" i="71" s="1"/>
  <c r="AL160" i="71" s="1"/>
  <c r="AL155" i="83"/>
  <c r="AL25" i="71" s="1"/>
  <c r="AL130" i="71" s="1"/>
  <c r="AL213" i="83"/>
  <c r="AL85" i="71" s="1"/>
  <c r="AL190" i="71" s="1"/>
  <c r="AB132" i="83"/>
  <c r="AB132" i="72" s="1"/>
  <c r="AB202" i="72" s="1"/>
  <c r="AB232" i="72" s="1"/>
  <c r="Y131" i="83"/>
  <c r="Y131" i="72" s="1"/>
  <c r="Y201" i="72" s="1"/>
  <c r="Y231" i="72" s="1"/>
  <c r="Y127" i="83"/>
  <c r="Y127" i="72" s="1"/>
  <c r="Y197" i="72" s="1"/>
  <c r="Y227" i="72" s="1"/>
  <c r="U126" i="83"/>
  <c r="U126" i="72" s="1"/>
  <c r="U196" i="72" s="1"/>
  <c r="U226" i="72" s="1"/>
  <c r="Z132" i="83"/>
  <c r="Z132" i="72" s="1"/>
  <c r="Z202" i="72" s="1"/>
  <c r="Z232" i="72" s="1"/>
  <c r="AN216" i="83"/>
  <c r="AN88" i="71" s="1"/>
  <c r="AN193" i="71" s="1"/>
  <c r="AN158" i="83"/>
  <c r="AN28" i="71" s="1"/>
  <c r="AN133" i="71" s="1"/>
  <c r="AN129" i="83"/>
  <c r="AN187" i="83"/>
  <c r="AN58" i="71" s="1"/>
  <c r="AN163" i="71" s="1"/>
  <c r="AK215" i="83"/>
  <c r="AK87" i="71" s="1"/>
  <c r="AK192" i="71" s="1"/>
  <c r="AK157" i="83"/>
  <c r="AK27" i="71" s="1"/>
  <c r="AK132" i="71" s="1"/>
  <c r="AK128" i="83"/>
  <c r="AK186" i="83"/>
  <c r="AK57" i="71" s="1"/>
  <c r="AK162" i="71" s="1"/>
  <c r="AK124" i="83"/>
  <c r="AK211" i="83"/>
  <c r="AK83" i="71" s="1"/>
  <c r="AK188" i="71" s="1"/>
  <c r="AK182" i="83"/>
  <c r="AK53" i="71" s="1"/>
  <c r="AK158" i="71" s="1"/>
  <c r="AK153" i="83"/>
  <c r="AK23" i="71" s="1"/>
  <c r="AK128" i="71" s="1"/>
  <c r="AC213" i="83"/>
  <c r="AC85" i="71" s="1"/>
  <c r="AC190" i="71" s="1"/>
  <c r="AC184" i="83"/>
  <c r="AC55" i="71" s="1"/>
  <c r="AC160" i="71" s="1"/>
  <c r="AC126" i="83"/>
  <c r="AC155" i="83"/>
  <c r="AC25" i="71" s="1"/>
  <c r="AC130" i="71" s="1"/>
  <c r="AP186" i="83"/>
  <c r="AP57" i="71" s="1"/>
  <c r="AP162" i="71" s="1"/>
  <c r="AP215" i="83"/>
  <c r="AP87" i="71" s="1"/>
  <c r="AP192" i="71" s="1"/>
  <c r="AP157" i="83"/>
  <c r="AP27" i="71" s="1"/>
  <c r="AP132" i="71" s="1"/>
  <c r="AP128" i="83"/>
  <c r="X129" i="83"/>
  <c r="X129" i="72" s="1"/>
  <c r="X199" i="72" s="1"/>
  <c r="X229" i="72" s="1"/>
  <c r="U128" i="83"/>
  <c r="U128" i="72" s="1"/>
  <c r="U198" i="72" s="1"/>
  <c r="U228" i="72" s="1"/>
  <c r="U124" i="83"/>
  <c r="AK219" i="83"/>
  <c r="AK91" i="71" s="1"/>
  <c r="AK196" i="71" s="1"/>
  <c r="AK132" i="83"/>
  <c r="AK190" i="83"/>
  <c r="AK61" i="71" s="1"/>
  <c r="AK166" i="71" s="1"/>
  <c r="AK161" i="83"/>
  <c r="AK31" i="71" s="1"/>
  <c r="AK136" i="71" s="1"/>
  <c r="AH131" i="83"/>
  <c r="AH189" i="83"/>
  <c r="AH60" i="71" s="1"/>
  <c r="AH165" i="71" s="1"/>
  <c r="AH218" i="83"/>
  <c r="AH90" i="71" s="1"/>
  <c r="AH195" i="71" s="1"/>
  <c r="AH160" i="83"/>
  <c r="AH30" i="71" s="1"/>
  <c r="AH135" i="71" s="1"/>
  <c r="AH185" i="83"/>
  <c r="AH56" i="71" s="1"/>
  <c r="AH161" i="71" s="1"/>
  <c r="AH127" i="83"/>
  <c r="AH214" i="83"/>
  <c r="AH86" i="71" s="1"/>
  <c r="AH191" i="71" s="1"/>
  <c r="AH156" i="83"/>
  <c r="AH26" i="71" s="1"/>
  <c r="AH131" i="71" s="1"/>
  <c r="AF123" i="83"/>
  <c r="AF152" i="83"/>
  <c r="AF181" i="83"/>
  <c r="AF52" i="71" s="1"/>
  <c r="AF157" i="71" s="1"/>
  <c r="AF210" i="83"/>
  <c r="AF82" i="71" s="1"/>
  <c r="AF187" i="71" s="1"/>
  <c r="Y125" i="83"/>
  <c r="Y125" i="72" s="1"/>
  <c r="Y195" i="72" s="1"/>
  <c r="Y225" i="72" s="1"/>
  <c r="AG176" i="80"/>
  <c r="AG177" i="80" s="1"/>
  <c r="AG208" i="80"/>
  <c r="Q124" i="83"/>
  <c r="AA127" i="83"/>
  <c r="AA127" i="72" s="1"/>
  <c r="AA197" i="72" s="1"/>
  <c r="AA227" i="72" s="1"/>
  <c r="AF157" i="83"/>
  <c r="AF27" i="71" s="1"/>
  <c r="AF132" i="71" s="1"/>
  <c r="AF186" i="83"/>
  <c r="AF57" i="71" s="1"/>
  <c r="AF162" i="71" s="1"/>
  <c r="AF128" i="83"/>
  <c r="AF215" i="83"/>
  <c r="AF87" i="71" s="1"/>
  <c r="AF192" i="71" s="1"/>
  <c r="AC214" i="83"/>
  <c r="AC86" i="71" s="1"/>
  <c r="AC191" i="71" s="1"/>
  <c r="AC185" i="83"/>
  <c r="AC56" i="71" s="1"/>
  <c r="AC161" i="71" s="1"/>
  <c r="AC156" i="83"/>
  <c r="AC26" i="71" s="1"/>
  <c r="AC131" i="71" s="1"/>
  <c r="AC127" i="83"/>
  <c r="AC123" i="83"/>
  <c r="AC152" i="83"/>
  <c r="AC210" i="83"/>
  <c r="AC82" i="71" s="1"/>
  <c r="AC187" i="71" s="1"/>
  <c r="AC181" i="83"/>
  <c r="AC52" i="71" s="1"/>
  <c r="AC157" i="71" s="1"/>
  <c r="AI124" i="83"/>
  <c r="AI211" i="83"/>
  <c r="AI83" i="71" s="1"/>
  <c r="AI188" i="71" s="1"/>
  <c r="AI153" i="83"/>
  <c r="AI23" i="71" s="1"/>
  <c r="AI128" i="71" s="1"/>
  <c r="AI182" i="83"/>
  <c r="AI53" i="71" s="1"/>
  <c r="AI158" i="71" s="1"/>
  <c r="AA130" i="83"/>
  <c r="AA130" i="72" s="1"/>
  <c r="AA200" i="72" s="1"/>
  <c r="AA230" i="72" s="1"/>
  <c r="AO124" i="83"/>
  <c r="AO153" i="83"/>
  <c r="AO23" i="71" s="1"/>
  <c r="AO128" i="71" s="1"/>
  <c r="AO211" i="83"/>
  <c r="AO83" i="71" s="1"/>
  <c r="AO188" i="71" s="1"/>
  <c r="AO182" i="83"/>
  <c r="AO53" i="71" s="1"/>
  <c r="AO158" i="71" s="1"/>
  <c r="AL188" i="83"/>
  <c r="AL59" i="71" s="1"/>
  <c r="AL164" i="71" s="1"/>
  <c r="AL159" i="83"/>
  <c r="AL29" i="71" s="1"/>
  <c r="AL134" i="71" s="1"/>
  <c r="AL217" i="83"/>
  <c r="AL89" i="71" s="1"/>
  <c r="AL194" i="71" s="1"/>
  <c r="AL130" i="83"/>
  <c r="Y130" i="83"/>
  <c r="Y130" i="72" s="1"/>
  <c r="Y200" i="72" s="1"/>
  <c r="Y230" i="72" s="1"/>
  <c r="AA131" i="83"/>
  <c r="AA131" i="72" s="1"/>
  <c r="AA201" i="72" s="1"/>
  <c r="AA231" i="72" s="1"/>
  <c r="AB125" i="83"/>
  <c r="AB125" i="72" s="1"/>
  <c r="AB195" i="72" s="1"/>
  <c r="AB225" i="72" s="1"/>
  <c r="Y124" i="83"/>
  <c r="V130" i="83"/>
  <c r="V130" i="72" s="1"/>
  <c r="V200" i="72" s="1"/>
  <c r="V230" i="72" s="1"/>
  <c r="AO188" i="83"/>
  <c r="AO59" i="71" s="1"/>
  <c r="AO164" i="71" s="1"/>
  <c r="AO159" i="83"/>
  <c r="AO29" i="71" s="1"/>
  <c r="AO134" i="71" s="1"/>
  <c r="AO130" i="83"/>
  <c r="AO217" i="83"/>
  <c r="AO89" i="71" s="1"/>
  <c r="AO194" i="71" s="1"/>
  <c r="AB130" i="83"/>
  <c r="AB130" i="72" s="1"/>
  <c r="AB200" i="72" s="1"/>
  <c r="AB230" i="72" s="1"/>
  <c r="AO157" i="83"/>
  <c r="AO27" i="71" s="1"/>
  <c r="AO132" i="71" s="1"/>
  <c r="AO186" i="83"/>
  <c r="AO57" i="71" s="1"/>
  <c r="AO162" i="71" s="1"/>
  <c r="AO128" i="83"/>
  <c r="AO215" i="83"/>
  <c r="AO87" i="71" s="1"/>
  <c r="AO192" i="71" s="1"/>
  <c r="AL156" i="83"/>
  <c r="AL26" i="71" s="1"/>
  <c r="AL131" i="71" s="1"/>
  <c r="AL185" i="83"/>
  <c r="AL56" i="71" s="1"/>
  <c r="AL161" i="71" s="1"/>
  <c r="AL127" i="83"/>
  <c r="AL214" i="83"/>
  <c r="AL86" i="71" s="1"/>
  <c r="AL191" i="71" s="1"/>
  <c r="AL123" i="83"/>
  <c r="AL152" i="83"/>
  <c r="AL181" i="83"/>
  <c r="AL52" i="71" s="1"/>
  <c r="AL157" i="71" s="1"/>
  <c r="AL210" i="83"/>
  <c r="AL82" i="71" s="1"/>
  <c r="AL187" i="71" s="1"/>
  <c r="AB127" i="83"/>
  <c r="AB127" i="72" s="1"/>
  <c r="AB197" i="72" s="1"/>
  <c r="AB227" i="72" s="1"/>
  <c r="Z131" i="83"/>
  <c r="Z131" i="72" s="1"/>
  <c r="Z201" i="72" s="1"/>
  <c r="Z231" i="72" s="1"/>
  <c r="U132" i="83"/>
  <c r="U132" i="72" s="1"/>
  <c r="U202" i="72" s="1"/>
  <c r="U232" i="72" s="1"/>
  <c r="R131" i="83"/>
  <c r="R131" i="72" s="1"/>
  <c r="R201" i="72" s="1"/>
  <c r="R231" i="72" s="1"/>
  <c r="R127" i="83"/>
  <c r="R127" i="72" s="1"/>
  <c r="R197" i="72" s="1"/>
  <c r="R227" i="72" s="1"/>
  <c r="M345" i="53"/>
  <c r="L70" i="53"/>
  <c r="L71" i="53"/>
  <c r="L72" i="53"/>
  <c r="O132" i="74"/>
  <c r="O133" i="74"/>
  <c r="AI133" i="74"/>
  <c r="AI132" i="74"/>
  <c r="AP133" i="74"/>
  <c r="AP132" i="74"/>
  <c r="S133" i="74"/>
  <c r="S132" i="74"/>
  <c r="AI176" i="80"/>
  <c r="AI177" i="80" s="1"/>
  <c r="AI208" i="80"/>
  <c r="H82" i="53"/>
  <c r="AH208" i="80"/>
  <c r="AH176" i="80"/>
  <c r="AH177" i="80" s="1"/>
  <c r="V128" i="83"/>
  <c r="V128" i="72" s="1"/>
  <c r="V198" i="72" s="1"/>
  <c r="V228" i="72" s="1"/>
  <c r="V129" i="83"/>
  <c r="V129" i="72" s="1"/>
  <c r="V199" i="72" s="1"/>
  <c r="V229" i="72" s="1"/>
  <c r="X130" i="83"/>
  <c r="X130" i="72" s="1"/>
  <c r="X200" i="72" s="1"/>
  <c r="X230" i="72" s="1"/>
  <c r="AJ123" i="83"/>
  <c r="AJ152" i="83"/>
  <c r="AJ181" i="83"/>
  <c r="AJ52" i="71" s="1"/>
  <c r="AJ157" i="71" s="1"/>
  <c r="AJ210" i="83"/>
  <c r="AJ82" i="71" s="1"/>
  <c r="AJ187" i="71" s="1"/>
  <c r="AF124" i="83"/>
  <c r="AF153" i="83"/>
  <c r="AF23" i="71" s="1"/>
  <c r="AF128" i="71" s="1"/>
  <c r="AF211" i="83"/>
  <c r="AF83" i="71" s="1"/>
  <c r="AF188" i="71" s="1"/>
  <c r="AF182" i="83"/>
  <c r="AF53" i="71" s="1"/>
  <c r="AF158" i="71" s="1"/>
  <c r="AM130" i="83"/>
  <c r="AM159" i="83"/>
  <c r="AM29" i="71" s="1"/>
  <c r="AM134" i="71" s="1"/>
  <c r="AM188" i="83"/>
  <c r="AM59" i="71" s="1"/>
  <c r="AM164" i="71" s="1"/>
  <c r="AM217" i="83"/>
  <c r="AM89" i="71" s="1"/>
  <c r="AM194" i="71" s="1"/>
  <c r="AD161" i="83"/>
  <c r="AD31" i="71" s="1"/>
  <c r="AD136" i="71" s="1"/>
  <c r="AD219" i="83"/>
  <c r="AD91" i="71" s="1"/>
  <c r="AD196" i="71" s="1"/>
  <c r="AD190" i="83"/>
  <c r="AD61" i="71" s="1"/>
  <c r="AD166" i="71" s="1"/>
  <c r="AD132" i="83"/>
  <c r="Z125" i="83"/>
  <c r="Z125" i="72" s="1"/>
  <c r="Z195" i="72" s="1"/>
  <c r="Z225" i="72" s="1"/>
  <c r="AN212" i="83"/>
  <c r="AN84" i="71" s="1"/>
  <c r="AN189" i="71" s="1"/>
  <c r="AN183" i="83"/>
  <c r="AN54" i="71" s="1"/>
  <c r="AN159" i="71" s="1"/>
  <c r="AN125" i="83"/>
  <c r="AN154" i="83"/>
  <c r="AN24" i="71" s="1"/>
  <c r="AN129" i="71" s="1"/>
  <c r="AO161" i="83"/>
  <c r="AO31" i="71" s="1"/>
  <c r="AO136" i="71" s="1"/>
  <c r="AO132" i="83"/>
  <c r="AO190" i="83"/>
  <c r="AO61" i="71" s="1"/>
  <c r="AO166" i="71" s="1"/>
  <c r="AO219" i="83"/>
  <c r="AO91" i="71" s="1"/>
  <c r="AO196" i="71" s="1"/>
  <c r="AL128" i="83"/>
  <c r="AL215" i="83"/>
  <c r="AL87" i="71" s="1"/>
  <c r="AL192" i="71" s="1"/>
  <c r="AL157" i="83"/>
  <c r="AL27" i="71" s="1"/>
  <c r="AL132" i="71" s="1"/>
  <c r="AL186" i="83"/>
  <c r="AL57" i="71" s="1"/>
  <c r="AL162" i="71" s="1"/>
  <c r="R128" i="83"/>
  <c r="R128" i="72" s="1"/>
  <c r="R198" i="72" s="1"/>
  <c r="R228" i="72" s="1"/>
  <c r="R124" i="83"/>
  <c r="AM128" i="83"/>
  <c r="AM157" i="83"/>
  <c r="AM27" i="71" s="1"/>
  <c r="AM132" i="71" s="1"/>
  <c r="AM186" i="83"/>
  <c r="AM57" i="71" s="1"/>
  <c r="AM162" i="71" s="1"/>
  <c r="AM215" i="83"/>
  <c r="AM87" i="71" s="1"/>
  <c r="AM192" i="71" s="1"/>
  <c r="P132" i="83"/>
  <c r="P132" i="72" s="1"/>
  <c r="P202" i="72" s="1"/>
  <c r="P232" i="72" s="1"/>
  <c r="AJ124" i="83"/>
  <c r="AJ182" i="83"/>
  <c r="AJ53" i="71" s="1"/>
  <c r="AJ158" i="71" s="1"/>
  <c r="AJ211" i="83"/>
  <c r="AJ83" i="71" s="1"/>
  <c r="AJ188" i="71" s="1"/>
  <c r="AJ153" i="83"/>
  <c r="AJ23" i="71" s="1"/>
  <c r="AJ128" i="71" s="1"/>
  <c r="AG123" i="83"/>
  <c r="AG210" i="83"/>
  <c r="AG82" i="71" s="1"/>
  <c r="AG187" i="71" s="1"/>
  <c r="AG152" i="83"/>
  <c r="AG181" i="83"/>
  <c r="AG52" i="71" s="1"/>
  <c r="AG157" i="71" s="1"/>
  <c r="AE186" i="83"/>
  <c r="AE57" i="71" s="1"/>
  <c r="AE162" i="71" s="1"/>
  <c r="AE128" i="83"/>
  <c r="AE215" i="83"/>
  <c r="AE87" i="71" s="1"/>
  <c r="AE192" i="71" s="1"/>
  <c r="AE157" i="83"/>
  <c r="AE27" i="71" s="1"/>
  <c r="AE132" i="71" s="1"/>
  <c r="AN124" i="83"/>
  <c r="AN211" i="83"/>
  <c r="AN83" i="71" s="1"/>
  <c r="AN188" i="71" s="1"/>
  <c r="AN153" i="83"/>
  <c r="AN23" i="71" s="1"/>
  <c r="AN128" i="71" s="1"/>
  <c r="AN182" i="83"/>
  <c r="AN53" i="71" s="1"/>
  <c r="AN158" i="71" s="1"/>
  <c r="AP159" i="83"/>
  <c r="AP29" i="71" s="1"/>
  <c r="AP134" i="71" s="1"/>
  <c r="AP188" i="83"/>
  <c r="AP59" i="71" s="1"/>
  <c r="AP164" i="71" s="1"/>
  <c r="AP130" i="83"/>
  <c r="AP217" i="83"/>
  <c r="AP89" i="71" s="1"/>
  <c r="AP194" i="71" s="1"/>
  <c r="AP213" i="83"/>
  <c r="AP85" i="71" s="1"/>
  <c r="AP190" i="71" s="1"/>
  <c r="AP126" i="83"/>
  <c r="AP155" i="83"/>
  <c r="AP25" i="71" s="1"/>
  <c r="AP130" i="71" s="1"/>
  <c r="AP184" i="83"/>
  <c r="AP55" i="71" s="1"/>
  <c r="AP160" i="71" s="1"/>
  <c r="AJ127" i="83"/>
  <c r="AJ156" i="83"/>
  <c r="AJ26" i="71" s="1"/>
  <c r="AJ131" i="71" s="1"/>
  <c r="AJ185" i="83"/>
  <c r="AJ56" i="71" s="1"/>
  <c r="AJ161" i="71" s="1"/>
  <c r="AJ214" i="83"/>
  <c r="AJ86" i="71" s="1"/>
  <c r="AJ191" i="71" s="1"/>
  <c r="AC157" i="83"/>
  <c r="AC27" i="71" s="1"/>
  <c r="AC132" i="71" s="1"/>
  <c r="AC186" i="83"/>
  <c r="AC57" i="71" s="1"/>
  <c r="AC162" i="71" s="1"/>
  <c r="AC215" i="83"/>
  <c r="AC87" i="71" s="1"/>
  <c r="AC192" i="71" s="1"/>
  <c r="AC128" i="83"/>
  <c r="AC218" i="83"/>
  <c r="AC90" i="71" s="1"/>
  <c r="AC195" i="71" s="1"/>
  <c r="AC160" i="83"/>
  <c r="AC30" i="71" s="1"/>
  <c r="AC135" i="71" s="1"/>
  <c r="AC131" i="83"/>
  <c r="AC189" i="83"/>
  <c r="AC60" i="71" s="1"/>
  <c r="AC165" i="71" s="1"/>
  <c r="Z130" i="83"/>
  <c r="Z130" i="72" s="1"/>
  <c r="Z200" i="72" s="1"/>
  <c r="Z230" i="72" s="1"/>
  <c r="Z126" i="83"/>
  <c r="Z126" i="72" s="1"/>
  <c r="Z196" i="72" s="1"/>
  <c r="Z226" i="72" s="1"/>
  <c r="R129" i="83"/>
  <c r="R129" i="72" s="1"/>
  <c r="R199" i="72" s="1"/>
  <c r="R229" i="72" s="1"/>
  <c r="AE184" i="83"/>
  <c r="AE55" i="71" s="1"/>
  <c r="AE160" i="71" s="1"/>
  <c r="AE155" i="83"/>
  <c r="AE25" i="71" s="1"/>
  <c r="AE130" i="71" s="1"/>
  <c r="AE126" i="83"/>
  <c r="AE213" i="83"/>
  <c r="AE85" i="71" s="1"/>
  <c r="AE190" i="71" s="1"/>
  <c r="AP123" i="83"/>
  <c r="AP210" i="83"/>
  <c r="AP82" i="71" s="1"/>
  <c r="AP187" i="71" s="1"/>
  <c r="AP181" i="83"/>
  <c r="AP52" i="71" s="1"/>
  <c r="AP157" i="71" s="1"/>
  <c r="AP152" i="83"/>
  <c r="AM129" i="83"/>
  <c r="AM158" i="83"/>
  <c r="AM28" i="71" s="1"/>
  <c r="AM133" i="71" s="1"/>
  <c r="AM187" i="83"/>
  <c r="AM58" i="71" s="1"/>
  <c r="AM163" i="71" s="1"/>
  <c r="AM216" i="83"/>
  <c r="AM88" i="71" s="1"/>
  <c r="AM193" i="71" s="1"/>
  <c r="X131" i="83"/>
  <c r="X131" i="72" s="1"/>
  <c r="X201" i="72" s="1"/>
  <c r="X231" i="72" s="1"/>
  <c r="AC187" i="83"/>
  <c r="AC58" i="71" s="1"/>
  <c r="AC163" i="71" s="1"/>
  <c r="AC129" i="83"/>
  <c r="AC216" i="83"/>
  <c r="AC88" i="71" s="1"/>
  <c r="AC193" i="71" s="1"/>
  <c r="AC158" i="83"/>
  <c r="AC28" i="71" s="1"/>
  <c r="AC133" i="71" s="1"/>
  <c r="Y128" i="83"/>
  <c r="Y128" i="72" s="1"/>
  <c r="Y198" i="72" s="1"/>
  <c r="Y228" i="72" s="1"/>
  <c r="V127" i="83"/>
  <c r="V127" i="72" s="1"/>
  <c r="V197" i="72" s="1"/>
  <c r="V227" i="72" s="1"/>
  <c r="V123" i="83"/>
  <c r="M341" i="53"/>
  <c r="W309" i="53"/>
  <c r="W525" i="53" s="1"/>
  <c r="W295" i="53"/>
  <c r="W511" i="53" s="1"/>
  <c r="W317" i="53"/>
  <c r="W533" i="53" s="1"/>
  <c r="W322" i="53"/>
  <c r="W538" i="53" s="1"/>
  <c r="W320" i="53"/>
  <c r="W536" i="53" s="1"/>
  <c r="W305" i="53"/>
  <c r="W521" i="53" s="1"/>
  <c r="W300" i="53"/>
  <c r="W516" i="53" s="1"/>
  <c r="W297" i="53"/>
  <c r="W513" i="53" s="1"/>
  <c r="W298" i="53"/>
  <c r="W514" i="53" s="1"/>
  <c r="W319" i="53"/>
  <c r="W535" i="53" s="1"/>
  <c r="W293" i="53"/>
  <c r="W509" i="53" s="1"/>
  <c r="W304" i="53"/>
  <c r="W520" i="53" s="1"/>
  <c r="W311" i="53"/>
  <c r="W527" i="53" s="1"/>
  <c r="W316" i="53"/>
  <c r="W532" i="53" s="1"/>
  <c r="W308" i="53"/>
  <c r="W524" i="53" s="1"/>
  <c r="W306" i="53"/>
  <c r="W522" i="53" s="1"/>
  <c r="W315" i="53"/>
  <c r="W531" i="53" s="1"/>
  <c r="W294" i="53"/>
  <c r="W510" i="53" s="1"/>
  <c r="W318" i="53"/>
  <c r="W534" i="53" s="1"/>
  <c r="W299" i="53"/>
  <c r="W515" i="53" s="1"/>
  <c r="W312" i="53"/>
  <c r="W528" i="53" s="1"/>
  <c r="W301" i="53"/>
  <c r="W517" i="53" s="1"/>
  <c r="W321" i="53"/>
  <c r="W537" i="53" s="1"/>
  <c r="W307" i="53"/>
  <c r="W523" i="53" s="1"/>
  <c r="W323" i="53"/>
  <c r="W539" i="53" s="1"/>
  <c r="W296" i="53"/>
  <c r="W512" i="53" s="1"/>
  <c r="W310" i="53"/>
  <c r="W526" i="53" s="1"/>
  <c r="U133" i="74"/>
  <c r="U132" i="74"/>
  <c r="AF133" i="74"/>
  <c r="AF132" i="74"/>
  <c r="X133" i="74"/>
  <c r="X132" i="74"/>
  <c r="AD146" i="80"/>
  <c r="AD172" i="80" s="1"/>
  <c r="AE144" i="80"/>
  <c r="AE170" i="80" s="1"/>
  <c r="K133" i="74"/>
  <c r="K132" i="74"/>
  <c r="AD150" i="80"/>
  <c r="H34" i="111"/>
  <c r="U74" i="81" s="1"/>
  <c r="U76" i="81" s="1"/>
  <c r="U108" i="81" s="1"/>
  <c r="T47" i="82" s="1"/>
  <c r="AJ176" i="80" l="1"/>
  <c r="J249" i="83"/>
  <c r="AF177" i="80"/>
  <c r="T249" i="83"/>
  <c r="AL176" i="80"/>
  <c r="AL177" i="80" s="1"/>
  <c r="S369" i="53"/>
  <c r="S379" i="53" s="1"/>
  <c r="T257" i="83"/>
  <c r="T262" i="83" s="1"/>
  <c r="T267" i="83" s="1"/>
  <c r="AA118" i="53"/>
  <c r="Y118" i="53"/>
  <c r="AB118" i="53"/>
  <c r="S249" i="83"/>
  <c r="U166" i="73"/>
  <c r="U226" i="73" s="1"/>
  <c r="Y168" i="73"/>
  <c r="Y228" i="73" s="1"/>
  <c r="P168" i="73"/>
  <c r="P228" i="73" s="1"/>
  <c r="R140" i="73"/>
  <c r="R200" i="73" s="1"/>
  <c r="Z168" i="73"/>
  <c r="Z228" i="73" s="1"/>
  <c r="P138" i="73"/>
  <c r="P198" i="73" s="1"/>
  <c r="AA138" i="73"/>
  <c r="AA268" i="73" s="1"/>
  <c r="AA31" i="74" s="1"/>
  <c r="AA76" i="74" s="1"/>
  <c r="R170" i="73"/>
  <c r="R230" i="73" s="1"/>
  <c r="Z138" i="73"/>
  <c r="Z268" i="73" s="1"/>
  <c r="Z31" i="74" s="1"/>
  <c r="Z76" i="74" s="1"/>
  <c r="Y140" i="73"/>
  <c r="Y200" i="73" s="1"/>
  <c r="X138" i="73"/>
  <c r="X198" i="73" s="1"/>
  <c r="M138" i="73"/>
  <c r="M198" i="73" s="1"/>
  <c r="L136" i="73"/>
  <c r="L266" i="73" s="1"/>
  <c r="L29" i="74" s="1"/>
  <c r="L74" i="74" s="1"/>
  <c r="AD274" i="80"/>
  <c r="L166" i="73"/>
  <c r="L226" i="73" s="1"/>
  <c r="M170" i="73"/>
  <c r="M230" i="73" s="1"/>
  <c r="AB170" i="73"/>
  <c r="AB230" i="73" s="1"/>
  <c r="Q140" i="73"/>
  <c r="Q200" i="73" s="1"/>
  <c r="M140" i="73"/>
  <c r="M200" i="73" s="1"/>
  <c r="K170" i="73"/>
  <c r="K230" i="73" s="1"/>
  <c r="K140" i="73"/>
  <c r="K200" i="73" s="1"/>
  <c r="Y170" i="73"/>
  <c r="Y230" i="73" s="1"/>
  <c r="O140" i="73"/>
  <c r="O200" i="73" s="1"/>
  <c r="L170" i="73"/>
  <c r="L230" i="73" s="1"/>
  <c r="O170" i="73"/>
  <c r="O230" i="73" s="1"/>
  <c r="L140" i="73"/>
  <c r="L270" i="73" s="1"/>
  <c r="L33" i="74" s="1"/>
  <c r="L78" i="74" s="1"/>
  <c r="W140" i="73"/>
  <c r="W270" i="73" s="1"/>
  <c r="W33" i="74" s="1"/>
  <c r="W78" i="74" s="1"/>
  <c r="AA170" i="73"/>
  <c r="AA230" i="73" s="1"/>
  <c r="W170" i="73"/>
  <c r="W230" i="73" s="1"/>
  <c r="AA140" i="73"/>
  <c r="AA200" i="73" s="1"/>
  <c r="Z140" i="73"/>
  <c r="Z200" i="73" s="1"/>
  <c r="J140" i="73"/>
  <c r="J200" i="73" s="1"/>
  <c r="Z170" i="73"/>
  <c r="Z230" i="73" s="1"/>
  <c r="J170" i="73"/>
  <c r="J230" i="73" s="1"/>
  <c r="V170" i="73"/>
  <c r="V230" i="73" s="1"/>
  <c r="X170" i="73"/>
  <c r="X230" i="73" s="1"/>
  <c r="V140" i="73"/>
  <c r="V200" i="73" s="1"/>
  <c r="X140" i="73"/>
  <c r="X270" i="73" s="1"/>
  <c r="X33" i="74" s="1"/>
  <c r="X78" i="74" s="1"/>
  <c r="U170" i="73"/>
  <c r="U230" i="73" s="1"/>
  <c r="P140" i="73"/>
  <c r="P200" i="73" s="1"/>
  <c r="T140" i="73"/>
  <c r="T270" i="73" s="1"/>
  <c r="T33" i="74" s="1"/>
  <c r="T78" i="74" s="1"/>
  <c r="U140" i="73"/>
  <c r="U270" i="73" s="1"/>
  <c r="U33" i="74" s="1"/>
  <c r="U78" i="74" s="1"/>
  <c r="P170" i="73"/>
  <c r="P230" i="73" s="1"/>
  <c r="T170" i="73"/>
  <c r="T230" i="73" s="1"/>
  <c r="AB140" i="73"/>
  <c r="AB200" i="73" s="1"/>
  <c r="Q170" i="73"/>
  <c r="Q230" i="73" s="1"/>
  <c r="S170" i="73"/>
  <c r="S230" i="73" s="1"/>
  <c r="AO269" i="80"/>
  <c r="Y164" i="73"/>
  <c r="Y224" i="73" s="1"/>
  <c r="S140" i="73"/>
  <c r="S270" i="73" s="1"/>
  <c r="S33" i="74" s="1"/>
  <c r="S78" i="74" s="1"/>
  <c r="U139" i="73"/>
  <c r="U199" i="73" s="1"/>
  <c r="S139" i="73"/>
  <c r="S199" i="73" s="1"/>
  <c r="S169" i="73"/>
  <c r="S229" i="73" s="1"/>
  <c r="V169" i="73"/>
  <c r="V229" i="73" s="1"/>
  <c r="P164" i="73"/>
  <c r="P224" i="73" s="1"/>
  <c r="Z134" i="73"/>
  <c r="Z264" i="73" s="1"/>
  <c r="Z27" i="74" s="1"/>
  <c r="Z72" i="74" s="1"/>
  <c r="AJ274" i="80"/>
  <c r="M164" i="73"/>
  <c r="M224" i="73" s="1"/>
  <c r="AA139" i="73"/>
  <c r="AA269" i="73" s="1"/>
  <c r="AA32" i="74" s="1"/>
  <c r="AA77" i="74" s="1"/>
  <c r="M134" i="73"/>
  <c r="M194" i="73" s="1"/>
  <c r="AA169" i="73"/>
  <c r="AA229" i="73" s="1"/>
  <c r="R134" i="73"/>
  <c r="R264" i="73" s="1"/>
  <c r="R27" i="74" s="1"/>
  <c r="R72" i="74" s="1"/>
  <c r="R102" i="74" s="1"/>
  <c r="R134" i="74" s="1"/>
  <c r="N134" i="73"/>
  <c r="N264" i="73" s="1"/>
  <c r="N27" i="74" s="1"/>
  <c r="N72" i="74" s="1"/>
  <c r="X169" i="73"/>
  <c r="X229" i="73" s="1"/>
  <c r="N164" i="73"/>
  <c r="N224" i="73" s="1"/>
  <c r="N140" i="73"/>
  <c r="N270" i="73" s="1"/>
  <c r="N33" i="74" s="1"/>
  <c r="N78" i="74" s="1"/>
  <c r="L134" i="73"/>
  <c r="L264" i="73" s="1"/>
  <c r="L27" i="74" s="1"/>
  <c r="L72" i="74" s="1"/>
  <c r="Y165" i="73"/>
  <c r="Y225" i="73" s="1"/>
  <c r="AL269" i="80"/>
  <c r="Z164" i="73"/>
  <c r="Z224" i="73" s="1"/>
  <c r="AG272" i="80"/>
  <c r="M352" i="53"/>
  <c r="M356" i="53"/>
  <c r="M351" i="53"/>
  <c r="AE275" i="80"/>
  <c r="M354" i="53"/>
  <c r="M357" i="53"/>
  <c r="AJ177" i="80"/>
  <c r="M353" i="53"/>
  <c r="AA120" i="53"/>
  <c r="M355" i="53"/>
  <c r="AF274" i="80"/>
  <c r="M349" i="53"/>
  <c r="AL276" i="80"/>
  <c r="AF275" i="80"/>
  <c r="AD270" i="80"/>
  <c r="S368" i="53"/>
  <c r="S378" i="53" s="1"/>
  <c r="AO177" i="80"/>
  <c r="T259" i="83"/>
  <c r="T264" i="83" s="1"/>
  <c r="T269" i="83" s="1"/>
  <c r="T258" i="83"/>
  <c r="T263" i="83" s="1"/>
  <c r="T268" i="83" s="1"/>
  <c r="AN176" i="80"/>
  <c r="AN177" i="80" s="1"/>
  <c r="AN208" i="80"/>
  <c r="Z90" i="53"/>
  <c r="Z120" i="53" s="1"/>
  <c r="Y90" i="53"/>
  <c r="AB90" i="53"/>
  <c r="X90" i="53"/>
  <c r="X120" i="53" s="1"/>
  <c r="H121" i="53"/>
  <c r="AD276" i="80"/>
  <c r="AM271" i="80"/>
  <c r="S165" i="73"/>
  <c r="S225" i="73" s="1"/>
  <c r="K166" i="73"/>
  <c r="K226" i="73" s="1"/>
  <c r="W136" i="73"/>
  <c r="W196" i="73" s="1"/>
  <c r="K136" i="73"/>
  <c r="K266" i="73" s="1"/>
  <c r="K29" i="74" s="1"/>
  <c r="K74" i="74" s="1"/>
  <c r="W166" i="73"/>
  <c r="W226" i="73" s="1"/>
  <c r="N136" i="73"/>
  <c r="N196" i="73" s="1"/>
  <c r="Q136" i="73"/>
  <c r="Q266" i="73" s="1"/>
  <c r="Q29" i="74" s="1"/>
  <c r="Q74" i="74" s="1"/>
  <c r="Q104" i="74" s="1"/>
  <c r="Q166" i="73"/>
  <c r="Q226" i="73" s="1"/>
  <c r="T136" i="73"/>
  <c r="T266" i="73" s="1"/>
  <c r="T29" i="74" s="1"/>
  <c r="T74" i="74" s="1"/>
  <c r="P136" i="73"/>
  <c r="P196" i="73" s="1"/>
  <c r="T166" i="73"/>
  <c r="T226" i="73" s="1"/>
  <c r="P166" i="73"/>
  <c r="P226" i="73" s="1"/>
  <c r="O136" i="73"/>
  <c r="O196" i="73" s="1"/>
  <c r="AA166" i="73"/>
  <c r="AA226" i="73" s="1"/>
  <c r="J136" i="73"/>
  <c r="J196" i="73" s="1"/>
  <c r="Y166" i="73"/>
  <c r="Y226" i="73" s="1"/>
  <c r="AA136" i="73"/>
  <c r="AA196" i="73" s="1"/>
  <c r="J166" i="73"/>
  <c r="J226" i="73" s="1"/>
  <c r="Y136" i="73"/>
  <c r="Y266" i="73" s="1"/>
  <c r="Y29" i="74" s="1"/>
  <c r="Y74" i="74" s="1"/>
  <c r="X136" i="73"/>
  <c r="X196" i="73" s="1"/>
  <c r="S136" i="73"/>
  <c r="S266" i="73" s="1"/>
  <c r="S29" i="74" s="1"/>
  <c r="S74" i="74" s="1"/>
  <c r="Z136" i="73"/>
  <c r="Z266" i="73" s="1"/>
  <c r="Z29" i="74" s="1"/>
  <c r="Z74" i="74" s="1"/>
  <c r="X166" i="73"/>
  <c r="X226" i="73" s="1"/>
  <c r="O166" i="73"/>
  <c r="O226" i="73" s="1"/>
  <c r="Z166" i="73"/>
  <c r="Z226" i="73" s="1"/>
  <c r="AB136" i="73"/>
  <c r="AB266" i="73" s="1"/>
  <c r="AB29" i="74" s="1"/>
  <c r="AB74" i="74" s="1"/>
  <c r="R136" i="73"/>
  <c r="R266" i="73" s="1"/>
  <c r="R29" i="74" s="1"/>
  <c r="R74" i="74" s="1"/>
  <c r="R104" i="74" s="1"/>
  <c r="R136" i="74" s="1"/>
  <c r="AB166" i="73"/>
  <c r="AB226" i="73" s="1"/>
  <c r="R166" i="73"/>
  <c r="R226" i="73" s="1"/>
  <c r="M136" i="73"/>
  <c r="M196" i="73" s="1"/>
  <c r="M166" i="73"/>
  <c r="M226" i="73" s="1"/>
  <c r="AE269" i="80"/>
  <c r="AK274" i="80"/>
  <c r="AH269" i="80"/>
  <c r="U136" i="73"/>
  <c r="U266" i="73" s="1"/>
  <c r="U29" i="74" s="1"/>
  <c r="U74" i="74" s="1"/>
  <c r="Y138" i="73"/>
  <c r="Y198" i="73" s="1"/>
  <c r="X168" i="73"/>
  <c r="X228" i="73" s="1"/>
  <c r="M168" i="73"/>
  <c r="M228" i="73" s="1"/>
  <c r="R135" i="73"/>
  <c r="R265" i="73" s="1"/>
  <c r="R28" i="74" s="1"/>
  <c r="R73" i="74" s="1"/>
  <c r="R103" i="74" s="1"/>
  <c r="R135" i="74" s="1"/>
  <c r="N166" i="73"/>
  <c r="N226" i="73" s="1"/>
  <c r="O168" i="73"/>
  <c r="O228" i="73" s="1"/>
  <c r="R168" i="73"/>
  <c r="R228" i="73" s="1"/>
  <c r="O138" i="73"/>
  <c r="O198" i="73" s="1"/>
  <c r="M135" i="73"/>
  <c r="M265" i="73" s="1"/>
  <c r="M28" i="74" s="1"/>
  <c r="M73" i="74" s="1"/>
  <c r="R138" i="73"/>
  <c r="R268" i="73" s="1"/>
  <c r="R31" i="74" s="1"/>
  <c r="R76" i="74" s="1"/>
  <c r="R106" i="74" s="1"/>
  <c r="R138" i="74" s="1"/>
  <c r="Q168" i="73"/>
  <c r="Q228" i="73" s="1"/>
  <c r="M165" i="73"/>
  <c r="M225" i="73" s="1"/>
  <c r="AB165" i="73"/>
  <c r="AB225" i="73" s="1"/>
  <c r="W168" i="73"/>
  <c r="W228" i="73" s="1"/>
  <c r="Q138" i="73"/>
  <c r="Q198" i="73" s="1"/>
  <c r="V166" i="73"/>
  <c r="V226" i="73" s="1"/>
  <c r="AB135" i="73"/>
  <c r="AB195" i="73" s="1"/>
  <c r="W138" i="73"/>
  <c r="W268" i="73" s="1"/>
  <c r="W31" i="74" s="1"/>
  <c r="W76" i="74" s="1"/>
  <c r="V136" i="73"/>
  <c r="V196" i="73" s="1"/>
  <c r="P135" i="73"/>
  <c r="P195" i="73" s="1"/>
  <c r="U168" i="73"/>
  <c r="U228" i="73" s="1"/>
  <c r="U138" i="73"/>
  <c r="U268" i="73" s="1"/>
  <c r="U31" i="74" s="1"/>
  <c r="U76" i="74" s="1"/>
  <c r="V165" i="73"/>
  <c r="V225" i="73" s="1"/>
  <c r="V135" i="73"/>
  <c r="V265" i="73" s="1"/>
  <c r="V28" i="74" s="1"/>
  <c r="V73" i="74" s="1"/>
  <c r="AA135" i="73"/>
  <c r="AA195" i="73" s="1"/>
  <c r="U165" i="73"/>
  <c r="U225" i="73" s="1"/>
  <c r="S168" i="73"/>
  <c r="S228" i="73" s="1"/>
  <c r="AA165" i="73"/>
  <c r="AA225" i="73" s="1"/>
  <c r="U135" i="73"/>
  <c r="U195" i="73" s="1"/>
  <c r="S138" i="73"/>
  <c r="S198" i="73" s="1"/>
  <c r="N135" i="73"/>
  <c r="N265" i="73" s="1"/>
  <c r="N28" i="74" s="1"/>
  <c r="N73" i="74" s="1"/>
  <c r="N165" i="73"/>
  <c r="N225" i="73" s="1"/>
  <c r="Q135" i="73"/>
  <c r="Q265" i="73" s="1"/>
  <c r="Q28" i="74" s="1"/>
  <c r="Q73" i="74" s="1"/>
  <c r="Q103" i="74" s="1"/>
  <c r="P165" i="73"/>
  <c r="P225" i="73" s="1"/>
  <c r="Y135" i="73"/>
  <c r="Y265" i="73" s="1"/>
  <c r="Y28" i="74" s="1"/>
  <c r="Y73" i="74" s="1"/>
  <c r="AA168" i="73"/>
  <c r="AA228" i="73" s="1"/>
  <c r="Q165" i="73"/>
  <c r="Q225" i="73" s="1"/>
  <c r="P167" i="73"/>
  <c r="P227" i="73" s="1"/>
  <c r="AC272" i="80"/>
  <c r="AM274" i="80"/>
  <c r="N168" i="73"/>
  <c r="N228" i="73" s="1"/>
  <c r="P137" i="73"/>
  <c r="P267" i="73" s="1"/>
  <c r="P30" i="74" s="1"/>
  <c r="P75" i="74" s="1"/>
  <c r="P105" i="74" s="1"/>
  <c r="P137" i="74" s="1"/>
  <c r="AO276" i="80"/>
  <c r="N138" i="73"/>
  <c r="N268" i="73" s="1"/>
  <c r="N31" i="74" s="1"/>
  <c r="N76" i="74" s="1"/>
  <c r="AG269" i="80"/>
  <c r="AG274" i="80"/>
  <c r="Y137" i="73"/>
  <c r="Y267" i="73" s="1"/>
  <c r="Y30" i="74" s="1"/>
  <c r="Y75" i="74" s="1"/>
  <c r="T168" i="73"/>
  <c r="T228" i="73" s="1"/>
  <c r="T138" i="73"/>
  <c r="T198" i="73" s="1"/>
  <c r="AK276" i="80"/>
  <c r="AA167" i="73"/>
  <c r="AA227" i="73" s="1"/>
  <c r="J168" i="73"/>
  <c r="J228" i="73" s="1"/>
  <c r="J138" i="73"/>
  <c r="J268" i="73" s="1"/>
  <c r="J31" i="74" s="1"/>
  <c r="J76" i="74" s="1"/>
  <c r="K138" i="73"/>
  <c r="K198" i="73" s="1"/>
  <c r="K168" i="73"/>
  <c r="K228" i="73" s="1"/>
  <c r="AD273" i="80"/>
  <c r="V168" i="73"/>
  <c r="V228" i="73" s="1"/>
  <c r="AB168" i="73"/>
  <c r="AB228" i="73" s="1"/>
  <c r="V138" i="73"/>
  <c r="V198" i="73" s="1"/>
  <c r="AB138" i="73"/>
  <c r="AB198" i="73" s="1"/>
  <c r="S137" i="73"/>
  <c r="S197" i="73" s="1"/>
  <c r="N137" i="73"/>
  <c r="N197" i="73" s="1"/>
  <c r="Q137" i="73"/>
  <c r="Q197" i="73" s="1"/>
  <c r="L138" i="73"/>
  <c r="L268" i="73" s="1"/>
  <c r="L31" i="74" s="1"/>
  <c r="L76" i="74" s="1"/>
  <c r="AO275" i="80"/>
  <c r="AN274" i="80"/>
  <c r="P134" i="73"/>
  <c r="P194" i="73" s="1"/>
  <c r="V139" i="73"/>
  <c r="V199" i="73" s="1"/>
  <c r="O169" i="73"/>
  <c r="O229" i="73" s="1"/>
  <c r="Y169" i="73"/>
  <c r="Y229" i="73" s="1"/>
  <c r="S134" i="73"/>
  <c r="S264" i="73" s="1"/>
  <c r="S27" i="74" s="1"/>
  <c r="S72" i="74" s="1"/>
  <c r="AB164" i="73"/>
  <c r="AB224" i="73" s="1"/>
  <c r="AA134" i="73"/>
  <c r="AA264" i="73" s="1"/>
  <c r="AA27" i="74" s="1"/>
  <c r="AA72" i="74" s="1"/>
  <c r="AF273" i="80"/>
  <c r="Y139" i="73"/>
  <c r="Y199" i="73" s="1"/>
  <c r="S164" i="73"/>
  <c r="S224" i="73" s="1"/>
  <c r="AB134" i="73"/>
  <c r="AB264" i="73" s="1"/>
  <c r="AB27" i="74" s="1"/>
  <c r="AB72" i="74" s="1"/>
  <c r="AA164" i="73"/>
  <c r="AA224" i="73" s="1"/>
  <c r="AO273" i="80"/>
  <c r="AJ276" i="80"/>
  <c r="AK269" i="80"/>
  <c r="AK270" i="80"/>
  <c r="O139" i="73"/>
  <c r="O269" i="73" s="1"/>
  <c r="O32" i="74" s="1"/>
  <c r="O77" i="74" s="1"/>
  <c r="S135" i="73"/>
  <c r="S195" i="73" s="1"/>
  <c r="V164" i="73"/>
  <c r="V224" i="73" s="1"/>
  <c r="W134" i="73"/>
  <c r="W264" i="73" s="1"/>
  <c r="W27" i="74" s="1"/>
  <c r="W72" i="74" s="1"/>
  <c r="AG276" i="80"/>
  <c r="AE270" i="80"/>
  <c r="AG270" i="80"/>
  <c r="AM275" i="80"/>
  <c r="AL274" i="80"/>
  <c r="V134" i="73"/>
  <c r="V264" i="73" s="1"/>
  <c r="V27" i="74" s="1"/>
  <c r="V72" i="74" s="1"/>
  <c r="W164" i="73"/>
  <c r="W224" i="73" s="1"/>
  <c r="Y134" i="73"/>
  <c r="Y194" i="73" s="1"/>
  <c r="AL272" i="80"/>
  <c r="X139" i="73"/>
  <c r="X269" i="73" s="1"/>
  <c r="X32" i="74" s="1"/>
  <c r="X77" i="74" s="1"/>
  <c r="AL270" i="80"/>
  <c r="AG275" i="80"/>
  <c r="J135" i="73"/>
  <c r="J265" i="73" s="1"/>
  <c r="J28" i="74" s="1"/>
  <c r="J73" i="74" s="1"/>
  <c r="K169" i="73"/>
  <c r="K229" i="73" s="1"/>
  <c r="AB169" i="73"/>
  <c r="AB229" i="73" s="1"/>
  <c r="J165" i="73"/>
  <c r="J225" i="73" s="1"/>
  <c r="AD275" i="80"/>
  <c r="AE274" i="80"/>
  <c r="K139" i="73"/>
  <c r="K199" i="73" s="1"/>
  <c r="AB139" i="73"/>
  <c r="AB269" i="73" s="1"/>
  <c r="AB32" i="74" s="1"/>
  <c r="AB77" i="74" s="1"/>
  <c r="AO271" i="80"/>
  <c r="N139" i="73"/>
  <c r="N199" i="73" s="1"/>
  <c r="X134" i="73"/>
  <c r="X264" i="73" s="1"/>
  <c r="X27" i="74" s="1"/>
  <c r="X72" i="74" s="1"/>
  <c r="O164" i="73"/>
  <c r="O224" i="73" s="1"/>
  <c r="N169" i="73"/>
  <c r="N229" i="73" s="1"/>
  <c r="X164" i="73"/>
  <c r="X224" i="73" s="1"/>
  <c r="R139" i="73"/>
  <c r="R199" i="73" s="1"/>
  <c r="O134" i="73"/>
  <c r="O194" i="73" s="1"/>
  <c r="L135" i="73"/>
  <c r="L195" i="73" s="1"/>
  <c r="Q139" i="73"/>
  <c r="Q199" i="73" s="1"/>
  <c r="R169" i="73"/>
  <c r="R229" i="73" s="1"/>
  <c r="L139" i="73"/>
  <c r="L269" i="73" s="1"/>
  <c r="L32" i="74" s="1"/>
  <c r="L77" i="74" s="1"/>
  <c r="U164" i="73"/>
  <c r="U224" i="73" s="1"/>
  <c r="Q169" i="73"/>
  <c r="Q229" i="73" s="1"/>
  <c r="P139" i="73"/>
  <c r="P269" i="73" s="1"/>
  <c r="P32" i="74" s="1"/>
  <c r="P77" i="74" s="1"/>
  <c r="P107" i="74" s="1"/>
  <c r="P139" i="74" s="1"/>
  <c r="L169" i="73"/>
  <c r="L229" i="73" s="1"/>
  <c r="AN273" i="80"/>
  <c r="U134" i="73"/>
  <c r="U264" i="73" s="1"/>
  <c r="U27" i="74" s="1"/>
  <c r="U72" i="74" s="1"/>
  <c r="P169" i="73"/>
  <c r="P229" i="73" s="1"/>
  <c r="T169" i="73"/>
  <c r="T229" i="73" s="1"/>
  <c r="X165" i="73"/>
  <c r="X225" i="73" s="1"/>
  <c r="T139" i="73"/>
  <c r="T199" i="73" s="1"/>
  <c r="W169" i="73"/>
  <c r="W229" i="73" s="1"/>
  <c r="J169" i="73"/>
  <c r="J229" i="73" s="1"/>
  <c r="L164" i="73"/>
  <c r="L224" i="73" s="1"/>
  <c r="W139" i="73"/>
  <c r="W269" i="73" s="1"/>
  <c r="W32" i="74" s="1"/>
  <c r="W77" i="74" s="1"/>
  <c r="J139" i="73"/>
  <c r="J269" i="73" s="1"/>
  <c r="J32" i="74" s="1"/>
  <c r="J77" i="74" s="1"/>
  <c r="M169" i="73"/>
  <c r="M229" i="73" s="1"/>
  <c r="Q164" i="73"/>
  <c r="Q224" i="73" s="1"/>
  <c r="Z139" i="73"/>
  <c r="Z199" i="73" s="1"/>
  <c r="K164" i="73"/>
  <c r="K224" i="73" s="1"/>
  <c r="T164" i="73"/>
  <c r="T224" i="73" s="1"/>
  <c r="M139" i="73"/>
  <c r="M269" i="73" s="1"/>
  <c r="M32" i="74" s="1"/>
  <c r="M77" i="74" s="1"/>
  <c r="Q134" i="73"/>
  <c r="Q264" i="73" s="1"/>
  <c r="Q27" i="74" s="1"/>
  <c r="Q72" i="74" s="1"/>
  <c r="Q102" i="74" s="1"/>
  <c r="J134" i="73"/>
  <c r="J194" i="73" s="1"/>
  <c r="Z169" i="73"/>
  <c r="Z229" i="73" s="1"/>
  <c r="K134" i="73"/>
  <c r="K194" i="73" s="1"/>
  <c r="T134" i="73"/>
  <c r="T264" i="73" s="1"/>
  <c r="T27" i="74" s="1"/>
  <c r="T72" i="74" s="1"/>
  <c r="R164" i="73"/>
  <c r="R224" i="73" s="1"/>
  <c r="AI275" i="80"/>
  <c r="AP271" i="80"/>
  <c r="AI273" i="80"/>
  <c r="AE276" i="80"/>
  <c r="AF270" i="80"/>
  <c r="AH274" i="80"/>
  <c r="AI276" i="80"/>
  <c r="AJ273" i="80"/>
  <c r="X135" i="73"/>
  <c r="X195" i="73" s="1"/>
  <c r="AO272" i="80"/>
  <c r="R165" i="73"/>
  <c r="R225" i="73" s="1"/>
  <c r="L165" i="73"/>
  <c r="L225" i="73" s="1"/>
  <c r="AD272" i="80"/>
  <c r="AC276" i="80"/>
  <c r="AF269" i="80"/>
  <c r="AN272" i="80"/>
  <c r="K135" i="73"/>
  <c r="K265" i="73" s="1"/>
  <c r="K28" i="74" s="1"/>
  <c r="K73" i="74" s="1"/>
  <c r="AI269" i="80"/>
  <c r="K165" i="73"/>
  <c r="K225" i="73" s="1"/>
  <c r="AL273" i="80"/>
  <c r="AP270" i="80"/>
  <c r="AK273" i="80"/>
  <c r="W135" i="73"/>
  <c r="W195" i="73" s="1"/>
  <c r="AP273" i="80"/>
  <c r="AH276" i="80"/>
  <c r="AI274" i="80"/>
  <c r="W165" i="73"/>
  <c r="W225" i="73" s="1"/>
  <c r="T135" i="73"/>
  <c r="T195" i="73" s="1"/>
  <c r="AD271" i="80"/>
  <c r="T165" i="73"/>
  <c r="T225" i="73" s="1"/>
  <c r="AC273" i="80"/>
  <c r="AM273" i="80"/>
  <c r="AG271" i="80"/>
  <c r="AK272" i="80"/>
  <c r="AC269" i="80"/>
  <c r="AO274" i="80"/>
  <c r="AJ272" i="80"/>
  <c r="AP272" i="80"/>
  <c r="AM276" i="80"/>
  <c r="AJ270" i="80"/>
  <c r="AC275" i="80"/>
  <c r="AF272" i="80"/>
  <c r="AP269" i="80"/>
  <c r="AM272" i="80"/>
  <c r="AJ271" i="80"/>
  <c r="AC271" i="80"/>
  <c r="Z165" i="73"/>
  <c r="Z225" i="73" s="1"/>
  <c r="O165" i="73"/>
  <c r="O225" i="73" s="1"/>
  <c r="AG273" i="80"/>
  <c r="AC270" i="80"/>
  <c r="AJ275" i="80"/>
  <c r="AH272" i="80"/>
  <c r="Z135" i="73"/>
  <c r="Z265" i="73" s="1"/>
  <c r="Z28" i="74" s="1"/>
  <c r="Z73" i="74" s="1"/>
  <c r="AK275" i="80"/>
  <c r="AI272" i="80"/>
  <c r="AI271" i="80"/>
  <c r="AM269" i="80"/>
  <c r="AH275" i="80"/>
  <c r="AN271" i="80"/>
  <c r="AO270" i="80"/>
  <c r="V137" i="73"/>
  <c r="V197" i="73" s="1"/>
  <c r="M167" i="73"/>
  <c r="M227" i="73" s="1"/>
  <c r="AL271" i="80"/>
  <c r="Y167" i="73"/>
  <c r="Y227" i="73" s="1"/>
  <c r="AP275" i="80"/>
  <c r="V167" i="73"/>
  <c r="V227" i="73" s="1"/>
  <c r="M137" i="73"/>
  <c r="M197" i="73" s="1"/>
  <c r="AH270" i="80"/>
  <c r="AP276" i="80"/>
  <c r="Q167" i="73"/>
  <c r="Q227" i="73" s="1"/>
  <c r="N167" i="73"/>
  <c r="N227" i="73" s="1"/>
  <c r="AH271" i="80"/>
  <c r="AP274" i="80"/>
  <c r="X137" i="73"/>
  <c r="X197" i="73" s="1"/>
  <c r="AE272" i="80"/>
  <c r="L137" i="73"/>
  <c r="L197" i="73" s="1"/>
  <c r="AJ269" i="80"/>
  <c r="L167" i="73"/>
  <c r="L227" i="73" s="1"/>
  <c r="R137" i="73"/>
  <c r="R267" i="73" s="1"/>
  <c r="R30" i="74" s="1"/>
  <c r="R75" i="74" s="1"/>
  <c r="R105" i="74" s="1"/>
  <c r="R137" i="74" s="1"/>
  <c r="L45" i="82"/>
  <c r="M45" i="82"/>
  <c r="N45" i="82"/>
  <c r="O45" i="82"/>
  <c r="K45" i="82"/>
  <c r="R167" i="73"/>
  <c r="R227" i="73" s="1"/>
  <c r="AB137" i="73"/>
  <c r="AB267" i="73" s="1"/>
  <c r="AB30" i="74" s="1"/>
  <c r="AB75" i="74" s="1"/>
  <c r="T137" i="73"/>
  <c r="T197" i="73" s="1"/>
  <c r="AB167" i="73"/>
  <c r="AB227" i="73" s="1"/>
  <c r="AN269" i="80"/>
  <c r="AN270" i="80"/>
  <c r="AN275" i="80"/>
  <c r="T167" i="73"/>
  <c r="T227" i="73" s="1"/>
  <c r="AH273" i="80"/>
  <c r="AE273" i="80"/>
  <c r="J137" i="73"/>
  <c r="J267" i="73" s="1"/>
  <c r="J30" i="74" s="1"/>
  <c r="J75" i="74" s="1"/>
  <c r="X167" i="73"/>
  <c r="X227" i="73" s="1"/>
  <c r="J167" i="73"/>
  <c r="J227" i="73" s="1"/>
  <c r="K137" i="73"/>
  <c r="K197" i="73" s="1"/>
  <c r="Z167" i="73"/>
  <c r="Z227" i="73" s="1"/>
  <c r="AN276" i="80"/>
  <c r="AI270" i="80"/>
  <c r="U137" i="73"/>
  <c r="U267" i="73" s="1"/>
  <c r="U30" i="74" s="1"/>
  <c r="U75" i="74" s="1"/>
  <c r="K167" i="73"/>
  <c r="K227" i="73" s="1"/>
  <c r="Z137" i="73"/>
  <c r="Z197" i="73" s="1"/>
  <c r="U167" i="73"/>
  <c r="U227" i="73" s="1"/>
  <c r="AM270" i="80"/>
  <c r="W137" i="73"/>
  <c r="W267" i="73" s="1"/>
  <c r="W30" i="74" s="1"/>
  <c r="W75" i="74" s="1"/>
  <c r="AL275" i="80"/>
  <c r="AK271" i="80"/>
  <c r="W167" i="73"/>
  <c r="W227" i="73" s="1"/>
  <c r="AF271" i="80"/>
  <c r="O167" i="73"/>
  <c r="O227" i="73" s="1"/>
  <c r="AE271" i="80"/>
  <c r="O137" i="73"/>
  <c r="O267" i="73" s="1"/>
  <c r="O30" i="74" s="1"/>
  <c r="O75" i="74" s="1"/>
  <c r="AA137" i="73"/>
  <c r="AA267" i="73" s="1"/>
  <c r="AA30" i="74" s="1"/>
  <c r="AA75" i="74" s="1"/>
  <c r="AF276" i="80"/>
  <c r="AC274" i="80"/>
  <c r="H38" i="111" a="1"/>
  <c r="H38" i="111" s="1"/>
  <c r="J44" i="55" s="1"/>
  <c r="O346" i="53"/>
  <c r="O357" i="53" s="1"/>
  <c r="N346" i="53"/>
  <c r="N357" i="53" s="1"/>
  <c r="N345" i="53"/>
  <c r="N356" i="53" s="1"/>
  <c r="O342" i="53"/>
  <c r="O353" i="53" s="1"/>
  <c r="W114" i="83"/>
  <c r="W219" i="83" s="1"/>
  <c r="W91" i="71" s="1"/>
  <c r="W196" i="71" s="1"/>
  <c r="W124" i="80"/>
  <c r="W136" i="80" s="1"/>
  <c r="W98" i="80"/>
  <c r="W110" i="80" s="1"/>
  <c r="W99" i="83"/>
  <c r="W187" i="83" s="1"/>
  <c r="W58" i="71" s="1"/>
  <c r="W163" i="71" s="1"/>
  <c r="U110" i="83"/>
  <c r="U215" i="83" s="1"/>
  <c r="U87" i="71" s="1"/>
  <c r="U192" i="71" s="1"/>
  <c r="U120" i="80"/>
  <c r="U132" i="80" s="1"/>
  <c r="R101" i="83"/>
  <c r="R189" i="83" s="1"/>
  <c r="R60" i="71" s="1"/>
  <c r="R165" i="71" s="1"/>
  <c r="R100" i="80"/>
  <c r="R112" i="80" s="1"/>
  <c r="AD269" i="80"/>
  <c r="Q122" i="80"/>
  <c r="Q134" i="80" s="1"/>
  <c r="Q112" i="83"/>
  <c r="Q217" i="83" s="1"/>
  <c r="Q89" i="71" s="1"/>
  <c r="Q194" i="71" s="1"/>
  <c r="W94" i="83"/>
  <c r="W182" i="83" s="1"/>
  <c r="W53" i="71" s="1"/>
  <c r="W158" i="71" s="1"/>
  <c r="W93" i="83"/>
  <c r="W181" i="83" s="1"/>
  <c r="W52" i="71" s="1"/>
  <c r="W157" i="71" s="1"/>
  <c r="W93" i="80"/>
  <c r="W105" i="80" s="1"/>
  <c r="W123" i="80"/>
  <c r="W135" i="80" s="1"/>
  <c r="W113" i="83"/>
  <c r="W218" i="83" s="1"/>
  <c r="W90" i="71" s="1"/>
  <c r="W195" i="71" s="1"/>
  <c r="Q83" i="83"/>
  <c r="Q154" i="83" s="1"/>
  <c r="Q24" i="71" s="1"/>
  <c r="Q129" i="71" s="1"/>
  <c r="Q71" i="80"/>
  <c r="Q83" i="80" s="1"/>
  <c r="AE176" i="80"/>
  <c r="AE177" i="80" s="1"/>
  <c r="AE208" i="80"/>
  <c r="W73" i="80"/>
  <c r="W85" i="80" s="1"/>
  <c r="W85" i="83"/>
  <c r="W156" i="83" s="1"/>
  <c r="W26" i="71" s="1"/>
  <c r="W131" i="71" s="1"/>
  <c r="W83" i="83"/>
  <c r="W154" i="83" s="1"/>
  <c r="W24" i="71" s="1"/>
  <c r="W129" i="71" s="1"/>
  <c r="W71" i="80"/>
  <c r="W83" i="80" s="1"/>
  <c r="W110" i="83"/>
  <c r="W215" i="83" s="1"/>
  <c r="W87" i="71" s="1"/>
  <c r="W192" i="71" s="1"/>
  <c r="W120" i="80"/>
  <c r="W132" i="80" s="1"/>
  <c r="W84" i="83"/>
  <c r="W155" i="83" s="1"/>
  <c r="W25" i="71" s="1"/>
  <c r="W130" i="71" s="1"/>
  <c r="W72" i="80"/>
  <c r="W84" i="80" s="1"/>
  <c r="AJ22" i="71"/>
  <c r="AJ127" i="71" s="1"/>
  <c r="N339" i="53"/>
  <c r="Q77" i="80"/>
  <c r="Q89" i="80" s="1"/>
  <c r="Q89" i="83"/>
  <c r="Q160" i="83" s="1"/>
  <c r="Q30" i="71" s="1"/>
  <c r="Q135" i="71" s="1"/>
  <c r="Q98" i="80"/>
  <c r="Q110" i="80" s="1"/>
  <c r="Q99" i="83"/>
  <c r="Q187" i="83" s="1"/>
  <c r="Q58" i="71" s="1"/>
  <c r="Q163" i="71" s="1"/>
  <c r="Q120" i="80"/>
  <c r="Q132" i="80" s="1"/>
  <c r="Q110" i="83"/>
  <c r="Q215" i="83" s="1"/>
  <c r="Q87" i="71" s="1"/>
  <c r="Q192" i="71" s="1"/>
  <c r="U121" i="80"/>
  <c r="U133" i="80" s="1"/>
  <c r="U111" i="83"/>
  <c r="U216" i="83" s="1"/>
  <c r="U88" i="71" s="1"/>
  <c r="U193" i="71" s="1"/>
  <c r="U85" i="83"/>
  <c r="U156" i="83" s="1"/>
  <c r="U26" i="71" s="1"/>
  <c r="U131" i="71" s="1"/>
  <c r="U73" i="80"/>
  <c r="U85" i="80" s="1"/>
  <c r="U118" i="80"/>
  <c r="U130" i="80" s="1"/>
  <c r="U108" i="83"/>
  <c r="U213" i="83" s="1"/>
  <c r="U85" i="71" s="1"/>
  <c r="U190" i="71" s="1"/>
  <c r="R122" i="80"/>
  <c r="R134" i="80" s="1"/>
  <c r="R112" i="83"/>
  <c r="R217" i="83" s="1"/>
  <c r="R89" i="71" s="1"/>
  <c r="R194" i="71" s="1"/>
  <c r="R77" i="80"/>
  <c r="R89" i="80" s="1"/>
  <c r="R89" i="83"/>
  <c r="R160" i="83" s="1"/>
  <c r="R30" i="71" s="1"/>
  <c r="R135" i="71" s="1"/>
  <c r="R97" i="83"/>
  <c r="R185" i="83" s="1"/>
  <c r="R56" i="71" s="1"/>
  <c r="R161" i="71" s="1"/>
  <c r="R96" i="80"/>
  <c r="R108" i="80" s="1"/>
  <c r="R117" i="80"/>
  <c r="R129" i="80" s="1"/>
  <c r="R107" i="83"/>
  <c r="R212" i="83" s="1"/>
  <c r="R84" i="71" s="1"/>
  <c r="R189" i="71" s="1"/>
  <c r="AE22" i="71"/>
  <c r="AE127" i="71" s="1"/>
  <c r="V101" i="83"/>
  <c r="V189" i="83" s="1"/>
  <c r="V60" i="71" s="1"/>
  <c r="V165" i="71" s="1"/>
  <c r="V100" i="80"/>
  <c r="V112" i="80" s="1"/>
  <c r="V99" i="80"/>
  <c r="V111" i="80" s="1"/>
  <c r="V100" i="83"/>
  <c r="V188" i="83" s="1"/>
  <c r="V59" i="71" s="1"/>
  <c r="V164" i="71" s="1"/>
  <c r="V84" i="83"/>
  <c r="V155" i="83" s="1"/>
  <c r="V25" i="71" s="1"/>
  <c r="V130" i="71" s="1"/>
  <c r="V72" i="80"/>
  <c r="V84" i="80" s="1"/>
  <c r="AD208" i="80"/>
  <c r="AD176" i="80"/>
  <c r="AD177" i="80" s="1"/>
  <c r="Q87" i="83"/>
  <c r="Q158" i="83" s="1"/>
  <c r="Q28" i="71" s="1"/>
  <c r="Q133" i="71" s="1"/>
  <c r="Q75" i="80"/>
  <c r="Q87" i="80" s="1"/>
  <c r="U96" i="80"/>
  <c r="U108" i="80" s="1"/>
  <c r="U97" i="83"/>
  <c r="U185" i="83" s="1"/>
  <c r="U56" i="71" s="1"/>
  <c r="U161" i="71" s="1"/>
  <c r="R84" i="83"/>
  <c r="R155" i="83" s="1"/>
  <c r="R25" i="71" s="1"/>
  <c r="R130" i="71" s="1"/>
  <c r="R72" i="80"/>
  <c r="R84" i="80" s="1"/>
  <c r="V102" i="83"/>
  <c r="V190" i="83" s="1"/>
  <c r="V61" i="71" s="1"/>
  <c r="V166" i="71" s="1"/>
  <c r="V101" i="80"/>
  <c r="V113" i="80" s="1"/>
  <c r="V95" i="83"/>
  <c r="V183" i="83" s="1"/>
  <c r="V54" i="71" s="1"/>
  <c r="V159" i="71" s="1"/>
  <c r="V94" i="80"/>
  <c r="V106" i="80" s="1"/>
  <c r="V99" i="83"/>
  <c r="V187" i="83" s="1"/>
  <c r="V58" i="71" s="1"/>
  <c r="V163" i="71" s="1"/>
  <c r="V98" i="80"/>
  <c r="V110" i="80" s="1"/>
  <c r="W97" i="83"/>
  <c r="W185" i="83" s="1"/>
  <c r="W56" i="71" s="1"/>
  <c r="W161" i="71" s="1"/>
  <c r="W96" i="80"/>
  <c r="W108" i="80" s="1"/>
  <c r="W96" i="83"/>
  <c r="W184" i="83" s="1"/>
  <c r="W55" i="71" s="1"/>
  <c r="W160" i="71" s="1"/>
  <c r="W95" i="80"/>
  <c r="W107" i="80" s="1"/>
  <c r="W74" i="80"/>
  <c r="W86" i="80" s="1"/>
  <c r="W86" i="83"/>
  <c r="W157" i="83" s="1"/>
  <c r="W27" i="71" s="1"/>
  <c r="W132" i="71" s="1"/>
  <c r="N340" i="53"/>
  <c r="N351" i="53" s="1"/>
  <c r="Q96" i="80"/>
  <c r="Q108" i="80" s="1"/>
  <c r="Q97" i="83"/>
  <c r="Q185" i="83" s="1"/>
  <c r="Q56" i="71" s="1"/>
  <c r="Q161" i="71" s="1"/>
  <c r="O316" i="53"/>
  <c r="O305" i="53"/>
  <c r="O308" i="53"/>
  <c r="O294" i="53"/>
  <c r="O319" i="53"/>
  <c r="O297" i="53"/>
  <c r="O301" i="53"/>
  <c r="O300" i="53"/>
  <c r="O322" i="53"/>
  <c r="O310" i="53"/>
  <c r="O320" i="53"/>
  <c r="O295" i="53"/>
  <c r="O306" i="53"/>
  <c r="O293" i="53"/>
  <c r="O321" i="53"/>
  <c r="O311" i="53"/>
  <c r="O323" i="53"/>
  <c r="O298" i="53"/>
  <c r="O304" i="53"/>
  <c r="O296" i="53"/>
  <c r="O312" i="53"/>
  <c r="O299" i="53"/>
  <c r="O309" i="53"/>
  <c r="O315" i="53"/>
  <c r="O317" i="53"/>
  <c r="O307" i="53"/>
  <c r="O318" i="53"/>
  <c r="R99" i="80"/>
  <c r="R111" i="80" s="1"/>
  <c r="R100" i="83"/>
  <c r="R188" i="83" s="1"/>
  <c r="R59" i="71" s="1"/>
  <c r="R164" i="71" s="1"/>
  <c r="R70" i="80"/>
  <c r="R82" i="80" s="1"/>
  <c r="R82" i="83"/>
  <c r="R153" i="83" s="1"/>
  <c r="R23" i="71" s="1"/>
  <c r="R128" i="71" s="1"/>
  <c r="R81" i="83"/>
  <c r="R152" i="83" s="1"/>
  <c r="AN22" i="71"/>
  <c r="AN127" i="71" s="1"/>
  <c r="V90" i="83"/>
  <c r="V161" i="83" s="1"/>
  <c r="V31" i="71" s="1"/>
  <c r="V136" i="71" s="1"/>
  <c r="V78" i="80"/>
  <c r="V90" i="80" s="1"/>
  <c r="V73" i="80"/>
  <c r="V85" i="80" s="1"/>
  <c r="V85" i="83"/>
  <c r="V156" i="83" s="1"/>
  <c r="V26" i="71" s="1"/>
  <c r="V131" i="71" s="1"/>
  <c r="V96" i="83"/>
  <c r="V184" i="83" s="1"/>
  <c r="V55" i="71" s="1"/>
  <c r="V160" i="71" s="1"/>
  <c r="V95" i="80"/>
  <c r="V107" i="80" s="1"/>
  <c r="W98" i="83"/>
  <c r="W186" i="83" s="1"/>
  <c r="W57" i="71" s="1"/>
  <c r="W162" i="71" s="1"/>
  <c r="W97" i="80"/>
  <c r="W109" i="80" s="1"/>
  <c r="AG22" i="71"/>
  <c r="AG127" i="71" s="1"/>
  <c r="N341" i="53"/>
  <c r="N352" i="53" s="1"/>
  <c r="Q102" i="83"/>
  <c r="Q190" i="83" s="1"/>
  <c r="Q61" i="71" s="1"/>
  <c r="Q166" i="71" s="1"/>
  <c r="Q101" i="80"/>
  <c r="Q113" i="80" s="1"/>
  <c r="Q70" i="80"/>
  <c r="Q82" i="80" s="1"/>
  <c r="Q82" i="83"/>
  <c r="Q153" i="83" s="1"/>
  <c r="Q23" i="71" s="1"/>
  <c r="Q128" i="71" s="1"/>
  <c r="Q81" i="83"/>
  <c r="Q152" i="83" s="1"/>
  <c r="Q85" i="83"/>
  <c r="Q156" i="83" s="1"/>
  <c r="Q26" i="71" s="1"/>
  <c r="Q131" i="71" s="1"/>
  <c r="Q73" i="80"/>
  <c r="Q85" i="80" s="1"/>
  <c r="Q99" i="80"/>
  <c r="Q111" i="80" s="1"/>
  <c r="Q100" i="83"/>
  <c r="Q188" i="83" s="1"/>
  <c r="Q59" i="71" s="1"/>
  <c r="Q164" i="71" s="1"/>
  <c r="U99" i="83"/>
  <c r="U187" i="83" s="1"/>
  <c r="U58" i="71" s="1"/>
  <c r="U163" i="71" s="1"/>
  <c r="U98" i="80"/>
  <c r="U110" i="80" s="1"/>
  <c r="U81" i="83"/>
  <c r="U152" i="83" s="1"/>
  <c r="U82" i="83"/>
  <c r="U153" i="83" s="1"/>
  <c r="U23" i="71" s="1"/>
  <c r="U128" i="71" s="1"/>
  <c r="U70" i="80"/>
  <c r="U82" i="80" s="1"/>
  <c r="U95" i="80"/>
  <c r="U107" i="80" s="1"/>
  <c r="U96" i="83"/>
  <c r="U184" i="83" s="1"/>
  <c r="U55" i="71" s="1"/>
  <c r="U160" i="71" s="1"/>
  <c r="P316" i="53"/>
  <c r="P532" i="53" s="1"/>
  <c r="P320" i="53"/>
  <c r="P536" i="53" s="1"/>
  <c r="P308" i="53"/>
  <c r="P524" i="53" s="1"/>
  <c r="P317" i="53"/>
  <c r="P533" i="53" s="1"/>
  <c r="P305" i="53"/>
  <c r="P521" i="53" s="1"/>
  <c r="P309" i="53"/>
  <c r="P525" i="53" s="1"/>
  <c r="P304" i="53"/>
  <c r="P520" i="53" s="1"/>
  <c r="P306" i="53"/>
  <c r="P522" i="53" s="1"/>
  <c r="P315" i="53"/>
  <c r="P531" i="53" s="1"/>
  <c r="P319" i="53"/>
  <c r="P535" i="53" s="1"/>
  <c r="P295" i="53"/>
  <c r="P511" i="53" s="1"/>
  <c r="P294" i="53"/>
  <c r="P510" i="53" s="1"/>
  <c r="P297" i="53"/>
  <c r="P513" i="53" s="1"/>
  <c r="P298" i="53"/>
  <c r="P514" i="53" s="1"/>
  <c r="P293" i="53"/>
  <c r="P509" i="53" s="1"/>
  <c r="P299" i="53"/>
  <c r="P515" i="53" s="1"/>
  <c r="P321" i="53"/>
  <c r="P537" i="53" s="1"/>
  <c r="P311" i="53"/>
  <c r="P527" i="53" s="1"/>
  <c r="P323" i="53"/>
  <c r="P539" i="53" s="1"/>
  <c r="P300" i="53"/>
  <c r="P516" i="53" s="1"/>
  <c r="P318" i="53"/>
  <c r="P534" i="53" s="1"/>
  <c r="P296" i="53"/>
  <c r="P512" i="53" s="1"/>
  <c r="P307" i="53"/>
  <c r="P523" i="53" s="1"/>
  <c r="P301" i="53"/>
  <c r="P517" i="53" s="1"/>
  <c r="P322" i="53"/>
  <c r="P538" i="53" s="1"/>
  <c r="P312" i="53"/>
  <c r="P528" i="53" s="1"/>
  <c r="P310" i="53"/>
  <c r="P526" i="53" s="1"/>
  <c r="O343" i="53"/>
  <c r="O354" i="53" s="1"/>
  <c r="R76" i="80"/>
  <c r="R88" i="80" s="1"/>
  <c r="R88" i="83"/>
  <c r="R159" i="83" s="1"/>
  <c r="R29" i="71" s="1"/>
  <c r="R134" i="71" s="1"/>
  <c r="R106" i="83"/>
  <c r="R211" i="83" s="1"/>
  <c r="R83" i="71" s="1"/>
  <c r="R188" i="71" s="1"/>
  <c r="R105" i="83"/>
  <c r="R210" i="83" s="1"/>
  <c r="R82" i="71" s="1"/>
  <c r="R187" i="71" s="1"/>
  <c r="R116" i="80"/>
  <c r="R128" i="80" s="1"/>
  <c r="R95" i="83"/>
  <c r="R183" i="83" s="1"/>
  <c r="R54" i="71" s="1"/>
  <c r="R159" i="71" s="1"/>
  <c r="R94" i="80"/>
  <c r="R106" i="80" s="1"/>
  <c r="AI22" i="71"/>
  <c r="AI127" i="71" s="1"/>
  <c r="V93" i="80"/>
  <c r="V105" i="80" s="1"/>
  <c r="V94" i="83"/>
  <c r="V182" i="83" s="1"/>
  <c r="V53" i="71" s="1"/>
  <c r="V158" i="71" s="1"/>
  <c r="V93" i="83"/>
  <c r="V181" i="83" s="1"/>
  <c r="V52" i="71" s="1"/>
  <c r="V157" i="71" s="1"/>
  <c r="V83" i="83"/>
  <c r="V154" i="83" s="1"/>
  <c r="V24" i="71" s="1"/>
  <c r="V129" i="71" s="1"/>
  <c r="V71" i="80"/>
  <c r="V83" i="80" s="1"/>
  <c r="V107" i="83"/>
  <c r="V212" i="83" s="1"/>
  <c r="V84" i="71" s="1"/>
  <c r="V189" i="71" s="1"/>
  <c r="V117" i="80"/>
  <c r="V129" i="80" s="1"/>
  <c r="W106" i="83"/>
  <c r="W211" i="83" s="1"/>
  <c r="W83" i="71" s="1"/>
  <c r="W188" i="71" s="1"/>
  <c r="W116" i="80"/>
  <c r="W128" i="80" s="1"/>
  <c r="W105" i="83"/>
  <c r="W210" i="83" s="1"/>
  <c r="W82" i="71" s="1"/>
  <c r="W187" i="71" s="1"/>
  <c r="Q86" i="83"/>
  <c r="Q157" i="83" s="1"/>
  <c r="Q27" i="71" s="1"/>
  <c r="Q132" i="71" s="1"/>
  <c r="Q74" i="80"/>
  <c r="Q86" i="80" s="1"/>
  <c r="R98" i="83"/>
  <c r="R186" i="83" s="1"/>
  <c r="R57" i="71" s="1"/>
  <c r="R162" i="71" s="1"/>
  <c r="R97" i="80"/>
  <c r="R109" i="80" s="1"/>
  <c r="U72" i="80"/>
  <c r="U84" i="80" s="1"/>
  <c r="U84" i="83"/>
  <c r="U155" i="83" s="1"/>
  <c r="U25" i="71" s="1"/>
  <c r="U130" i="71" s="1"/>
  <c r="O338" i="53"/>
  <c r="O349" i="53" s="1"/>
  <c r="R108" i="83"/>
  <c r="R213" i="83" s="1"/>
  <c r="R85" i="71" s="1"/>
  <c r="R190" i="71" s="1"/>
  <c r="R118" i="80"/>
  <c r="R130" i="80" s="1"/>
  <c r="W107" i="83"/>
  <c r="W212" i="83" s="1"/>
  <c r="W84" i="71" s="1"/>
  <c r="W189" i="71" s="1"/>
  <c r="W117" i="80"/>
  <c r="W129" i="80" s="1"/>
  <c r="Q114" i="83"/>
  <c r="Q219" i="83" s="1"/>
  <c r="Q91" i="71" s="1"/>
  <c r="Q196" i="71" s="1"/>
  <c r="Q124" i="80"/>
  <c r="Q136" i="80" s="1"/>
  <c r="Q108" i="83"/>
  <c r="Q213" i="83" s="1"/>
  <c r="Q85" i="71" s="1"/>
  <c r="Q190" i="71" s="1"/>
  <c r="Q118" i="80"/>
  <c r="Q130" i="80" s="1"/>
  <c r="Q107" i="83"/>
  <c r="Q212" i="83" s="1"/>
  <c r="Q84" i="71" s="1"/>
  <c r="Q189" i="71" s="1"/>
  <c r="Q117" i="80"/>
  <c r="Q129" i="80" s="1"/>
  <c r="Q111" i="83"/>
  <c r="Q216" i="83" s="1"/>
  <c r="Q88" i="71" s="1"/>
  <c r="Q193" i="71" s="1"/>
  <c r="Q121" i="80"/>
  <c r="Q133" i="80" s="1"/>
  <c r="U86" i="83"/>
  <c r="U157" i="83" s="1"/>
  <c r="U27" i="71" s="1"/>
  <c r="U132" i="71" s="1"/>
  <c r="U74" i="80"/>
  <c r="U86" i="80" s="1"/>
  <c r="U101" i="83"/>
  <c r="U189" i="83" s="1"/>
  <c r="U60" i="71" s="1"/>
  <c r="U165" i="71" s="1"/>
  <c r="U100" i="80"/>
  <c r="U112" i="80" s="1"/>
  <c r="U109" i="83"/>
  <c r="U214" i="83" s="1"/>
  <c r="U86" i="71" s="1"/>
  <c r="U191" i="71" s="1"/>
  <c r="U119" i="80"/>
  <c r="U131" i="80" s="1"/>
  <c r="U107" i="83"/>
  <c r="U212" i="83" s="1"/>
  <c r="U84" i="71" s="1"/>
  <c r="U189" i="71" s="1"/>
  <c r="U117" i="80"/>
  <c r="U129" i="80" s="1"/>
  <c r="O341" i="53"/>
  <c r="O352" i="53" s="1"/>
  <c r="L249" i="83"/>
  <c r="S252" i="83" s="1"/>
  <c r="S262" i="83" s="1"/>
  <c r="S267" i="83" s="1"/>
  <c r="R86" i="83"/>
  <c r="R157" i="83" s="1"/>
  <c r="R27" i="71" s="1"/>
  <c r="R132" i="71" s="1"/>
  <c r="R74" i="80"/>
  <c r="R86" i="80" s="1"/>
  <c r="R98" i="80"/>
  <c r="R110" i="80" s="1"/>
  <c r="R99" i="83"/>
  <c r="R187" i="83" s="1"/>
  <c r="R58" i="71" s="1"/>
  <c r="R163" i="71" s="1"/>
  <c r="R95" i="80"/>
  <c r="R107" i="80" s="1"/>
  <c r="R96" i="83"/>
  <c r="R184" i="83" s="1"/>
  <c r="R55" i="71" s="1"/>
  <c r="R160" i="71" s="1"/>
  <c r="AO22" i="71"/>
  <c r="AO127" i="71" s="1"/>
  <c r="V123" i="80"/>
  <c r="V135" i="80" s="1"/>
  <c r="V113" i="83"/>
  <c r="V218" i="83" s="1"/>
  <c r="V90" i="71" s="1"/>
  <c r="V195" i="71" s="1"/>
  <c r="V111" i="83"/>
  <c r="V216" i="83" s="1"/>
  <c r="V88" i="71" s="1"/>
  <c r="V193" i="71" s="1"/>
  <c r="V121" i="80"/>
  <c r="V133" i="80" s="1"/>
  <c r="V75" i="80"/>
  <c r="V87" i="80" s="1"/>
  <c r="V87" i="83"/>
  <c r="V158" i="83" s="1"/>
  <c r="V28" i="71" s="1"/>
  <c r="V133" i="71" s="1"/>
  <c r="S88" i="53"/>
  <c r="S90" i="53" s="1"/>
  <c r="S120" i="53" s="1"/>
  <c r="S122" i="53" s="1"/>
  <c r="AF22" i="71"/>
  <c r="AF127" i="71" s="1"/>
  <c r="N309" i="53"/>
  <c r="N298" i="53"/>
  <c r="N320" i="53"/>
  <c r="N308" i="53"/>
  <c r="N305" i="53"/>
  <c r="N319" i="53"/>
  <c r="N294" i="53"/>
  <c r="N316" i="53"/>
  <c r="N297" i="53"/>
  <c r="N318" i="53"/>
  <c r="N304" i="53"/>
  <c r="N317" i="53"/>
  <c r="N315" i="53"/>
  <c r="N322" i="53"/>
  <c r="N321" i="53"/>
  <c r="N300" i="53"/>
  <c r="N295" i="53"/>
  <c r="N296" i="53"/>
  <c r="N293" i="53"/>
  <c r="N306" i="53"/>
  <c r="N307" i="53"/>
  <c r="N310" i="53"/>
  <c r="N301" i="53"/>
  <c r="N323" i="53"/>
  <c r="N312" i="53"/>
  <c r="N311" i="53"/>
  <c r="N299" i="53"/>
  <c r="U95" i="83"/>
  <c r="U183" i="83" s="1"/>
  <c r="U54" i="71" s="1"/>
  <c r="U159" i="71" s="1"/>
  <c r="U94" i="80"/>
  <c r="U106" i="80" s="1"/>
  <c r="W122" i="80"/>
  <c r="W134" i="80" s="1"/>
  <c r="W112" i="83"/>
  <c r="W217" i="83" s="1"/>
  <c r="W89" i="71" s="1"/>
  <c r="W194" i="71" s="1"/>
  <c r="W89" i="83"/>
  <c r="W160" i="83" s="1"/>
  <c r="W30" i="71" s="1"/>
  <c r="W135" i="71" s="1"/>
  <c r="W77" i="80"/>
  <c r="W89" i="80" s="1"/>
  <c r="W78" i="80"/>
  <c r="W90" i="80" s="1"/>
  <c r="W90" i="83"/>
  <c r="W161" i="83" s="1"/>
  <c r="W31" i="71" s="1"/>
  <c r="W136" i="71" s="1"/>
  <c r="W95" i="83"/>
  <c r="W183" i="83" s="1"/>
  <c r="W54" i="71" s="1"/>
  <c r="W159" i="71" s="1"/>
  <c r="W94" i="80"/>
  <c r="W106" i="80" s="1"/>
  <c r="W101" i="80"/>
  <c r="W113" i="80" s="1"/>
  <c r="W102" i="83"/>
  <c r="W190" i="83" s="1"/>
  <c r="W61" i="71" s="1"/>
  <c r="W166" i="71" s="1"/>
  <c r="W101" i="83"/>
  <c r="W189" i="83" s="1"/>
  <c r="W60" i="71" s="1"/>
  <c r="W165" i="71" s="1"/>
  <c r="W100" i="80"/>
  <c r="W112" i="80" s="1"/>
  <c r="W111" i="83"/>
  <c r="W216" i="83" s="1"/>
  <c r="W88" i="71" s="1"/>
  <c r="W193" i="71" s="1"/>
  <c r="W121" i="80"/>
  <c r="W133" i="80" s="1"/>
  <c r="AL22" i="71"/>
  <c r="AL127" i="71" s="1"/>
  <c r="AC22" i="71"/>
  <c r="AC127" i="71" s="1"/>
  <c r="N338" i="53"/>
  <c r="N349" i="53" s="1"/>
  <c r="Q101" i="83"/>
  <c r="Q189" i="83" s="1"/>
  <c r="Q60" i="71" s="1"/>
  <c r="Q165" i="71" s="1"/>
  <c r="Q100" i="80"/>
  <c r="Q112" i="80" s="1"/>
  <c r="Q98" i="83"/>
  <c r="Q186" i="83" s="1"/>
  <c r="Q57" i="71" s="1"/>
  <c r="Q162" i="71" s="1"/>
  <c r="Q97" i="80"/>
  <c r="Q109" i="80" s="1"/>
  <c r="Q84" i="83"/>
  <c r="Q155" i="83" s="1"/>
  <c r="Q25" i="71" s="1"/>
  <c r="Q130" i="71" s="1"/>
  <c r="Q72" i="80"/>
  <c r="Q84" i="80" s="1"/>
  <c r="Q119" i="80"/>
  <c r="Q131" i="80" s="1"/>
  <c r="Q109" i="83"/>
  <c r="Q214" i="83" s="1"/>
  <c r="Q86" i="71" s="1"/>
  <c r="Q191" i="71" s="1"/>
  <c r="U90" i="83"/>
  <c r="U161" i="83" s="1"/>
  <c r="U31" i="71" s="1"/>
  <c r="U136" i="71" s="1"/>
  <c r="U78" i="80"/>
  <c r="U90" i="80" s="1"/>
  <c r="U101" i="80"/>
  <c r="U113" i="80" s="1"/>
  <c r="U102" i="83"/>
  <c r="U190" i="83" s="1"/>
  <c r="U61" i="71" s="1"/>
  <c r="U166" i="71" s="1"/>
  <c r="U116" i="80"/>
  <c r="U128" i="80" s="1"/>
  <c r="U105" i="83"/>
  <c r="U210" i="83" s="1"/>
  <c r="U82" i="71" s="1"/>
  <c r="U187" i="71" s="1"/>
  <c r="U106" i="83"/>
  <c r="U211" i="83" s="1"/>
  <c r="U83" i="71" s="1"/>
  <c r="U188" i="71" s="1"/>
  <c r="U99" i="80"/>
  <c r="U111" i="80" s="1"/>
  <c r="U100" i="83"/>
  <c r="U188" i="83" s="1"/>
  <c r="U59" i="71" s="1"/>
  <c r="U164" i="71" s="1"/>
  <c r="O345" i="53"/>
  <c r="O356" i="53" s="1"/>
  <c r="AB122" i="53"/>
  <c r="Z122" i="53"/>
  <c r="AA122" i="53"/>
  <c r="Y122" i="53"/>
  <c r="X122" i="53"/>
  <c r="AM22" i="71"/>
  <c r="AM127" i="71" s="1"/>
  <c r="R110" i="83"/>
  <c r="R215" i="83" s="1"/>
  <c r="R87" i="71" s="1"/>
  <c r="R192" i="71" s="1"/>
  <c r="R120" i="80"/>
  <c r="R132" i="80" s="1"/>
  <c r="R109" i="83"/>
  <c r="R214" i="83" s="1"/>
  <c r="R86" i="71" s="1"/>
  <c r="R191" i="71" s="1"/>
  <c r="R119" i="80"/>
  <c r="R131" i="80" s="1"/>
  <c r="R75" i="80"/>
  <c r="R87" i="80" s="1"/>
  <c r="R87" i="83"/>
  <c r="R158" i="83" s="1"/>
  <c r="R28" i="71" s="1"/>
  <c r="R133" i="71" s="1"/>
  <c r="V76" i="80"/>
  <c r="V88" i="80" s="1"/>
  <c r="V88" i="83"/>
  <c r="V159" i="83" s="1"/>
  <c r="V29" i="71" s="1"/>
  <c r="V134" i="71" s="1"/>
  <c r="V82" i="83"/>
  <c r="V153" i="83" s="1"/>
  <c r="V23" i="71" s="1"/>
  <c r="V128" i="71" s="1"/>
  <c r="V70" i="80"/>
  <c r="V82" i="80" s="1"/>
  <c r="V81" i="83"/>
  <c r="V152" i="83" s="1"/>
  <c r="V119" i="80"/>
  <c r="V131" i="80" s="1"/>
  <c r="V109" i="83"/>
  <c r="V214" i="83" s="1"/>
  <c r="V86" i="71" s="1"/>
  <c r="V191" i="71" s="1"/>
  <c r="V86" i="83"/>
  <c r="V157" i="83" s="1"/>
  <c r="V27" i="71" s="1"/>
  <c r="V132" i="71" s="1"/>
  <c r="V74" i="80"/>
  <c r="V86" i="80" s="1"/>
  <c r="W87" i="83"/>
  <c r="W158" i="83" s="1"/>
  <c r="W28" i="71" s="1"/>
  <c r="W133" i="71" s="1"/>
  <c r="W75" i="80"/>
  <c r="W87" i="80" s="1"/>
  <c r="Q78" i="80"/>
  <c r="Q90" i="80" s="1"/>
  <c r="Q90" i="83"/>
  <c r="Q161" i="83" s="1"/>
  <c r="Q31" i="71" s="1"/>
  <c r="Q136" i="71" s="1"/>
  <c r="O344" i="53"/>
  <c r="O355" i="53" s="1"/>
  <c r="R123" i="80"/>
  <c r="R135" i="80" s="1"/>
  <c r="R113" i="83"/>
  <c r="R218" i="83" s="1"/>
  <c r="R90" i="71" s="1"/>
  <c r="R195" i="71" s="1"/>
  <c r="R124" i="80"/>
  <c r="R136" i="80" s="1"/>
  <c r="R114" i="83"/>
  <c r="R219" i="83" s="1"/>
  <c r="R91" i="71" s="1"/>
  <c r="R196" i="71" s="1"/>
  <c r="R73" i="80"/>
  <c r="R85" i="80" s="1"/>
  <c r="R85" i="83"/>
  <c r="R156" i="83" s="1"/>
  <c r="R26" i="71" s="1"/>
  <c r="R131" i="71" s="1"/>
  <c r="R83" i="83"/>
  <c r="R154" i="83" s="1"/>
  <c r="R24" i="71" s="1"/>
  <c r="R129" i="71" s="1"/>
  <c r="R71" i="80"/>
  <c r="R83" i="80" s="1"/>
  <c r="O195" i="73"/>
  <c r="O265" i="73"/>
  <c r="O28" i="74" s="1"/>
  <c r="O73" i="74" s="1"/>
  <c r="V89" i="83"/>
  <c r="V160" i="83" s="1"/>
  <c r="V30" i="71" s="1"/>
  <c r="V135" i="71" s="1"/>
  <c r="V77" i="80"/>
  <c r="V89" i="80" s="1"/>
  <c r="V105" i="83"/>
  <c r="V210" i="83" s="1"/>
  <c r="V82" i="71" s="1"/>
  <c r="V187" i="71" s="1"/>
  <c r="V106" i="83"/>
  <c r="V211" i="83" s="1"/>
  <c r="V83" i="71" s="1"/>
  <c r="V188" i="71" s="1"/>
  <c r="V116" i="80"/>
  <c r="V128" i="80" s="1"/>
  <c r="V98" i="83"/>
  <c r="V186" i="83" s="1"/>
  <c r="V57" i="71" s="1"/>
  <c r="V162" i="71" s="1"/>
  <c r="V97" i="80"/>
  <c r="V109" i="80" s="1"/>
  <c r="V97" i="83"/>
  <c r="V185" i="83" s="1"/>
  <c r="V56" i="71" s="1"/>
  <c r="V161" i="71" s="1"/>
  <c r="V96" i="80"/>
  <c r="V108" i="80" s="1"/>
  <c r="L88" i="53"/>
  <c r="L90" i="53" s="1"/>
  <c r="L120" i="53" s="1"/>
  <c r="L122" i="53" s="1"/>
  <c r="L346" i="53" s="1"/>
  <c r="L357" i="53" s="1"/>
  <c r="Q105" i="83"/>
  <c r="Q210" i="83" s="1"/>
  <c r="Q82" i="71" s="1"/>
  <c r="Q187" i="71" s="1"/>
  <c r="Q106" i="83"/>
  <c r="Q211" i="83" s="1"/>
  <c r="Q83" i="71" s="1"/>
  <c r="Q188" i="71" s="1"/>
  <c r="Q116" i="80"/>
  <c r="Q128" i="80" s="1"/>
  <c r="U71" i="80"/>
  <c r="U83" i="80" s="1"/>
  <c r="U83" i="83"/>
  <c r="U154" i="83" s="1"/>
  <c r="U24" i="71" s="1"/>
  <c r="U129" i="71" s="1"/>
  <c r="Q95" i="83"/>
  <c r="Q183" i="83" s="1"/>
  <c r="Q54" i="71" s="1"/>
  <c r="Q159" i="71" s="1"/>
  <c r="Q94" i="80"/>
  <c r="Q106" i="80" s="1"/>
  <c r="U87" i="83"/>
  <c r="U158" i="83" s="1"/>
  <c r="U28" i="71" s="1"/>
  <c r="U133" i="71" s="1"/>
  <c r="U75" i="80"/>
  <c r="U87" i="80" s="1"/>
  <c r="AK22" i="71"/>
  <c r="AK127" i="71" s="1"/>
  <c r="W76" i="80"/>
  <c r="W88" i="80" s="1"/>
  <c r="W88" i="83"/>
  <c r="W159" i="83" s="1"/>
  <c r="W29" i="71" s="1"/>
  <c r="W134" i="71" s="1"/>
  <c r="N342" i="53"/>
  <c r="N353" i="53" s="1"/>
  <c r="Q76" i="80"/>
  <c r="Q88" i="80" s="1"/>
  <c r="Q88" i="83"/>
  <c r="Q159" i="83" s="1"/>
  <c r="Q29" i="71" s="1"/>
  <c r="Q134" i="71" s="1"/>
  <c r="AH22" i="71"/>
  <c r="AH127" i="71" s="1"/>
  <c r="U113" i="83"/>
  <c r="U218" i="83" s="1"/>
  <c r="U90" i="71" s="1"/>
  <c r="U195" i="71" s="1"/>
  <c r="U123" i="80"/>
  <c r="U135" i="80" s="1"/>
  <c r="U98" i="83"/>
  <c r="U186" i="83" s="1"/>
  <c r="U57" i="71" s="1"/>
  <c r="U162" i="71" s="1"/>
  <c r="U97" i="80"/>
  <c r="U109" i="80" s="1"/>
  <c r="U76" i="80"/>
  <c r="U88" i="80" s="1"/>
  <c r="U88" i="83"/>
  <c r="U159" i="83" s="1"/>
  <c r="U29" i="71" s="1"/>
  <c r="U134" i="71" s="1"/>
  <c r="U94" i="83"/>
  <c r="U182" i="83" s="1"/>
  <c r="U53" i="71" s="1"/>
  <c r="U158" i="71" s="1"/>
  <c r="U93" i="83"/>
  <c r="U181" i="83" s="1"/>
  <c r="U52" i="71" s="1"/>
  <c r="U157" i="71" s="1"/>
  <c r="U93" i="80"/>
  <c r="U105" i="80" s="1"/>
  <c r="T88" i="53"/>
  <c r="T90" i="53" s="1"/>
  <c r="T120" i="53" s="1"/>
  <c r="T122" i="53" s="1"/>
  <c r="T339" i="53" s="1"/>
  <c r="T350" i="53" s="1"/>
  <c r="W100" i="83"/>
  <c r="W188" i="83" s="1"/>
  <c r="W59" i="71" s="1"/>
  <c r="W164" i="71" s="1"/>
  <c r="W99" i="80"/>
  <c r="W111" i="80" s="1"/>
  <c r="W109" i="83"/>
  <c r="W214" i="83" s="1"/>
  <c r="W86" i="71" s="1"/>
  <c r="W191" i="71" s="1"/>
  <c r="W119" i="80"/>
  <c r="W131" i="80" s="1"/>
  <c r="W81" i="83"/>
  <c r="W152" i="83" s="1"/>
  <c r="W82" i="83"/>
  <c r="W153" i="83" s="1"/>
  <c r="W23" i="71" s="1"/>
  <c r="W128" i="71" s="1"/>
  <c r="W70" i="80"/>
  <c r="W82" i="80" s="1"/>
  <c r="W108" i="83"/>
  <c r="W213" i="83" s="1"/>
  <c r="W85" i="71" s="1"/>
  <c r="W190" i="71" s="1"/>
  <c r="W118" i="80"/>
  <c r="W130" i="80" s="1"/>
  <c r="AP22" i="71"/>
  <c r="AP127" i="71" s="1"/>
  <c r="N343" i="53"/>
  <c r="N354" i="53" s="1"/>
  <c r="Q113" i="83"/>
  <c r="Q218" i="83" s="1"/>
  <c r="Q90" i="71" s="1"/>
  <c r="Q195" i="71" s="1"/>
  <c r="Q123" i="80"/>
  <c r="Q135" i="80" s="1"/>
  <c r="Q96" i="83"/>
  <c r="Q184" i="83" s="1"/>
  <c r="Q55" i="71" s="1"/>
  <c r="Q160" i="71" s="1"/>
  <c r="Q95" i="80"/>
  <c r="Q107" i="80" s="1"/>
  <c r="Q94" i="83"/>
  <c r="Q182" i="83" s="1"/>
  <c r="Q53" i="71" s="1"/>
  <c r="Q158" i="71" s="1"/>
  <c r="Q93" i="83"/>
  <c r="Q181" i="83" s="1"/>
  <c r="Q52" i="71" s="1"/>
  <c r="Q157" i="71" s="1"/>
  <c r="Q93" i="80"/>
  <c r="Q105" i="80" s="1"/>
  <c r="U124" i="80"/>
  <c r="U136" i="80" s="1"/>
  <c r="U114" i="83"/>
  <c r="U219" i="83" s="1"/>
  <c r="U91" i="71" s="1"/>
  <c r="U196" i="71" s="1"/>
  <c r="U89" i="83"/>
  <c r="U160" i="83" s="1"/>
  <c r="U30" i="71" s="1"/>
  <c r="U135" i="71" s="1"/>
  <c r="U77" i="80"/>
  <c r="U89" i="80" s="1"/>
  <c r="U122" i="80"/>
  <c r="U134" i="80" s="1"/>
  <c r="U112" i="83"/>
  <c r="U217" i="83" s="1"/>
  <c r="U89" i="71" s="1"/>
  <c r="U194" i="71" s="1"/>
  <c r="O339" i="53"/>
  <c r="O350" i="53" s="1"/>
  <c r="J88" i="53"/>
  <c r="R78" i="80"/>
  <c r="R90" i="80" s="1"/>
  <c r="R90" i="83"/>
  <c r="R161" i="83" s="1"/>
  <c r="R31" i="71" s="1"/>
  <c r="R136" i="71" s="1"/>
  <c r="R101" i="80"/>
  <c r="R113" i="80" s="1"/>
  <c r="R102" i="83"/>
  <c r="R190" i="83" s="1"/>
  <c r="R61" i="71" s="1"/>
  <c r="R166" i="71" s="1"/>
  <c r="R94" i="83"/>
  <c r="R182" i="83" s="1"/>
  <c r="R53" i="71" s="1"/>
  <c r="R158" i="71" s="1"/>
  <c r="R93" i="80"/>
  <c r="R105" i="80" s="1"/>
  <c r="R93" i="83"/>
  <c r="R181" i="83" s="1"/>
  <c r="R52" i="71" s="1"/>
  <c r="R157" i="71" s="1"/>
  <c r="R111" i="83"/>
  <c r="R216" i="83" s="1"/>
  <c r="R88" i="71" s="1"/>
  <c r="R193" i="71" s="1"/>
  <c r="R121" i="80"/>
  <c r="R133" i="80" s="1"/>
  <c r="AD22" i="71"/>
  <c r="AD127" i="71" s="1"/>
  <c r="V124" i="80"/>
  <c r="V136" i="80" s="1"/>
  <c r="V114" i="83"/>
  <c r="V219" i="83" s="1"/>
  <c r="V91" i="71" s="1"/>
  <c r="V196" i="71" s="1"/>
  <c r="V112" i="83"/>
  <c r="V217" i="83" s="1"/>
  <c r="V89" i="71" s="1"/>
  <c r="V194" i="71" s="1"/>
  <c r="V122" i="80"/>
  <c r="V134" i="80" s="1"/>
  <c r="V118" i="80"/>
  <c r="V130" i="80" s="1"/>
  <c r="V108" i="83"/>
  <c r="V213" i="83" s="1"/>
  <c r="V85" i="71" s="1"/>
  <c r="V190" i="71" s="1"/>
  <c r="V110" i="83"/>
  <c r="V215" i="83" s="1"/>
  <c r="V87" i="71" s="1"/>
  <c r="V192" i="71" s="1"/>
  <c r="V120" i="80"/>
  <c r="V132" i="80" s="1"/>
  <c r="AA270" i="73" l="1"/>
  <c r="AA33" i="74" s="1"/>
  <c r="AA78" i="74" s="1"/>
  <c r="U269" i="73"/>
  <c r="U32" i="74" s="1"/>
  <c r="U77" i="74" s="1"/>
  <c r="Q268" i="73"/>
  <c r="Q31" i="74" s="1"/>
  <c r="Q76" i="74" s="1"/>
  <c r="Q106" i="74" s="1"/>
  <c r="S269" i="73"/>
  <c r="S32" i="74" s="1"/>
  <c r="S77" i="74" s="1"/>
  <c r="R270" i="73"/>
  <c r="R33" i="74" s="1"/>
  <c r="R78" i="74" s="1"/>
  <c r="R108" i="74" s="1"/>
  <c r="R140" i="74" s="1"/>
  <c r="X268" i="73"/>
  <c r="X31" i="74" s="1"/>
  <c r="X76" i="74" s="1"/>
  <c r="R196" i="73"/>
  <c r="S200" i="73"/>
  <c r="L200" i="73"/>
  <c r="W200" i="73"/>
  <c r="AB120" i="53"/>
  <c r="P268" i="73"/>
  <c r="P31" i="74" s="1"/>
  <c r="P76" i="74" s="1"/>
  <c r="P106" i="74" s="1"/>
  <c r="P138" i="74" s="1"/>
  <c r="AA198" i="73"/>
  <c r="Z198" i="73"/>
  <c r="Y270" i="73"/>
  <c r="Y33" i="74" s="1"/>
  <c r="Y78" i="74" s="1"/>
  <c r="Y120" i="53"/>
  <c r="M268" i="73"/>
  <c r="M31" i="74" s="1"/>
  <c r="M76" i="74" s="1"/>
  <c r="L196" i="73"/>
  <c r="Q270" i="73"/>
  <c r="Q33" i="74" s="1"/>
  <c r="Q78" i="74" s="1"/>
  <c r="Q108" i="74" s="1"/>
  <c r="AB197" i="73"/>
  <c r="N194" i="73"/>
  <c r="P270" i="73"/>
  <c r="P33" i="74" s="1"/>
  <c r="P78" i="74" s="1"/>
  <c r="P108" i="74" s="1"/>
  <c r="P140" i="74" s="1"/>
  <c r="N200" i="73"/>
  <c r="U200" i="73"/>
  <c r="T200" i="73"/>
  <c r="Q195" i="73"/>
  <c r="X266" i="73"/>
  <c r="X29" i="74" s="1"/>
  <c r="X74" i="74" s="1"/>
  <c r="M195" i="73"/>
  <c r="M270" i="73"/>
  <c r="M33" i="74" s="1"/>
  <c r="M78" i="74" s="1"/>
  <c r="K270" i="73"/>
  <c r="K33" i="74" s="1"/>
  <c r="K78" i="74" s="1"/>
  <c r="AB270" i="73"/>
  <c r="AB33" i="74" s="1"/>
  <c r="AB78" i="74" s="1"/>
  <c r="O270" i="73"/>
  <c r="O33" i="74" s="1"/>
  <c r="O78" i="74" s="1"/>
  <c r="J264" i="73"/>
  <c r="J27" i="74" s="1"/>
  <c r="J72" i="74" s="1"/>
  <c r="T270" i="83"/>
  <c r="J270" i="73"/>
  <c r="J33" i="74" s="1"/>
  <c r="J78" i="74" s="1"/>
  <c r="Z270" i="73"/>
  <c r="Z33" i="74" s="1"/>
  <c r="Z78" i="74" s="1"/>
  <c r="Z194" i="73"/>
  <c r="W198" i="73"/>
  <c r="P197" i="73"/>
  <c r="M266" i="73"/>
  <c r="M29" i="74" s="1"/>
  <c r="M74" i="74" s="1"/>
  <c r="X200" i="73"/>
  <c r="R194" i="73"/>
  <c r="K195" i="73"/>
  <c r="Q196" i="73"/>
  <c r="Q267" i="73"/>
  <c r="Q30" i="74" s="1"/>
  <c r="Q75" i="74" s="1"/>
  <c r="Q105" i="74" s="1"/>
  <c r="W266" i="73"/>
  <c r="W29" i="74" s="1"/>
  <c r="W74" i="74" s="1"/>
  <c r="M264" i="73"/>
  <c r="M27" i="74" s="1"/>
  <c r="M72" i="74" s="1"/>
  <c r="V270" i="73"/>
  <c r="V33" i="74" s="1"/>
  <c r="V78" i="74" s="1"/>
  <c r="L198" i="73"/>
  <c r="AA199" i="73"/>
  <c r="AB196" i="73"/>
  <c r="O268" i="73"/>
  <c r="O31" i="74" s="1"/>
  <c r="O76" i="74" s="1"/>
  <c r="Y196" i="73"/>
  <c r="L194" i="73"/>
  <c r="AB199" i="73"/>
  <c r="S196" i="73"/>
  <c r="R198" i="73"/>
  <c r="X265" i="73"/>
  <c r="X28" i="74" s="1"/>
  <c r="X73" i="74" s="1"/>
  <c r="Q269" i="73"/>
  <c r="Q32" i="74" s="1"/>
  <c r="Q77" i="74" s="1"/>
  <c r="Q107" i="74" s="1"/>
  <c r="V269" i="73"/>
  <c r="V32" i="74" s="1"/>
  <c r="V77" i="74" s="1"/>
  <c r="V194" i="73"/>
  <c r="S383" i="53"/>
  <c r="N195" i="73"/>
  <c r="S268" i="73"/>
  <c r="S31" i="74" s="1"/>
  <c r="S76" i="74" s="1"/>
  <c r="AA266" i="73"/>
  <c r="AA29" i="74" s="1"/>
  <c r="AA74" i="74" s="1"/>
  <c r="J198" i="73"/>
  <c r="U265" i="73"/>
  <c r="U28" i="74" s="1"/>
  <c r="U73" i="74" s="1"/>
  <c r="J266" i="73"/>
  <c r="J29" i="74" s="1"/>
  <c r="J74" i="74" s="1"/>
  <c r="W265" i="73"/>
  <c r="W28" i="74" s="1"/>
  <c r="W73" i="74" s="1"/>
  <c r="R195" i="73"/>
  <c r="H407" i="53"/>
  <c r="H413" i="53"/>
  <c r="N266" i="73"/>
  <c r="N29" i="74" s="1"/>
  <c r="N74" i="74" s="1"/>
  <c r="H411" i="53"/>
  <c r="AB265" i="73"/>
  <c r="AB28" i="74" s="1"/>
  <c r="AB73" i="74" s="1"/>
  <c r="V266" i="73"/>
  <c r="V29" i="74" s="1"/>
  <c r="V74" i="74" s="1"/>
  <c r="H415" i="53"/>
  <c r="P264" i="73"/>
  <c r="P27" i="74" s="1"/>
  <c r="P72" i="74" s="1"/>
  <c r="P102" i="74" s="1"/>
  <c r="P134" i="74" s="1"/>
  <c r="L265" i="73"/>
  <c r="L28" i="74" s="1"/>
  <c r="L73" i="74" s="1"/>
  <c r="H412" i="53"/>
  <c r="M199" i="73"/>
  <c r="H409" i="53"/>
  <c r="T196" i="73"/>
  <c r="K196" i="73"/>
  <c r="H414" i="53"/>
  <c r="N350" i="53"/>
  <c r="H408" i="53"/>
  <c r="H410" i="53"/>
  <c r="U196" i="73"/>
  <c r="P199" i="73"/>
  <c r="AA194" i="73"/>
  <c r="AA265" i="73"/>
  <c r="AA28" i="74" s="1"/>
  <c r="AA73" i="74" s="1"/>
  <c r="T268" i="73"/>
  <c r="T31" i="74" s="1"/>
  <c r="T76" i="74" s="1"/>
  <c r="P266" i="73"/>
  <c r="P29" i="74" s="1"/>
  <c r="P74" i="74" s="1"/>
  <c r="P104" i="74" s="1"/>
  <c r="P136" i="74" s="1"/>
  <c r="J195" i="73"/>
  <c r="Y269" i="73"/>
  <c r="Y32" i="74" s="1"/>
  <c r="Y77" i="74" s="1"/>
  <c r="O266" i="73"/>
  <c r="O29" i="74" s="1"/>
  <c r="O74" i="74" s="1"/>
  <c r="Y268" i="73"/>
  <c r="Y31" i="74" s="1"/>
  <c r="Y76" i="74" s="1"/>
  <c r="Z196" i="73"/>
  <c r="Y195" i="73"/>
  <c r="T340" i="53"/>
  <c r="T351" i="53" s="1"/>
  <c r="T338" i="53"/>
  <c r="T349" i="53" s="1"/>
  <c r="N267" i="73"/>
  <c r="N30" i="74" s="1"/>
  <c r="N75" i="74" s="1"/>
  <c r="S194" i="73"/>
  <c r="U198" i="73"/>
  <c r="N198" i="73"/>
  <c r="M267" i="73"/>
  <c r="M30" i="74" s="1"/>
  <c r="M75" i="74" s="1"/>
  <c r="P265" i="73"/>
  <c r="P28" i="74" s="1"/>
  <c r="P73" i="74" s="1"/>
  <c r="P103" i="74" s="1"/>
  <c r="P135" i="74" s="1"/>
  <c r="K264" i="73"/>
  <c r="K27" i="74" s="1"/>
  <c r="K72" i="74" s="1"/>
  <c r="Q194" i="73"/>
  <c r="X199" i="73"/>
  <c r="L199" i="73"/>
  <c r="Y264" i="73"/>
  <c r="Y27" i="74" s="1"/>
  <c r="Y72" i="74" s="1"/>
  <c r="Y197" i="73"/>
  <c r="T194" i="73"/>
  <c r="J197" i="73"/>
  <c r="V195" i="73"/>
  <c r="K268" i="73"/>
  <c r="K31" i="74" s="1"/>
  <c r="K76" i="74" s="1"/>
  <c r="U194" i="73"/>
  <c r="AB194" i="73"/>
  <c r="Z195" i="73"/>
  <c r="T269" i="73"/>
  <c r="T32" i="74" s="1"/>
  <c r="T77" i="74" s="1"/>
  <c r="K269" i="73"/>
  <c r="K32" i="74" s="1"/>
  <c r="K77" i="74" s="1"/>
  <c r="S267" i="73"/>
  <c r="S30" i="74" s="1"/>
  <c r="S75" i="74" s="1"/>
  <c r="X194" i="73"/>
  <c r="W199" i="73"/>
  <c r="AB268" i="73"/>
  <c r="AB31" i="74" s="1"/>
  <c r="AB76" i="74" s="1"/>
  <c r="O199" i="73"/>
  <c r="S265" i="73"/>
  <c r="S28" i="74" s="1"/>
  <c r="S73" i="74" s="1"/>
  <c r="N269" i="73"/>
  <c r="N32" i="74" s="1"/>
  <c r="N77" i="74" s="1"/>
  <c r="W150" i="80"/>
  <c r="W208" i="80" s="1"/>
  <c r="V268" i="73"/>
  <c r="V31" i="74" s="1"/>
  <c r="V76" i="74" s="1"/>
  <c r="W194" i="73"/>
  <c r="V149" i="80"/>
  <c r="V175" i="80" s="1"/>
  <c r="V276" i="80" s="1"/>
  <c r="O264" i="73"/>
  <c r="O27" i="74" s="1"/>
  <c r="O72" i="74" s="1"/>
  <c r="R269" i="73"/>
  <c r="R32" i="74" s="1"/>
  <c r="R77" i="74" s="1"/>
  <c r="R107" i="74" s="1"/>
  <c r="R139" i="74" s="1"/>
  <c r="T267" i="73"/>
  <c r="T30" i="74" s="1"/>
  <c r="T75" i="74" s="1"/>
  <c r="R143" i="80"/>
  <c r="R169" i="80" s="1"/>
  <c r="R270" i="80" s="1"/>
  <c r="Z269" i="73"/>
  <c r="Z32" i="74" s="1"/>
  <c r="Z77" i="74" s="1"/>
  <c r="W142" i="80"/>
  <c r="W168" i="80" s="1"/>
  <c r="J199" i="73"/>
  <c r="U144" i="80"/>
  <c r="U170" i="80" s="1"/>
  <c r="U271" i="80" s="1"/>
  <c r="V267" i="73"/>
  <c r="V30" i="74" s="1"/>
  <c r="V75" i="74" s="1"/>
  <c r="AA197" i="73"/>
  <c r="O197" i="73"/>
  <c r="T265" i="73"/>
  <c r="T28" i="74" s="1"/>
  <c r="T73" i="74" s="1"/>
  <c r="Z267" i="73"/>
  <c r="Z30" i="74" s="1"/>
  <c r="Z75" i="74" s="1"/>
  <c r="L267" i="73"/>
  <c r="L30" i="74" s="1"/>
  <c r="L75" i="74" s="1"/>
  <c r="U197" i="73"/>
  <c r="R197" i="73"/>
  <c r="X267" i="73"/>
  <c r="X30" i="74" s="1"/>
  <c r="X75" i="74" s="1"/>
  <c r="K267" i="73"/>
  <c r="K30" i="74" s="1"/>
  <c r="K75" i="74" s="1"/>
  <c r="W197" i="73"/>
  <c r="A4" i="111"/>
  <c r="T342" i="53"/>
  <c r="T353" i="53" s="1"/>
  <c r="W147" i="80"/>
  <c r="W173" i="80" s="1"/>
  <c r="W274" i="80" s="1"/>
  <c r="T341" i="53"/>
  <c r="T352" i="53" s="1"/>
  <c r="T343" i="53"/>
  <c r="T354" i="53" s="1"/>
  <c r="T345" i="53"/>
  <c r="T356" i="53" s="1"/>
  <c r="R148" i="80"/>
  <c r="R174" i="80" s="1"/>
  <c r="R275" i="80" s="1"/>
  <c r="U143" i="80"/>
  <c r="U169" i="80" s="1"/>
  <c r="U270" i="80" s="1"/>
  <c r="U147" i="80"/>
  <c r="U173" i="80" s="1"/>
  <c r="U274" i="80" s="1"/>
  <c r="L342" i="53"/>
  <c r="L353" i="53" s="1"/>
  <c r="Q150" i="80"/>
  <c r="Q176" i="80" s="1"/>
  <c r="S340" i="53"/>
  <c r="S351" i="53" s="1"/>
  <c r="V147" i="80"/>
  <c r="V173" i="80" s="1"/>
  <c r="V274" i="80" s="1"/>
  <c r="L340" i="53"/>
  <c r="L351" i="53" s="1"/>
  <c r="S339" i="53"/>
  <c r="S350" i="53" s="1"/>
  <c r="Q148" i="80"/>
  <c r="Q174" i="80" s="1"/>
  <c r="Q275" i="80" s="1"/>
  <c r="L341" i="53"/>
  <c r="L352" i="53" s="1"/>
  <c r="R145" i="80"/>
  <c r="R171" i="80" s="1"/>
  <c r="R272" i="80" s="1"/>
  <c r="S342" i="53"/>
  <c r="S353" i="53" s="1"/>
  <c r="R150" i="80"/>
  <c r="R208" i="80" s="1"/>
  <c r="L338" i="53"/>
  <c r="L349" i="53" s="1"/>
  <c r="S341" i="53"/>
  <c r="S352" i="53" s="1"/>
  <c r="L344" i="53"/>
  <c r="L355" i="53" s="1"/>
  <c r="S338" i="53"/>
  <c r="S349" i="53" s="1"/>
  <c r="L343" i="53"/>
  <c r="L354" i="53" s="1"/>
  <c r="S346" i="53"/>
  <c r="S357" i="53" s="1"/>
  <c r="T298" i="53"/>
  <c r="T294" i="53"/>
  <c r="T310" i="53"/>
  <c r="T305" i="53"/>
  <c r="T299" i="53"/>
  <c r="T316" i="53"/>
  <c r="T309" i="53"/>
  <c r="T320" i="53"/>
  <c r="T321" i="53"/>
  <c r="T300" i="53"/>
  <c r="T307" i="53"/>
  <c r="T317" i="53"/>
  <c r="T319" i="53"/>
  <c r="T293" i="53"/>
  <c r="T295" i="53"/>
  <c r="T297" i="53"/>
  <c r="T315" i="53"/>
  <c r="T306" i="53"/>
  <c r="T304" i="53"/>
  <c r="T323" i="53"/>
  <c r="T308" i="53"/>
  <c r="T312" i="53"/>
  <c r="T322" i="53"/>
  <c r="T318" i="53"/>
  <c r="T311" i="53"/>
  <c r="T301" i="53"/>
  <c r="T296" i="53"/>
  <c r="T384" i="53"/>
  <c r="T432" i="53" s="1"/>
  <c r="T385" i="53"/>
  <c r="T433" i="53" s="1"/>
  <c r="T390" i="53"/>
  <c r="T387" i="53"/>
  <c r="T391" i="53"/>
  <c r="T388" i="53"/>
  <c r="T436" i="53" s="1"/>
  <c r="T383" i="53"/>
  <c r="T389" i="53"/>
  <c r="T386" i="53"/>
  <c r="R147" i="80"/>
  <c r="R173" i="80" s="1"/>
  <c r="R274" i="80" s="1"/>
  <c r="S345" i="53"/>
  <c r="S356" i="53" s="1"/>
  <c r="R146" i="80"/>
  <c r="R172" i="80" s="1"/>
  <c r="R273" i="80" s="1"/>
  <c r="S385" i="53"/>
  <c r="S422" i="53" s="1"/>
  <c r="P73" i="80"/>
  <c r="P85" i="80" s="1"/>
  <c r="P85" i="83"/>
  <c r="P156" i="83" s="1"/>
  <c r="P26" i="71" s="1"/>
  <c r="P131" i="71" s="1"/>
  <c r="P87" i="83"/>
  <c r="P158" i="83" s="1"/>
  <c r="P28" i="71" s="1"/>
  <c r="P133" i="71" s="1"/>
  <c r="P75" i="80"/>
  <c r="P87" i="80" s="1"/>
  <c r="P99" i="83"/>
  <c r="P187" i="83" s="1"/>
  <c r="P58" i="71" s="1"/>
  <c r="P163" i="71" s="1"/>
  <c r="P98" i="80"/>
  <c r="P110" i="80" s="1"/>
  <c r="U142" i="80"/>
  <c r="U168" i="80" s="1"/>
  <c r="Q145" i="80"/>
  <c r="Q171" i="80" s="1"/>
  <c r="Q272" i="80" s="1"/>
  <c r="R149" i="80"/>
  <c r="R175" i="80" s="1"/>
  <c r="R276" i="80" s="1"/>
  <c r="U145" i="80"/>
  <c r="U171" i="80" s="1"/>
  <c r="U272" i="80" s="1"/>
  <c r="Q143" i="80"/>
  <c r="Q169" i="80" s="1"/>
  <c r="Q270" i="80" s="1"/>
  <c r="V146" i="80"/>
  <c r="V172" i="80" s="1"/>
  <c r="V273" i="80" s="1"/>
  <c r="V148" i="80"/>
  <c r="V174" i="80" s="1"/>
  <c r="V275" i="80" s="1"/>
  <c r="S391" i="53"/>
  <c r="P109" i="83"/>
  <c r="P214" i="83" s="1"/>
  <c r="P86" i="71" s="1"/>
  <c r="P191" i="71" s="1"/>
  <c r="P119" i="80"/>
  <c r="P131" i="80" s="1"/>
  <c r="P74" i="80"/>
  <c r="P86" i="80" s="1"/>
  <c r="P86" i="83"/>
  <c r="P157" i="83" s="1"/>
  <c r="P27" i="71" s="1"/>
  <c r="P132" i="71" s="1"/>
  <c r="P95" i="83"/>
  <c r="P183" i="83" s="1"/>
  <c r="P54" i="71" s="1"/>
  <c r="P159" i="71" s="1"/>
  <c r="P94" i="80"/>
  <c r="P106" i="80" s="1"/>
  <c r="X312" i="53"/>
  <c r="X528" i="53" s="1"/>
  <c r="X295" i="53"/>
  <c r="X511" i="53" s="1"/>
  <c r="X310" i="53"/>
  <c r="X526" i="53" s="1"/>
  <c r="X321" i="53"/>
  <c r="X537" i="53" s="1"/>
  <c r="X317" i="53"/>
  <c r="X533" i="53" s="1"/>
  <c r="X306" i="53"/>
  <c r="X522" i="53" s="1"/>
  <c r="X301" i="53"/>
  <c r="X517" i="53" s="1"/>
  <c r="X299" i="53"/>
  <c r="X515" i="53" s="1"/>
  <c r="X318" i="53"/>
  <c r="X534" i="53" s="1"/>
  <c r="X323" i="53"/>
  <c r="X539" i="53" s="1"/>
  <c r="X316" i="53"/>
  <c r="X532" i="53" s="1"/>
  <c r="X307" i="53"/>
  <c r="X523" i="53" s="1"/>
  <c r="X293" i="53"/>
  <c r="X509" i="53" s="1"/>
  <c r="X296" i="53"/>
  <c r="X512" i="53" s="1"/>
  <c r="X294" i="53"/>
  <c r="X510" i="53" s="1"/>
  <c r="X309" i="53"/>
  <c r="X525" i="53" s="1"/>
  <c r="X305" i="53"/>
  <c r="X521" i="53" s="1"/>
  <c r="X315" i="53"/>
  <c r="X531" i="53" s="1"/>
  <c r="X298" i="53"/>
  <c r="X514" i="53" s="1"/>
  <c r="X320" i="53"/>
  <c r="X536" i="53" s="1"/>
  <c r="X304" i="53"/>
  <c r="X520" i="53" s="1"/>
  <c r="X300" i="53"/>
  <c r="X516" i="53" s="1"/>
  <c r="X308" i="53"/>
  <c r="X524" i="53" s="1"/>
  <c r="X297" i="53"/>
  <c r="X513" i="53" s="1"/>
  <c r="X311" i="53"/>
  <c r="X527" i="53" s="1"/>
  <c r="X322" i="53"/>
  <c r="X538" i="53" s="1"/>
  <c r="X319" i="53"/>
  <c r="X535" i="53" s="1"/>
  <c r="Q144" i="80"/>
  <c r="Q170" i="80" s="1"/>
  <c r="Q271" i="80" s="1"/>
  <c r="S387" i="53"/>
  <c r="S390" i="53"/>
  <c r="P89" i="83"/>
  <c r="P160" i="83" s="1"/>
  <c r="P30" i="71" s="1"/>
  <c r="P135" i="71" s="1"/>
  <c r="P77" i="80"/>
  <c r="P89" i="80" s="1"/>
  <c r="P71" i="80"/>
  <c r="P83" i="80" s="1"/>
  <c r="P83" i="83"/>
  <c r="P154" i="83" s="1"/>
  <c r="P24" i="71" s="1"/>
  <c r="P129" i="71" s="1"/>
  <c r="P118" i="80"/>
  <c r="P130" i="80" s="1"/>
  <c r="P108" i="83"/>
  <c r="P213" i="83" s="1"/>
  <c r="P85" i="71" s="1"/>
  <c r="P190" i="71" s="1"/>
  <c r="U22" i="71"/>
  <c r="U127" i="71" s="1"/>
  <c r="Q22" i="71"/>
  <c r="Q127" i="71" s="1"/>
  <c r="R144" i="80"/>
  <c r="R170" i="80" s="1"/>
  <c r="R271" i="80" s="1"/>
  <c r="W143" i="80"/>
  <c r="W169" i="80" s="1"/>
  <c r="W270" i="80" s="1"/>
  <c r="Y321" i="53"/>
  <c r="Y537" i="53" s="1"/>
  <c r="Y317" i="53"/>
  <c r="Y533" i="53" s="1"/>
  <c r="Y295" i="53"/>
  <c r="Y511" i="53" s="1"/>
  <c r="Y312" i="53"/>
  <c r="Y528" i="53" s="1"/>
  <c r="Y299" i="53"/>
  <c r="Y515" i="53" s="1"/>
  <c r="Y306" i="53"/>
  <c r="Y522" i="53" s="1"/>
  <c r="Y323" i="53"/>
  <c r="Y539" i="53" s="1"/>
  <c r="Y310" i="53"/>
  <c r="Y526" i="53" s="1"/>
  <c r="Y301" i="53"/>
  <c r="Y517" i="53" s="1"/>
  <c r="Y294" i="53"/>
  <c r="Y510" i="53" s="1"/>
  <c r="Y298" i="53"/>
  <c r="Y514" i="53" s="1"/>
  <c r="Y315" i="53"/>
  <c r="Y531" i="53" s="1"/>
  <c r="Y318" i="53"/>
  <c r="Y534" i="53" s="1"/>
  <c r="Y305" i="53"/>
  <c r="Y521" i="53" s="1"/>
  <c r="Y307" i="53"/>
  <c r="Y523" i="53" s="1"/>
  <c r="Y309" i="53"/>
  <c r="Y525" i="53" s="1"/>
  <c r="Y320" i="53"/>
  <c r="Y536" i="53" s="1"/>
  <c r="Y293" i="53"/>
  <c r="Y509" i="53" s="1"/>
  <c r="Y316" i="53"/>
  <c r="Y532" i="53" s="1"/>
  <c r="Y296" i="53"/>
  <c r="Y512" i="53" s="1"/>
  <c r="Y304" i="53"/>
  <c r="Y520" i="53" s="1"/>
  <c r="Y319" i="53"/>
  <c r="Y535" i="53" s="1"/>
  <c r="Y322" i="53"/>
  <c r="Y538" i="53" s="1"/>
  <c r="Y297" i="53"/>
  <c r="Y513" i="53" s="1"/>
  <c r="Y300" i="53"/>
  <c r="Y516" i="53" s="1"/>
  <c r="Y308" i="53"/>
  <c r="Y524" i="53" s="1"/>
  <c r="Y311" i="53"/>
  <c r="Y527" i="53" s="1"/>
  <c r="W149" i="80"/>
  <c r="W175" i="80" s="1"/>
  <c r="W276" i="80" s="1"/>
  <c r="P100" i="83"/>
  <c r="P188" i="83" s="1"/>
  <c r="P59" i="71" s="1"/>
  <c r="P164" i="71" s="1"/>
  <c r="P99" i="80"/>
  <c r="P111" i="80" s="1"/>
  <c r="P124" i="80"/>
  <c r="P136" i="80" s="1"/>
  <c r="P114" i="83"/>
  <c r="P219" i="83" s="1"/>
  <c r="P91" i="71" s="1"/>
  <c r="P196" i="71" s="1"/>
  <c r="P72" i="80"/>
  <c r="P84" i="80" s="1"/>
  <c r="P84" i="83"/>
  <c r="P155" i="83" s="1"/>
  <c r="P25" i="71" s="1"/>
  <c r="P130" i="71" s="1"/>
  <c r="P98" i="83"/>
  <c r="P186" i="83" s="1"/>
  <c r="P57" i="71" s="1"/>
  <c r="P162" i="71" s="1"/>
  <c r="P97" i="80"/>
  <c r="P109" i="80" s="1"/>
  <c r="V145" i="80"/>
  <c r="V171" i="80" s="1"/>
  <c r="V272" i="80" s="1"/>
  <c r="Q149" i="80"/>
  <c r="Q175" i="80" s="1"/>
  <c r="Q276" i="80" s="1"/>
  <c r="W22" i="71"/>
  <c r="W127" i="71" s="1"/>
  <c r="AA306" i="53"/>
  <c r="AA522" i="53" s="1"/>
  <c r="AA309" i="53"/>
  <c r="AA525" i="53" s="1"/>
  <c r="AA320" i="53"/>
  <c r="AA536" i="53" s="1"/>
  <c r="AA321" i="53"/>
  <c r="AA537" i="53" s="1"/>
  <c r="AA310" i="53"/>
  <c r="AA526" i="53" s="1"/>
  <c r="AA299" i="53"/>
  <c r="AA515" i="53" s="1"/>
  <c r="AA312" i="53"/>
  <c r="AA528" i="53" s="1"/>
  <c r="AA298" i="53"/>
  <c r="AA514" i="53" s="1"/>
  <c r="AA295" i="53"/>
  <c r="AA511" i="53" s="1"/>
  <c r="AA317" i="53"/>
  <c r="AA533" i="53" s="1"/>
  <c r="AA294" i="53"/>
  <c r="AA510" i="53" s="1"/>
  <c r="AA323" i="53"/>
  <c r="AA539" i="53" s="1"/>
  <c r="AA301" i="53"/>
  <c r="AA517" i="53" s="1"/>
  <c r="AA316" i="53"/>
  <c r="AA532" i="53" s="1"/>
  <c r="AA318" i="53"/>
  <c r="AA534" i="53" s="1"/>
  <c r="AA307" i="53"/>
  <c r="AA523" i="53" s="1"/>
  <c r="AA296" i="53"/>
  <c r="AA512" i="53" s="1"/>
  <c r="AA304" i="53"/>
  <c r="AA520" i="53" s="1"/>
  <c r="AA305" i="53"/>
  <c r="AA521" i="53" s="1"/>
  <c r="AA293" i="53"/>
  <c r="AA509" i="53" s="1"/>
  <c r="AA315" i="53"/>
  <c r="AA531" i="53" s="1"/>
  <c r="AA300" i="53"/>
  <c r="AA516" i="53" s="1"/>
  <c r="AA319" i="53"/>
  <c r="AA535" i="53" s="1"/>
  <c r="AA297" i="53"/>
  <c r="AA513" i="53" s="1"/>
  <c r="AA308" i="53"/>
  <c r="AA524" i="53" s="1"/>
  <c r="AA322" i="53"/>
  <c r="AA538" i="53" s="1"/>
  <c r="AA311" i="53"/>
  <c r="AA527" i="53" s="1"/>
  <c r="U150" i="80"/>
  <c r="S293" i="53"/>
  <c r="S296" i="53"/>
  <c r="S316" i="53"/>
  <c r="S315" i="53"/>
  <c r="S295" i="53"/>
  <c r="S317" i="53"/>
  <c r="S304" i="53"/>
  <c r="S318" i="53"/>
  <c r="S306" i="53"/>
  <c r="S294" i="53"/>
  <c r="S307" i="53"/>
  <c r="S305" i="53"/>
  <c r="S309" i="53"/>
  <c r="S323" i="53"/>
  <c r="S311" i="53"/>
  <c r="S300" i="53"/>
  <c r="S321" i="53"/>
  <c r="S319" i="53"/>
  <c r="S310" i="53"/>
  <c r="S301" i="53"/>
  <c r="S322" i="53"/>
  <c r="S312" i="53"/>
  <c r="S297" i="53"/>
  <c r="S299" i="53"/>
  <c r="S298" i="53"/>
  <c r="S320" i="53"/>
  <c r="S308" i="53"/>
  <c r="Q146" i="80"/>
  <c r="Q172" i="80" s="1"/>
  <c r="Q273" i="80" s="1"/>
  <c r="S389" i="53"/>
  <c r="P101" i="80"/>
  <c r="P113" i="80" s="1"/>
  <c r="P102" i="83"/>
  <c r="P190" i="83" s="1"/>
  <c r="P61" i="71" s="1"/>
  <c r="P166" i="71" s="1"/>
  <c r="P100" i="80"/>
  <c r="P112" i="80" s="1"/>
  <c r="P101" i="83"/>
  <c r="P189" i="83" s="1"/>
  <c r="P60" i="71" s="1"/>
  <c r="P165" i="71" s="1"/>
  <c r="P110" i="83"/>
  <c r="P215" i="83" s="1"/>
  <c r="P87" i="71" s="1"/>
  <c r="P192" i="71" s="1"/>
  <c r="P120" i="80"/>
  <c r="P132" i="80" s="1"/>
  <c r="P121" i="80"/>
  <c r="P133" i="80" s="1"/>
  <c r="P111" i="83"/>
  <c r="P216" i="83" s="1"/>
  <c r="P88" i="71" s="1"/>
  <c r="P193" i="71" s="1"/>
  <c r="Q142" i="80"/>
  <c r="Q168" i="80" s="1"/>
  <c r="V150" i="80"/>
  <c r="V144" i="80"/>
  <c r="V170" i="80" s="1"/>
  <c r="V271" i="80" s="1"/>
  <c r="U149" i="80"/>
  <c r="U175" i="80" s="1"/>
  <c r="U276" i="80" s="1"/>
  <c r="T344" i="53"/>
  <c r="T355" i="53" s="1"/>
  <c r="T346" i="53"/>
  <c r="T357" i="53" s="1"/>
  <c r="W148" i="80"/>
  <c r="W174" i="80" s="1"/>
  <c r="W275" i="80" s="1"/>
  <c r="L339" i="53"/>
  <c r="L350" i="53" s="1"/>
  <c r="V22" i="71"/>
  <c r="V127" i="71" s="1"/>
  <c r="Z304" i="53"/>
  <c r="Z520" i="53" s="1"/>
  <c r="Z323" i="53"/>
  <c r="Z539" i="53" s="1"/>
  <c r="Z306" i="53"/>
  <c r="Z522" i="53" s="1"/>
  <c r="Z301" i="53"/>
  <c r="Z517" i="53" s="1"/>
  <c r="Z295" i="53"/>
  <c r="Z511" i="53" s="1"/>
  <c r="Z299" i="53"/>
  <c r="Z515" i="53" s="1"/>
  <c r="Z317" i="53"/>
  <c r="Z533" i="53" s="1"/>
  <c r="Z312" i="53"/>
  <c r="Z528" i="53" s="1"/>
  <c r="Z321" i="53"/>
  <c r="Z537" i="53" s="1"/>
  <c r="Z310" i="53"/>
  <c r="Z526" i="53" s="1"/>
  <c r="Z315" i="53"/>
  <c r="Z531" i="53" s="1"/>
  <c r="Z293" i="53"/>
  <c r="Z509" i="53" s="1"/>
  <c r="Z305" i="53"/>
  <c r="Z521" i="53" s="1"/>
  <c r="Z318" i="53"/>
  <c r="Z534" i="53" s="1"/>
  <c r="Z316" i="53"/>
  <c r="Z532" i="53" s="1"/>
  <c r="Z320" i="53"/>
  <c r="Z536" i="53" s="1"/>
  <c r="Z309" i="53"/>
  <c r="Z525" i="53" s="1"/>
  <c r="Z298" i="53"/>
  <c r="Z514" i="53" s="1"/>
  <c r="Z296" i="53"/>
  <c r="Z512" i="53" s="1"/>
  <c r="Z307" i="53"/>
  <c r="Z523" i="53" s="1"/>
  <c r="Z294" i="53"/>
  <c r="Z510" i="53" s="1"/>
  <c r="Z308" i="53"/>
  <c r="Z524" i="53" s="1"/>
  <c r="Z300" i="53"/>
  <c r="Z516" i="53" s="1"/>
  <c r="Z311" i="53"/>
  <c r="Z527" i="53" s="1"/>
  <c r="Z297" i="53"/>
  <c r="Z513" i="53" s="1"/>
  <c r="Z322" i="53"/>
  <c r="Z538" i="53" s="1"/>
  <c r="Z319" i="53"/>
  <c r="Z535" i="53" s="1"/>
  <c r="S386" i="53"/>
  <c r="P113" i="83"/>
  <c r="P218" i="83" s="1"/>
  <c r="P90" i="71" s="1"/>
  <c r="P195" i="71" s="1"/>
  <c r="P123" i="80"/>
  <c r="P135" i="80" s="1"/>
  <c r="P112" i="83"/>
  <c r="P217" i="83" s="1"/>
  <c r="P89" i="71" s="1"/>
  <c r="P194" i="71" s="1"/>
  <c r="P122" i="80"/>
  <c r="P134" i="80" s="1"/>
  <c r="P106" i="83"/>
  <c r="P211" i="83" s="1"/>
  <c r="P83" i="71" s="1"/>
  <c r="P188" i="71" s="1"/>
  <c r="P105" i="83"/>
  <c r="P210" i="83" s="1"/>
  <c r="P82" i="71" s="1"/>
  <c r="P187" i="71" s="1"/>
  <c r="P116" i="80"/>
  <c r="P128" i="80" s="1"/>
  <c r="P107" i="83"/>
  <c r="P212" i="83" s="1"/>
  <c r="P84" i="71" s="1"/>
  <c r="P189" i="71" s="1"/>
  <c r="P117" i="80"/>
  <c r="P129" i="80" s="1"/>
  <c r="R22" i="71"/>
  <c r="R127" i="71" s="1"/>
  <c r="W145" i="80"/>
  <c r="W171" i="80" s="1"/>
  <c r="W272" i="80" s="1"/>
  <c r="L316" i="53"/>
  <c r="L319" i="53"/>
  <c r="L317" i="53"/>
  <c r="L295" i="53"/>
  <c r="L309" i="53"/>
  <c r="L296" i="53"/>
  <c r="L298" i="53"/>
  <c r="L294" i="53"/>
  <c r="L308" i="53"/>
  <c r="L306" i="53"/>
  <c r="L297" i="53"/>
  <c r="L307" i="53"/>
  <c r="L320" i="53"/>
  <c r="L318" i="53"/>
  <c r="L322" i="53"/>
  <c r="L305" i="53"/>
  <c r="L310" i="53"/>
  <c r="L304" i="53"/>
  <c r="L321" i="53"/>
  <c r="L293" i="53"/>
  <c r="L315" i="53"/>
  <c r="L300" i="53"/>
  <c r="L312" i="53"/>
  <c r="L311" i="53"/>
  <c r="L301" i="53"/>
  <c r="L323" i="53"/>
  <c r="L299" i="53"/>
  <c r="V142" i="80"/>
  <c r="V168" i="80" s="1"/>
  <c r="AB318" i="53"/>
  <c r="AB534" i="53" s="1"/>
  <c r="AB305" i="53"/>
  <c r="AB521" i="53" s="1"/>
  <c r="AB321" i="53"/>
  <c r="AB537" i="53" s="1"/>
  <c r="AB315" i="53"/>
  <c r="AB531" i="53" s="1"/>
  <c r="AB310" i="53"/>
  <c r="AB526" i="53" s="1"/>
  <c r="AB312" i="53"/>
  <c r="AB528" i="53" s="1"/>
  <c r="AB306" i="53"/>
  <c r="AB522" i="53" s="1"/>
  <c r="AB323" i="53"/>
  <c r="AB539" i="53" s="1"/>
  <c r="AB307" i="53"/>
  <c r="AB523" i="53" s="1"/>
  <c r="AB304" i="53"/>
  <c r="AB520" i="53" s="1"/>
  <c r="AB316" i="53"/>
  <c r="AB532" i="53" s="1"/>
  <c r="AB317" i="53"/>
  <c r="AB533" i="53" s="1"/>
  <c r="AB296" i="53"/>
  <c r="AB512" i="53" s="1"/>
  <c r="AB309" i="53"/>
  <c r="AB525" i="53" s="1"/>
  <c r="AB294" i="53"/>
  <c r="AB510" i="53" s="1"/>
  <c r="AB301" i="53"/>
  <c r="AB517" i="53" s="1"/>
  <c r="AB298" i="53"/>
  <c r="AB514" i="53" s="1"/>
  <c r="AB295" i="53"/>
  <c r="AB511" i="53" s="1"/>
  <c r="AB299" i="53"/>
  <c r="AB515" i="53" s="1"/>
  <c r="AB293" i="53"/>
  <c r="AB509" i="53" s="1"/>
  <c r="AB320" i="53"/>
  <c r="AB536" i="53" s="1"/>
  <c r="AB311" i="53"/>
  <c r="AB527" i="53" s="1"/>
  <c r="AB300" i="53"/>
  <c r="AB516" i="53" s="1"/>
  <c r="AB308" i="53"/>
  <c r="AB524" i="53" s="1"/>
  <c r="AB297" i="53"/>
  <c r="AB513" i="53" s="1"/>
  <c r="AB322" i="53"/>
  <c r="AB538" i="53" s="1"/>
  <c r="AB319" i="53"/>
  <c r="AB535" i="53" s="1"/>
  <c r="S343" i="53"/>
  <c r="S354" i="53" s="1"/>
  <c r="S384" i="53"/>
  <c r="S421" i="53" s="1"/>
  <c r="P90" i="83"/>
  <c r="P161" i="83" s="1"/>
  <c r="P31" i="71" s="1"/>
  <c r="P136" i="71" s="1"/>
  <c r="P78" i="80"/>
  <c r="P90" i="80" s="1"/>
  <c r="P88" i="83"/>
  <c r="P159" i="83" s="1"/>
  <c r="P29" i="71" s="1"/>
  <c r="P134" i="71" s="1"/>
  <c r="P76" i="80"/>
  <c r="P88" i="80" s="1"/>
  <c r="P96" i="83"/>
  <c r="P184" i="83" s="1"/>
  <c r="P55" i="71" s="1"/>
  <c r="P160" i="71" s="1"/>
  <c r="P95" i="80"/>
  <c r="P107" i="80" s="1"/>
  <c r="Q147" i="80"/>
  <c r="Q173" i="80" s="1"/>
  <c r="Q274" i="80" s="1"/>
  <c r="W144" i="80"/>
  <c r="W170" i="80" s="1"/>
  <c r="W271" i="80" s="1"/>
  <c r="S254" i="83"/>
  <c r="S264" i="83" s="1"/>
  <c r="S269" i="83" s="1"/>
  <c r="J90" i="53"/>
  <c r="J120" i="53" s="1"/>
  <c r="J122" i="53" s="1"/>
  <c r="U148" i="80"/>
  <c r="U174" i="80" s="1"/>
  <c r="U275" i="80" s="1"/>
  <c r="L345" i="53"/>
  <c r="L356" i="53" s="1"/>
  <c r="S344" i="53"/>
  <c r="S355" i="53" s="1"/>
  <c r="U146" i="80"/>
  <c r="U172" i="80" s="1"/>
  <c r="U273" i="80" s="1"/>
  <c r="V143" i="80"/>
  <c r="V169" i="80" s="1"/>
  <c r="V270" i="80" s="1"/>
  <c r="S388" i="53"/>
  <c r="S425" i="53" s="1"/>
  <c r="P96" i="80"/>
  <c r="P108" i="80" s="1"/>
  <c r="P97" i="83"/>
  <c r="P185" i="83" s="1"/>
  <c r="P56" i="71" s="1"/>
  <c r="P161" i="71" s="1"/>
  <c r="P81" i="83"/>
  <c r="P152" i="83" s="1"/>
  <c r="P82" i="83"/>
  <c r="P153" i="83" s="1"/>
  <c r="P23" i="71" s="1"/>
  <c r="P128" i="71" s="1"/>
  <c r="P70" i="80"/>
  <c r="P82" i="80" s="1"/>
  <c r="P93" i="83"/>
  <c r="P181" i="83" s="1"/>
  <c r="P52" i="71" s="1"/>
  <c r="P157" i="71" s="1"/>
  <c r="P94" i="83"/>
  <c r="P182" i="83" s="1"/>
  <c r="P53" i="71" s="1"/>
  <c r="P158" i="71" s="1"/>
  <c r="P93" i="80"/>
  <c r="P105" i="80" s="1"/>
  <c r="R142" i="80"/>
  <c r="R168" i="80" s="1"/>
  <c r="W146" i="80"/>
  <c r="W172" i="80" s="1"/>
  <c r="W273" i="80" s="1"/>
  <c r="S253" i="83"/>
  <c r="S263" i="83" s="1"/>
  <c r="S268" i="83" s="1"/>
  <c r="T437" i="53" l="1"/>
  <c r="K108" i="74"/>
  <c r="K140" i="74" s="1"/>
  <c r="N108" i="74"/>
  <c r="N140" i="74" s="1"/>
  <c r="J108" i="74"/>
  <c r="J140" i="74" s="1"/>
  <c r="S108" i="74"/>
  <c r="S140" i="74" s="1"/>
  <c r="M108" i="74"/>
  <c r="M140" i="74" s="1"/>
  <c r="T108" i="74"/>
  <c r="T140" i="74" s="1"/>
  <c r="J104" i="74"/>
  <c r="J136" i="74" s="1"/>
  <c r="AB108" i="74"/>
  <c r="AB140" i="74" s="1"/>
  <c r="AN108" i="74"/>
  <c r="AN140" i="74" s="1"/>
  <c r="AI108" i="74"/>
  <c r="AI140" i="74" s="1"/>
  <c r="AO108" i="74"/>
  <c r="AO140" i="74" s="1"/>
  <c r="AL108" i="74"/>
  <c r="AL140" i="74" s="1"/>
  <c r="L108" i="74"/>
  <c r="L140" i="74" s="1"/>
  <c r="W108" i="74"/>
  <c r="W140" i="74" s="1"/>
  <c r="X108" i="74"/>
  <c r="X140" i="74" s="1"/>
  <c r="AG108" i="74"/>
  <c r="AG140" i="74" s="1"/>
  <c r="AJ108" i="74"/>
  <c r="AJ140" i="74" s="1"/>
  <c r="AA108" i="74"/>
  <c r="AA140" i="74" s="1"/>
  <c r="AE108" i="74"/>
  <c r="AE140" i="74" s="1"/>
  <c r="V108" i="74"/>
  <c r="V140" i="74" s="1"/>
  <c r="Z108" i="74"/>
  <c r="Z140" i="74" s="1"/>
  <c r="AC108" i="74"/>
  <c r="AC140" i="74" s="1"/>
  <c r="AM108" i="74"/>
  <c r="AM140" i="74" s="1"/>
  <c r="AF108" i="74"/>
  <c r="AF140" i="74" s="1"/>
  <c r="U108" i="74"/>
  <c r="U140" i="74" s="1"/>
  <c r="AH108" i="74"/>
  <c r="AH140" i="74" s="1"/>
  <c r="AK108" i="74"/>
  <c r="AK140" i="74" s="1"/>
  <c r="AP108" i="74"/>
  <c r="AP140" i="74" s="1"/>
  <c r="O108" i="74"/>
  <c r="O140" i="74" s="1"/>
  <c r="AD108" i="74"/>
  <c r="AD140" i="74" s="1"/>
  <c r="Y108" i="74"/>
  <c r="Y140" i="74" s="1"/>
  <c r="T435" i="53"/>
  <c r="T446" i="53" s="1"/>
  <c r="M468" i="53" s="1"/>
  <c r="M492" i="53" s="1"/>
  <c r="S270" i="83"/>
  <c r="J102" i="74"/>
  <c r="J134" i="74" s="1"/>
  <c r="AL107" i="74"/>
  <c r="AL139" i="74" s="1"/>
  <c r="J103" i="74"/>
  <c r="J135" i="74" s="1"/>
  <c r="N103" i="74"/>
  <c r="N135" i="74" s="1"/>
  <c r="AP104" i="74"/>
  <c r="AP136" i="74" s="1"/>
  <c r="N106" i="74"/>
  <c r="N138" i="74" s="1"/>
  <c r="S103" i="74"/>
  <c r="S135" i="74" s="1"/>
  <c r="T431" i="53"/>
  <c r="T442" i="53" s="1"/>
  <c r="M464" i="53" s="1"/>
  <c r="M488" i="53" s="1"/>
  <c r="S106" i="74"/>
  <c r="S138" i="74" s="1"/>
  <c r="K106" i="74"/>
  <c r="K138" i="74" s="1"/>
  <c r="T106" i="74"/>
  <c r="T138" i="74" s="1"/>
  <c r="M106" i="74"/>
  <c r="M138" i="74" s="1"/>
  <c r="J106" i="74"/>
  <c r="J138" i="74" s="1"/>
  <c r="T103" i="74"/>
  <c r="T135" i="74" s="1"/>
  <c r="AD104" i="74"/>
  <c r="AD136" i="74" s="1"/>
  <c r="K104" i="74"/>
  <c r="K136" i="74" s="1"/>
  <c r="M104" i="74"/>
  <c r="M136" i="74" s="1"/>
  <c r="S104" i="74"/>
  <c r="S136" i="74" s="1"/>
  <c r="T104" i="74"/>
  <c r="T136" i="74" s="1"/>
  <c r="N104" i="74"/>
  <c r="N136" i="74" s="1"/>
  <c r="K103" i="74"/>
  <c r="K135" i="74" s="1"/>
  <c r="AL104" i="74"/>
  <c r="AL136" i="74" s="1"/>
  <c r="M103" i="74"/>
  <c r="M135" i="74" s="1"/>
  <c r="AE103" i="74"/>
  <c r="AE135" i="74" s="1"/>
  <c r="AJ104" i="74"/>
  <c r="AJ136" i="74" s="1"/>
  <c r="X104" i="74"/>
  <c r="X136" i="74" s="1"/>
  <c r="AM104" i="74"/>
  <c r="AM136" i="74" s="1"/>
  <c r="AB104" i="74"/>
  <c r="AB136" i="74" s="1"/>
  <c r="AN104" i="74"/>
  <c r="AN136" i="74" s="1"/>
  <c r="Y104" i="74"/>
  <c r="Y136" i="74" s="1"/>
  <c r="AH104" i="74"/>
  <c r="AH136" i="74" s="1"/>
  <c r="AO104" i="74"/>
  <c r="AO136" i="74" s="1"/>
  <c r="AK104" i="74"/>
  <c r="AK136" i="74" s="1"/>
  <c r="W104" i="74"/>
  <c r="W136" i="74" s="1"/>
  <c r="O104" i="74"/>
  <c r="O136" i="74" s="1"/>
  <c r="AA104" i="74"/>
  <c r="AA136" i="74" s="1"/>
  <c r="V104" i="74"/>
  <c r="V136" i="74" s="1"/>
  <c r="AI104" i="74"/>
  <c r="AI136" i="74" s="1"/>
  <c r="U104" i="74"/>
  <c r="U136" i="74" s="1"/>
  <c r="L104" i="74"/>
  <c r="L136" i="74" s="1"/>
  <c r="AE104" i="74"/>
  <c r="AE136" i="74" s="1"/>
  <c r="AO106" i="74"/>
  <c r="AO138" i="74" s="1"/>
  <c r="Z104" i="74"/>
  <c r="Z136" i="74" s="1"/>
  <c r="X103" i="74"/>
  <c r="X135" i="74" s="1"/>
  <c r="AC104" i="74"/>
  <c r="AC136" i="74" s="1"/>
  <c r="S105" i="74"/>
  <c r="S137" i="74" s="1"/>
  <c r="T439" i="53"/>
  <c r="T450" i="53" s="1"/>
  <c r="W106" i="74"/>
  <c r="W138" i="74" s="1"/>
  <c r="AC106" i="74"/>
  <c r="AC138" i="74" s="1"/>
  <c r="V106" i="74"/>
  <c r="V138" i="74" s="1"/>
  <c r="AA106" i="74"/>
  <c r="AA138" i="74" s="1"/>
  <c r="AE106" i="74"/>
  <c r="AE138" i="74" s="1"/>
  <c r="W176" i="80"/>
  <c r="Y106" i="74"/>
  <c r="Y138" i="74" s="1"/>
  <c r="M102" i="74"/>
  <c r="M134" i="74" s="1"/>
  <c r="AF106" i="74"/>
  <c r="AF138" i="74" s="1"/>
  <c r="N102" i="74"/>
  <c r="N134" i="74" s="1"/>
  <c r="AB106" i="74"/>
  <c r="AB138" i="74" s="1"/>
  <c r="T102" i="74"/>
  <c r="T134" i="74" s="1"/>
  <c r="K102" i="74"/>
  <c r="K134" i="74" s="1"/>
  <c r="AN106" i="74"/>
  <c r="AN138" i="74" s="1"/>
  <c r="AJ106" i="74"/>
  <c r="AJ138" i="74" s="1"/>
  <c r="AC102" i="74"/>
  <c r="AC134" i="74" s="1"/>
  <c r="L106" i="74"/>
  <c r="L138" i="74" s="1"/>
  <c r="AI106" i="74"/>
  <c r="AI138" i="74" s="1"/>
  <c r="AK106" i="74"/>
  <c r="AK138" i="74" s="1"/>
  <c r="T434" i="53"/>
  <c r="T445" i="53" s="1"/>
  <c r="O467" i="53" s="1"/>
  <c r="O491" i="53" s="1"/>
  <c r="AG102" i="74"/>
  <c r="AG134" i="74" s="1"/>
  <c r="AN102" i="74"/>
  <c r="AN134" i="74" s="1"/>
  <c r="T438" i="53"/>
  <c r="T449" i="53" s="1"/>
  <c r="AF104" i="74"/>
  <c r="AF136" i="74" s="1"/>
  <c r="AD106" i="74"/>
  <c r="AD138" i="74" s="1"/>
  <c r="T443" i="53"/>
  <c r="N465" i="53" s="1"/>
  <c r="N489" i="53" s="1"/>
  <c r="S102" i="74"/>
  <c r="S134" i="74" s="1"/>
  <c r="AG104" i="74"/>
  <c r="AG136" i="74" s="1"/>
  <c r="AM106" i="74"/>
  <c r="AM138" i="74" s="1"/>
  <c r="AP102" i="74"/>
  <c r="AP134" i="74" s="1"/>
  <c r="AG106" i="74"/>
  <c r="AG138" i="74" s="1"/>
  <c r="N105" i="74"/>
  <c r="N137" i="74" s="1"/>
  <c r="Y102" i="74"/>
  <c r="Y134" i="74" s="1"/>
  <c r="AM102" i="74"/>
  <c r="AM134" i="74" s="1"/>
  <c r="T107" i="74"/>
  <c r="T139" i="74" s="1"/>
  <c r="X102" i="74"/>
  <c r="X134" i="74" s="1"/>
  <c r="AK102" i="74"/>
  <c r="AK134" i="74" s="1"/>
  <c r="AA102" i="74"/>
  <c r="AA134" i="74" s="1"/>
  <c r="T105" i="74"/>
  <c r="T137" i="74" s="1"/>
  <c r="AJ102" i="74"/>
  <c r="AJ134" i="74" s="1"/>
  <c r="AL102" i="74"/>
  <c r="AL134" i="74" s="1"/>
  <c r="V102" i="74"/>
  <c r="V134" i="74" s="1"/>
  <c r="Z102" i="74"/>
  <c r="Z134" i="74" s="1"/>
  <c r="U106" i="74"/>
  <c r="U138" i="74" s="1"/>
  <c r="AH102" i="74"/>
  <c r="AH134" i="74" s="1"/>
  <c r="W102" i="74"/>
  <c r="W134" i="74" s="1"/>
  <c r="O102" i="74"/>
  <c r="O134" i="74" s="1"/>
  <c r="AF102" i="74"/>
  <c r="AF134" i="74" s="1"/>
  <c r="AB102" i="74"/>
  <c r="AB134" i="74" s="1"/>
  <c r="AO102" i="74"/>
  <c r="AO134" i="74" s="1"/>
  <c r="AI102" i="74"/>
  <c r="AI134" i="74" s="1"/>
  <c r="AD102" i="74"/>
  <c r="AD134" i="74" s="1"/>
  <c r="U102" i="74"/>
  <c r="U134" i="74" s="1"/>
  <c r="AE102" i="74"/>
  <c r="AE134" i="74" s="1"/>
  <c r="L102" i="74"/>
  <c r="L134" i="74" s="1"/>
  <c r="AM107" i="74"/>
  <c r="AM139" i="74" s="1"/>
  <c r="AN103" i="74"/>
  <c r="AN135" i="74" s="1"/>
  <c r="J105" i="74"/>
  <c r="J137" i="74" s="1"/>
  <c r="K105" i="74"/>
  <c r="K137" i="74" s="1"/>
  <c r="M105" i="74"/>
  <c r="M137" i="74" s="1"/>
  <c r="S107" i="74"/>
  <c r="S139" i="74" s="1"/>
  <c r="AL106" i="74"/>
  <c r="AL138" i="74" s="1"/>
  <c r="O106" i="74"/>
  <c r="O138" i="74" s="1"/>
  <c r="M107" i="74"/>
  <c r="M139" i="74" s="1"/>
  <c r="AH106" i="74"/>
  <c r="AH138" i="74" s="1"/>
  <c r="AP106" i="74"/>
  <c r="AP138" i="74" s="1"/>
  <c r="AA107" i="74"/>
  <c r="AA139" i="74" s="1"/>
  <c r="AB103" i="74"/>
  <c r="AB135" i="74" s="1"/>
  <c r="AM103" i="74"/>
  <c r="AM135" i="74" s="1"/>
  <c r="AF107" i="74"/>
  <c r="AF139" i="74" s="1"/>
  <c r="AP103" i="74"/>
  <c r="AP135" i="74" s="1"/>
  <c r="AN107" i="74"/>
  <c r="AN139" i="74" s="1"/>
  <c r="W103" i="74"/>
  <c r="W135" i="74" s="1"/>
  <c r="Z107" i="74"/>
  <c r="Z139" i="74" s="1"/>
  <c r="O107" i="74"/>
  <c r="O139" i="74" s="1"/>
  <c r="V103" i="74"/>
  <c r="V135" i="74" s="1"/>
  <c r="AC107" i="74"/>
  <c r="AC139" i="74" s="1"/>
  <c r="X107" i="74"/>
  <c r="X139" i="74" s="1"/>
  <c r="L107" i="74"/>
  <c r="L139" i="74" s="1"/>
  <c r="AA103" i="74"/>
  <c r="AA135" i="74" s="1"/>
  <c r="AD103" i="74"/>
  <c r="AD135" i="74" s="1"/>
  <c r="L103" i="74"/>
  <c r="L135" i="74" s="1"/>
  <c r="U107" i="74"/>
  <c r="U139" i="74" s="1"/>
  <c r="AE107" i="74"/>
  <c r="AE139" i="74" s="1"/>
  <c r="AJ103" i="74"/>
  <c r="AJ135" i="74" s="1"/>
  <c r="V107" i="74"/>
  <c r="V139" i="74" s="1"/>
  <c r="AL103" i="74"/>
  <c r="AL135" i="74" s="1"/>
  <c r="AG107" i="74"/>
  <c r="AG139" i="74" s="1"/>
  <c r="AF103" i="74"/>
  <c r="AF135" i="74" s="1"/>
  <c r="AH105" i="74"/>
  <c r="AH137" i="74" s="1"/>
  <c r="AI107" i="74"/>
  <c r="AI139" i="74" s="1"/>
  <c r="AK103" i="74"/>
  <c r="AK135" i="74" s="1"/>
  <c r="T447" i="53"/>
  <c r="N469" i="53" s="1"/>
  <c r="N493" i="53" s="1"/>
  <c r="AB107" i="74"/>
  <c r="AB139" i="74" s="1"/>
  <c r="U103" i="74"/>
  <c r="U135" i="74" s="1"/>
  <c r="J107" i="74"/>
  <c r="J139" i="74" s="1"/>
  <c r="AH107" i="74"/>
  <c r="AH139" i="74" s="1"/>
  <c r="Y107" i="74"/>
  <c r="Y139" i="74" s="1"/>
  <c r="O103" i="74"/>
  <c r="O135" i="74" s="1"/>
  <c r="N107" i="74"/>
  <c r="N139" i="74" s="1"/>
  <c r="AO107" i="74"/>
  <c r="AO139" i="74" s="1"/>
  <c r="AH103" i="74"/>
  <c r="AH135" i="74" s="1"/>
  <c r="K107" i="74"/>
  <c r="K139" i="74" s="1"/>
  <c r="W107" i="74"/>
  <c r="W139" i="74" s="1"/>
  <c r="AC103" i="74"/>
  <c r="AC135" i="74" s="1"/>
  <c r="T444" i="53"/>
  <c r="T477" i="53" s="1"/>
  <c r="T490" i="53" s="1"/>
  <c r="T533" i="53" s="1"/>
  <c r="AG103" i="74"/>
  <c r="AG135" i="74" s="1"/>
  <c r="AP107" i="74"/>
  <c r="AP139" i="74" s="1"/>
  <c r="AI103" i="74"/>
  <c r="AI135" i="74" s="1"/>
  <c r="AK107" i="74"/>
  <c r="AK139" i="74" s="1"/>
  <c r="Z103" i="74"/>
  <c r="Z135" i="74" s="1"/>
  <c r="Z106" i="74"/>
  <c r="Z138" i="74" s="1"/>
  <c r="AD107" i="74"/>
  <c r="AD139" i="74" s="1"/>
  <c r="AJ107" i="74"/>
  <c r="AJ139" i="74" s="1"/>
  <c r="Y103" i="74"/>
  <c r="Y135" i="74" s="1"/>
  <c r="X106" i="74"/>
  <c r="X138" i="74" s="1"/>
  <c r="AO103" i="74"/>
  <c r="AO135" i="74" s="1"/>
  <c r="W177" i="80"/>
  <c r="AP105" i="74"/>
  <c r="AP137" i="74" s="1"/>
  <c r="U105" i="74"/>
  <c r="U137" i="74" s="1"/>
  <c r="V105" i="74"/>
  <c r="V137" i="74" s="1"/>
  <c r="AJ105" i="74"/>
  <c r="AJ137" i="74" s="1"/>
  <c r="Y105" i="74"/>
  <c r="Y137" i="74" s="1"/>
  <c r="AA105" i="74"/>
  <c r="AA137" i="74" s="1"/>
  <c r="AO105" i="74"/>
  <c r="AO137" i="74" s="1"/>
  <c r="AL105" i="74"/>
  <c r="AL137" i="74" s="1"/>
  <c r="AM105" i="74"/>
  <c r="AM137" i="74" s="1"/>
  <c r="AF105" i="74"/>
  <c r="AF137" i="74" s="1"/>
  <c r="AI105" i="74"/>
  <c r="AI137" i="74" s="1"/>
  <c r="AD105" i="74"/>
  <c r="AD137" i="74" s="1"/>
  <c r="AC105" i="74"/>
  <c r="AC137" i="74" s="1"/>
  <c r="AB105" i="74"/>
  <c r="AB137" i="74" s="1"/>
  <c r="Z105" i="74"/>
  <c r="Z137" i="74" s="1"/>
  <c r="O105" i="74"/>
  <c r="O137" i="74" s="1"/>
  <c r="AG105" i="74"/>
  <c r="AG137" i="74" s="1"/>
  <c r="AE105" i="74"/>
  <c r="AE137" i="74" s="1"/>
  <c r="AK105" i="74"/>
  <c r="AK137" i="74" s="1"/>
  <c r="X105" i="74"/>
  <c r="X137" i="74" s="1"/>
  <c r="AN105" i="74"/>
  <c r="AN137" i="74" s="1"/>
  <c r="L105" i="74"/>
  <c r="L137" i="74" s="1"/>
  <c r="W105" i="74"/>
  <c r="W137" i="74" s="1"/>
  <c r="W269" i="80"/>
  <c r="Q208" i="80"/>
  <c r="P143" i="80"/>
  <c r="P169" i="80" s="1"/>
  <c r="P270" i="80" s="1"/>
  <c r="R176" i="80"/>
  <c r="R177" i="80" s="1"/>
  <c r="P148" i="80"/>
  <c r="P174" i="80" s="1"/>
  <c r="P275" i="80" s="1"/>
  <c r="P150" i="80"/>
  <c r="P208" i="80" s="1"/>
  <c r="AB84" i="83"/>
  <c r="AB155" i="83" s="1"/>
  <c r="AB25" i="71" s="1"/>
  <c r="AB130" i="71" s="1"/>
  <c r="AB72" i="80"/>
  <c r="AB84" i="80" s="1"/>
  <c r="AB95" i="83"/>
  <c r="AB183" i="83" s="1"/>
  <c r="AB54" i="71" s="1"/>
  <c r="AB159" i="71" s="1"/>
  <c r="AB94" i="80"/>
  <c r="AB106" i="80" s="1"/>
  <c r="Z86" i="83"/>
  <c r="Z157" i="83" s="1"/>
  <c r="Z27" i="71" s="1"/>
  <c r="Z132" i="71" s="1"/>
  <c r="Z74" i="80"/>
  <c r="Z86" i="80" s="1"/>
  <c r="Z99" i="83"/>
  <c r="Z187" i="83" s="1"/>
  <c r="Z58" i="71" s="1"/>
  <c r="Z163" i="71" s="1"/>
  <c r="Z98" i="80"/>
  <c r="Z110" i="80" s="1"/>
  <c r="Z112" i="83"/>
  <c r="Z217" i="83" s="1"/>
  <c r="Z89" i="71" s="1"/>
  <c r="Z194" i="71" s="1"/>
  <c r="Z122" i="80"/>
  <c r="Z134" i="80" s="1"/>
  <c r="Z93" i="80"/>
  <c r="Z105" i="80" s="1"/>
  <c r="Z93" i="83"/>
  <c r="Z181" i="83" s="1"/>
  <c r="Z52" i="71" s="1"/>
  <c r="Z157" i="71" s="1"/>
  <c r="Z94" i="83"/>
  <c r="Z182" i="83" s="1"/>
  <c r="Z53" i="71" s="1"/>
  <c r="Z158" i="71" s="1"/>
  <c r="U208" i="80"/>
  <c r="U176" i="80"/>
  <c r="U177" i="80" s="1"/>
  <c r="AA82" i="83"/>
  <c r="AA153" i="83" s="1"/>
  <c r="AA23" i="71" s="1"/>
  <c r="AA128" i="71" s="1"/>
  <c r="AA81" i="83"/>
  <c r="AA152" i="83" s="1"/>
  <c r="AA70" i="80"/>
  <c r="AA82" i="80" s="1"/>
  <c r="AA114" i="83"/>
  <c r="AA219" i="83" s="1"/>
  <c r="AA91" i="71" s="1"/>
  <c r="AA196" i="71" s="1"/>
  <c r="AA124" i="80"/>
  <c r="AA136" i="80" s="1"/>
  <c r="AA112" i="83"/>
  <c r="AA217" i="83" s="1"/>
  <c r="AA89" i="71" s="1"/>
  <c r="AA194" i="71" s="1"/>
  <c r="AA122" i="80"/>
  <c r="AA134" i="80" s="1"/>
  <c r="Y110" i="83"/>
  <c r="Y215" i="83" s="1"/>
  <c r="Y87" i="71" s="1"/>
  <c r="Y192" i="71" s="1"/>
  <c r="Y120" i="80"/>
  <c r="Y132" i="80" s="1"/>
  <c r="Y95" i="83"/>
  <c r="Y183" i="83" s="1"/>
  <c r="Y54" i="71" s="1"/>
  <c r="Y159" i="71" s="1"/>
  <c r="Y94" i="80"/>
  <c r="Y106" i="80" s="1"/>
  <c r="Y95" i="80"/>
  <c r="Y107" i="80" s="1"/>
  <c r="Y96" i="83"/>
  <c r="Y184" i="83" s="1"/>
  <c r="Y55" i="71" s="1"/>
  <c r="Y160" i="71" s="1"/>
  <c r="X121" i="80"/>
  <c r="X133" i="80" s="1"/>
  <c r="X111" i="83"/>
  <c r="X216" i="83" s="1"/>
  <c r="X88" i="71" s="1"/>
  <c r="X193" i="71" s="1"/>
  <c r="X97" i="83"/>
  <c r="X185" i="83" s="1"/>
  <c r="X56" i="71" s="1"/>
  <c r="X161" i="71" s="1"/>
  <c r="X96" i="80"/>
  <c r="X108" i="80" s="1"/>
  <c r="X122" i="80"/>
  <c r="X134" i="80" s="1"/>
  <c r="X112" i="83"/>
  <c r="X217" i="83" s="1"/>
  <c r="X89" i="71" s="1"/>
  <c r="X194" i="71" s="1"/>
  <c r="U269" i="80"/>
  <c r="AB112" i="83"/>
  <c r="AB217" i="83" s="1"/>
  <c r="AB89" i="71" s="1"/>
  <c r="AB194" i="71" s="1"/>
  <c r="AB122" i="80"/>
  <c r="AB134" i="80" s="1"/>
  <c r="AA100" i="83"/>
  <c r="AA188" i="83" s="1"/>
  <c r="AA59" i="71" s="1"/>
  <c r="AA164" i="71" s="1"/>
  <c r="AA99" i="80"/>
  <c r="AA111" i="80" s="1"/>
  <c r="X93" i="80"/>
  <c r="X105" i="80" s="1"/>
  <c r="X93" i="83"/>
  <c r="X181" i="83" s="1"/>
  <c r="X52" i="71" s="1"/>
  <c r="X157" i="71" s="1"/>
  <c r="X94" i="83"/>
  <c r="X182" i="83" s="1"/>
  <c r="X53" i="71" s="1"/>
  <c r="X158" i="71" s="1"/>
  <c r="AB123" i="80"/>
  <c r="AB135" i="80" s="1"/>
  <c r="AB113" i="83"/>
  <c r="AB218" i="83" s="1"/>
  <c r="AB90" i="71" s="1"/>
  <c r="AB195" i="71" s="1"/>
  <c r="AB93" i="83"/>
  <c r="AB181" i="83" s="1"/>
  <c r="AB52" i="71" s="1"/>
  <c r="AB157" i="71" s="1"/>
  <c r="AB94" i="83"/>
  <c r="AB182" i="83" s="1"/>
  <c r="AB53" i="71" s="1"/>
  <c r="AB158" i="71" s="1"/>
  <c r="AB93" i="80"/>
  <c r="AB105" i="80" s="1"/>
  <c r="AB86" i="83"/>
  <c r="AB157" i="83" s="1"/>
  <c r="AB27" i="71" s="1"/>
  <c r="AB132" i="71" s="1"/>
  <c r="AB74" i="80"/>
  <c r="AB86" i="80" s="1"/>
  <c r="AB75" i="80"/>
  <c r="AB87" i="80" s="1"/>
  <c r="AB87" i="83"/>
  <c r="AB158" i="83" s="1"/>
  <c r="AB28" i="71" s="1"/>
  <c r="AB133" i="71" s="1"/>
  <c r="AB97" i="83"/>
  <c r="AB185" i="83" s="1"/>
  <c r="AB56" i="71" s="1"/>
  <c r="AB161" i="71" s="1"/>
  <c r="AB96" i="80"/>
  <c r="AB108" i="80" s="1"/>
  <c r="AB109" i="83"/>
  <c r="AB214" i="83" s="1"/>
  <c r="AB86" i="71" s="1"/>
  <c r="AB191" i="71" s="1"/>
  <c r="AB119" i="80"/>
  <c r="AB131" i="80" s="1"/>
  <c r="Z101" i="83"/>
  <c r="Z189" i="83" s="1"/>
  <c r="Z60" i="71" s="1"/>
  <c r="Z165" i="71" s="1"/>
  <c r="Z100" i="80"/>
  <c r="Z112" i="80" s="1"/>
  <c r="Z121" i="80"/>
  <c r="Z133" i="80" s="1"/>
  <c r="Z111" i="83"/>
  <c r="Z216" i="83" s="1"/>
  <c r="Z88" i="71" s="1"/>
  <c r="Z193" i="71" s="1"/>
  <c r="Z101" i="80"/>
  <c r="Z113" i="80" s="1"/>
  <c r="Z102" i="83"/>
  <c r="Z190" i="83" s="1"/>
  <c r="Z61" i="71" s="1"/>
  <c r="Z166" i="71" s="1"/>
  <c r="AA100" i="80"/>
  <c r="AA112" i="80" s="1"/>
  <c r="AA101" i="83"/>
  <c r="AA189" i="83" s="1"/>
  <c r="AA60" i="71" s="1"/>
  <c r="AA165" i="71" s="1"/>
  <c r="AA95" i="83"/>
  <c r="AA183" i="83" s="1"/>
  <c r="AA54" i="71" s="1"/>
  <c r="AA159" i="71" s="1"/>
  <c r="AA94" i="80"/>
  <c r="AA106" i="80" s="1"/>
  <c r="AA71" i="80"/>
  <c r="AA83" i="80" s="1"/>
  <c r="AA83" i="83"/>
  <c r="AA154" i="83" s="1"/>
  <c r="AA24" i="71" s="1"/>
  <c r="AA129" i="71" s="1"/>
  <c r="AA111" i="83"/>
  <c r="AA216" i="83" s="1"/>
  <c r="AA88" i="71" s="1"/>
  <c r="AA193" i="71" s="1"/>
  <c r="AA121" i="80"/>
  <c r="AA133" i="80" s="1"/>
  <c r="Y93" i="83"/>
  <c r="Y181" i="83" s="1"/>
  <c r="Y52" i="71" s="1"/>
  <c r="Y157" i="71" s="1"/>
  <c r="Y94" i="83"/>
  <c r="Y182" i="83" s="1"/>
  <c r="Y53" i="71" s="1"/>
  <c r="Y158" i="71" s="1"/>
  <c r="Y93" i="80"/>
  <c r="Y105" i="80" s="1"/>
  <c r="Y109" i="83"/>
  <c r="Y214" i="83" s="1"/>
  <c r="Y86" i="71" s="1"/>
  <c r="Y191" i="71" s="1"/>
  <c r="Y119" i="80"/>
  <c r="Y131" i="80" s="1"/>
  <c r="Y76" i="80"/>
  <c r="Y88" i="80" s="1"/>
  <c r="Y88" i="83"/>
  <c r="Y159" i="83" s="1"/>
  <c r="Y29" i="71" s="1"/>
  <c r="Y134" i="71" s="1"/>
  <c r="X110" i="83"/>
  <c r="X215" i="83" s="1"/>
  <c r="X87" i="71" s="1"/>
  <c r="X192" i="71" s="1"/>
  <c r="X120" i="80"/>
  <c r="X132" i="80" s="1"/>
  <c r="X87" i="83"/>
  <c r="X158" i="83" s="1"/>
  <c r="X28" i="71" s="1"/>
  <c r="X133" i="71" s="1"/>
  <c r="X75" i="80"/>
  <c r="X87" i="80" s="1"/>
  <c r="X107" i="83"/>
  <c r="X212" i="83" s="1"/>
  <c r="X84" i="71" s="1"/>
  <c r="X189" i="71" s="1"/>
  <c r="X117" i="80"/>
  <c r="X129" i="80" s="1"/>
  <c r="X100" i="83"/>
  <c r="X188" i="83" s="1"/>
  <c r="X59" i="71" s="1"/>
  <c r="X164" i="71" s="1"/>
  <c r="X99" i="80"/>
  <c r="X111" i="80" s="1"/>
  <c r="AB88" i="83"/>
  <c r="AB159" i="83" s="1"/>
  <c r="AB29" i="71" s="1"/>
  <c r="AB134" i="71" s="1"/>
  <c r="AB76" i="80"/>
  <c r="AB88" i="80" s="1"/>
  <c r="Z113" i="83"/>
  <c r="Z218" i="83" s="1"/>
  <c r="Z90" i="71" s="1"/>
  <c r="Z195" i="71" s="1"/>
  <c r="Z123" i="80"/>
  <c r="Z135" i="80" s="1"/>
  <c r="Z114" i="83"/>
  <c r="Z219" i="83" s="1"/>
  <c r="Z91" i="71" s="1"/>
  <c r="Z196" i="71" s="1"/>
  <c r="Z124" i="80"/>
  <c r="Z136" i="80" s="1"/>
  <c r="Y114" i="83"/>
  <c r="Y219" i="83" s="1"/>
  <c r="Y91" i="71" s="1"/>
  <c r="Y196" i="71" s="1"/>
  <c r="Y124" i="80"/>
  <c r="Y136" i="80" s="1"/>
  <c r="AB78" i="80"/>
  <c r="AB90" i="80" s="1"/>
  <c r="AB90" i="83"/>
  <c r="AB161" i="83" s="1"/>
  <c r="AB31" i="71" s="1"/>
  <c r="AB136" i="71" s="1"/>
  <c r="AB124" i="80"/>
  <c r="AB136" i="80" s="1"/>
  <c r="AB114" i="83"/>
  <c r="AB219" i="83" s="1"/>
  <c r="AB91" i="71" s="1"/>
  <c r="AB196" i="71" s="1"/>
  <c r="Z77" i="80"/>
  <c r="Z89" i="80" s="1"/>
  <c r="Z89" i="83"/>
  <c r="Z160" i="83" s="1"/>
  <c r="Z30" i="71" s="1"/>
  <c r="Z135" i="71" s="1"/>
  <c r="Z107" i="83"/>
  <c r="Z212" i="83" s="1"/>
  <c r="Z84" i="71" s="1"/>
  <c r="Z189" i="71" s="1"/>
  <c r="Z117" i="80"/>
  <c r="Z129" i="80" s="1"/>
  <c r="Z108" i="83"/>
  <c r="Z213" i="83" s="1"/>
  <c r="Z85" i="71" s="1"/>
  <c r="Z190" i="71" s="1"/>
  <c r="Z118" i="80"/>
  <c r="Z130" i="80" s="1"/>
  <c r="AA113" i="83"/>
  <c r="AA218" i="83" s="1"/>
  <c r="AA90" i="71" s="1"/>
  <c r="AA195" i="71" s="1"/>
  <c r="AA123" i="80"/>
  <c r="AA135" i="80" s="1"/>
  <c r="AA93" i="83"/>
  <c r="AA181" i="83" s="1"/>
  <c r="AA52" i="71" s="1"/>
  <c r="AA157" i="71" s="1"/>
  <c r="AA94" i="83"/>
  <c r="AA182" i="83" s="1"/>
  <c r="AA53" i="71" s="1"/>
  <c r="AA158" i="71" s="1"/>
  <c r="AA93" i="80"/>
  <c r="AA105" i="80" s="1"/>
  <c r="AA108" i="83"/>
  <c r="AA213" i="83" s="1"/>
  <c r="AA85" i="71" s="1"/>
  <c r="AA190" i="71" s="1"/>
  <c r="AA118" i="80"/>
  <c r="AA130" i="80" s="1"/>
  <c r="AA99" i="83"/>
  <c r="AA187" i="83" s="1"/>
  <c r="AA58" i="71" s="1"/>
  <c r="AA163" i="71" s="1"/>
  <c r="AA98" i="80"/>
  <c r="AA110" i="80" s="1"/>
  <c r="Y73" i="80"/>
  <c r="Y85" i="80" s="1"/>
  <c r="Y85" i="83"/>
  <c r="Y156" i="83" s="1"/>
  <c r="Y26" i="71" s="1"/>
  <c r="Y131" i="71" s="1"/>
  <c r="Y105" i="83"/>
  <c r="Y210" i="83" s="1"/>
  <c r="Y82" i="71" s="1"/>
  <c r="Y187" i="71" s="1"/>
  <c r="Y106" i="83"/>
  <c r="Y211" i="83" s="1"/>
  <c r="Y83" i="71" s="1"/>
  <c r="Y188" i="71" s="1"/>
  <c r="Y116" i="80"/>
  <c r="Y128" i="80" s="1"/>
  <c r="Y101" i="80"/>
  <c r="Y113" i="80" s="1"/>
  <c r="Y102" i="83"/>
  <c r="Y190" i="83" s="1"/>
  <c r="Y61" i="71" s="1"/>
  <c r="Y166" i="71" s="1"/>
  <c r="X113" i="83"/>
  <c r="X218" i="83" s="1"/>
  <c r="X90" i="71" s="1"/>
  <c r="X195" i="71" s="1"/>
  <c r="X123" i="80"/>
  <c r="X135" i="80" s="1"/>
  <c r="X105" i="83"/>
  <c r="X210" i="83" s="1"/>
  <c r="X82" i="71" s="1"/>
  <c r="X187" i="71" s="1"/>
  <c r="X106" i="83"/>
  <c r="X211" i="83" s="1"/>
  <c r="X83" i="71" s="1"/>
  <c r="X188" i="71" s="1"/>
  <c r="X116" i="80"/>
  <c r="X128" i="80" s="1"/>
  <c r="X114" i="83"/>
  <c r="X219" i="83" s="1"/>
  <c r="X91" i="71" s="1"/>
  <c r="X196" i="71" s="1"/>
  <c r="X124" i="80"/>
  <c r="X136" i="80" s="1"/>
  <c r="X84" i="83"/>
  <c r="X155" i="83" s="1"/>
  <c r="X25" i="71" s="1"/>
  <c r="X130" i="71" s="1"/>
  <c r="X72" i="80"/>
  <c r="X84" i="80" s="1"/>
  <c r="T448" i="53"/>
  <c r="AB77" i="80"/>
  <c r="AB89" i="80" s="1"/>
  <c r="AB89" i="83"/>
  <c r="AB160" i="83" s="1"/>
  <c r="AB30" i="71" s="1"/>
  <c r="AB135" i="71" s="1"/>
  <c r="AB83" i="83"/>
  <c r="AB154" i="83" s="1"/>
  <c r="AB24" i="71" s="1"/>
  <c r="AB129" i="71" s="1"/>
  <c r="AB71" i="80"/>
  <c r="AB83" i="80" s="1"/>
  <c r="AB96" i="83"/>
  <c r="AB184" i="83" s="1"/>
  <c r="AB55" i="71" s="1"/>
  <c r="AB160" i="71" s="1"/>
  <c r="AB95" i="80"/>
  <c r="AB107" i="80" s="1"/>
  <c r="Z97" i="80"/>
  <c r="Z109" i="80" s="1"/>
  <c r="Z98" i="83"/>
  <c r="Z186" i="83" s="1"/>
  <c r="Z57" i="71" s="1"/>
  <c r="Z162" i="71" s="1"/>
  <c r="Z109" i="83"/>
  <c r="Z214" i="83" s="1"/>
  <c r="Z86" i="71" s="1"/>
  <c r="Z191" i="71" s="1"/>
  <c r="Z119" i="80"/>
  <c r="Z131" i="80" s="1"/>
  <c r="Z88" i="83"/>
  <c r="Z159" i="83" s="1"/>
  <c r="Z29" i="71" s="1"/>
  <c r="Z134" i="71" s="1"/>
  <c r="Z76" i="80"/>
  <c r="Z88" i="80" s="1"/>
  <c r="V208" i="80"/>
  <c r="V176" i="80"/>
  <c r="V177" i="80" s="1"/>
  <c r="AA98" i="83"/>
  <c r="AA186" i="83" s="1"/>
  <c r="AA57" i="71" s="1"/>
  <c r="AA162" i="71" s="1"/>
  <c r="AA97" i="80"/>
  <c r="AA109" i="80" s="1"/>
  <c r="AA85" i="83"/>
  <c r="AA156" i="83" s="1"/>
  <c r="AA26" i="71" s="1"/>
  <c r="AA131" i="71" s="1"/>
  <c r="AA73" i="80"/>
  <c r="AA85" i="80" s="1"/>
  <c r="AA72" i="80"/>
  <c r="AA84" i="80" s="1"/>
  <c r="AA84" i="83"/>
  <c r="AA155" i="83" s="1"/>
  <c r="AA25" i="71" s="1"/>
  <c r="AA130" i="71" s="1"/>
  <c r="AA96" i="83"/>
  <c r="AA184" i="83" s="1"/>
  <c r="AA55" i="71" s="1"/>
  <c r="AA160" i="71" s="1"/>
  <c r="AA95" i="80"/>
  <c r="AA107" i="80" s="1"/>
  <c r="Y101" i="83"/>
  <c r="Y189" i="83" s="1"/>
  <c r="Y60" i="71" s="1"/>
  <c r="Y165" i="71" s="1"/>
  <c r="Y100" i="80"/>
  <c r="Y112" i="80" s="1"/>
  <c r="Y117" i="80"/>
  <c r="Y129" i="80" s="1"/>
  <c r="Y107" i="83"/>
  <c r="Y212" i="83" s="1"/>
  <c r="Y84" i="71" s="1"/>
  <c r="Y189" i="71" s="1"/>
  <c r="Y87" i="83"/>
  <c r="Y158" i="83" s="1"/>
  <c r="Y28" i="71" s="1"/>
  <c r="Y133" i="71" s="1"/>
  <c r="Y75" i="80"/>
  <c r="Y87" i="80" s="1"/>
  <c r="Y84" i="83"/>
  <c r="Y155" i="83" s="1"/>
  <c r="Y25" i="71" s="1"/>
  <c r="Y130" i="71" s="1"/>
  <c r="Y72" i="80"/>
  <c r="Y84" i="80" s="1"/>
  <c r="P149" i="80"/>
  <c r="P175" i="80" s="1"/>
  <c r="P276" i="80" s="1"/>
  <c r="X100" i="80"/>
  <c r="X112" i="80" s="1"/>
  <c r="X101" i="83"/>
  <c r="X189" i="83" s="1"/>
  <c r="X60" i="71" s="1"/>
  <c r="X165" i="71" s="1"/>
  <c r="X95" i="83"/>
  <c r="X183" i="83" s="1"/>
  <c r="X54" i="71" s="1"/>
  <c r="X159" i="71" s="1"/>
  <c r="X94" i="80"/>
  <c r="X106" i="80" s="1"/>
  <c r="X119" i="80"/>
  <c r="X131" i="80" s="1"/>
  <c r="X109" i="83"/>
  <c r="X214" i="83" s="1"/>
  <c r="X86" i="71" s="1"/>
  <c r="X191" i="71" s="1"/>
  <c r="X102" i="83"/>
  <c r="X190" i="83" s="1"/>
  <c r="X61" i="71" s="1"/>
  <c r="X166" i="71" s="1"/>
  <c r="X101" i="80"/>
  <c r="X113" i="80" s="1"/>
  <c r="P147" i="80"/>
  <c r="P173" i="80" s="1"/>
  <c r="P274" i="80" s="1"/>
  <c r="X118" i="80"/>
  <c r="X130" i="80" s="1"/>
  <c r="X108" i="83"/>
  <c r="X213" i="83" s="1"/>
  <c r="X85" i="71" s="1"/>
  <c r="X190" i="71" s="1"/>
  <c r="P142" i="80"/>
  <c r="P168" i="80" s="1"/>
  <c r="V269" i="80"/>
  <c r="P22" i="71"/>
  <c r="P127" i="71" s="1"/>
  <c r="J298" i="53"/>
  <c r="J309" i="53"/>
  <c r="J316" i="53"/>
  <c r="J305" i="53"/>
  <c r="J320" i="53"/>
  <c r="J293" i="53"/>
  <c r="J301" i="53"/>
  <c r="J294" i="53"/>
  <c r="J299" i="53"/>
  <c r="J300" i="53"/>
  <c r="J296" i="53"/>
  <c r="J323" i="53"/>
  <c r="J304" i="53"/>
  <c r="J308" i="53"/>
  <c r="J295" i="53"/>
  <c r="J297" i="53"/>
  <c r="J311" i="53"/>
  <c r="J317" i="53"/>
  <c r="J318" i="53"/>
  <c r="J307" i="53"/>
  <c r="J322" i="53"/>
  <c r="J321" i="53"/>
  <c r="J312" i="53"/>
  <c r="J306" i="53"/>
  <c r="J319" i="53"/>
  <c r="J310" i="53"/>
  <c r="J315" i="53"/>
  <c r="J341" i="53"/>
  <c r="J342" i="53"/>
  <c r="J346" i="53"/>
  <c r="J339" i="53"/>
  <c r="J344" i="53"/>
  <c r="J338" i="53"/>
  <c r="J343" i="53"/>
  <c r="J345" i="53"/>
  <c r="J340" i="53"/>
  <c r="AB101" i="83"/>
  <c r="AB189" i="83" s="1"/>
  <c r="AB60" i="71" s="1"/>
  <c r="AB165" i="71" s="1"/>
  <c r="AB100" i="80"/>
  <c r="AB112" i="80" s="1"/>
  <c r="AB99" i="83"/>
  <c r="AB187" i="83" s="1"/>
  <c r="AB58" i="71" s="1"/>
  <c r="AB163" i="71" s="1"/>
  <c r="AB98" i="80"/>
  <c r="AB110" i="80" s="1"/>
  <c r="AB101" i="80"/>
  <c r="AB113" i="80" s="1"/>
  <c r="AB102" i="83"/>
  <c r="AB190" i="83" s="1"/>
  <c r="AB61" i="71" s="1"/>
  <c r="AB166" i="71" s="1"/>
  <c r="Z83" i="83"/>
  <c r="Z154" i="83" s="1"/>
  <c r="Z24" i="71" s="1"/>
  <c r="Z129" i="71" s="1"/>
  <c r="Z71" i="80"/>
  <c r="Z83" i="80" s="1"/>
  <c r="Z95" i="83"/>
  <c r="Z183" i="83" s="1"/>
  <c r="Z54" i="71" s="1"/>
  <c r="Z159" i="71" s="1"/>
  <c r="Z94" i="80"/>
  <c r="Z106" i="80" s="1"/>
  <c r="Z84" i="83"/>
  <c r="Z155" i="83" s="1"/>
  <c r="Z25" i="71" s="1"/>
  <c r="Z130" i="71" s="1"/>
  <c r="Z72" i="80"/>
  <c r="Z84" i="80" s="1"/>
  <c r="Q177" i="80"/>
  <c r="Q269" i="80"/>
  <c r="AA86" i="83"/>
  <c r="AA157" i="83" s="1"/>
  <c r="AA27" i="71" s="1"/>
  <c r="AA132" i="71" s="1"/>
  <c r="AA74" i="80"/>
  <c r="AA86" i="80" s="1"/>
  <c r="AA97" i="83"/>
  <c r="AA185" i="83" s="1"/>
  <c r="AA56" i="71" s="1"/>
  <c r="AA161" i="71" s="1"/>
  <c r="AA96" i="80"/>
  <c r="AA108" i="80" s="1"/>
  <c r="AA87" i="83"/>
  <c r="AA158" i="83" s="1"/>
  <c r="AA28" i="71" s="1"/>
  <c r="AA133" i="71" s="1"/>
  <c r="AA75" i="80"/>
  <c r="AA87" i="80" s="1"/>
  <c r="Y98" i="83"/>
  <c r="Y186" i="83" s="1"/>
  <c r="Y57" i="71" s="1"/>
  <c r="Y162" i="71" s="1"/>
  <c r="Y97" i="80"/>
  <c r="Y109" i="80" s="1"/>
  <c r="Y81" i="83"/>
  <c r="Y152" i="83" s="1"/>
  <c r="Y82" i="83"/>
  <c r="Y153" i="83" s="1"/>
  <c r="Y23" i="71" s="1"/>
  <c r="Y128" i="71" s="1"/>
  <c r="Y70" i="80"/>
  <c r="Y82" i="80" s="1"/>
  <c r="Y83" i="83"/>
  <c r="Y154" i="83" s="1"/>
  <c r="Y24" i="71" s="1"/>
  <c r="Y129" i="71" s="1"/>
  <c r="Y71" i="80"/>
  <c r="Y83" i="80" s="1"/>
  <c r="Y118" i="80"/>
  <c r="Y130" i="80" s="1"/>
  <c r="Y108" i="83"/>
  <c r="Y213" i="83" s="1"/>
  <c r="Y85" i="71" s="1"/>
  <c r="Y190" i="71" s="1"/>
  <c r="X86" i="83"/>
  <c r="X157" i="83" s="1"/>
  <c r="X27" i="71" s="1"/>
  <c r="X132" i="71" s="1"/>
  <c r="X74" i="80"/>
  <c r="X86" i="80" s="1"/>
  <c r="X98" i="80"/>
  <c r="X110" i="80" s="1"/>
  <c r="X99" i="83"/>
  <c r="X187" i="83" s="1"/>
  <c r="X58" i="71" s="1"/>
  <c r="X163" i="71" s="1"/>
  <c r="X88" i="83"/>
  <c r="X159" i="83" s="1"/>
  <c r="X29" i="71" s="1"/>
  <c r="X134" i="71" s="1"/>
  <c r="X76" i="80"/>
  <c r="X88" i="80" s="1"/>
  <c r="P146" i="80"/>
  <c r="P172" i="80" s="1"/>
  <c r="P273" i="80" s="1"/>
  <c r="AB117" i="80"/>
  <c r="AB129" i="80" s="1"/>
  <c r="AB107" i="83"/>
  <c r="AB212" i="83" s="1"/>
  <c r="AB84" i="71" s="1"/>
  <c r="AB189" i="71" s="1"/>
  <c r="Z75" i="80"/>
  <c r="Z87" i="80" s="1"/>
  <c r="Z87" i="83"/>
  <c r="Z158" i="83" s="1"/>
  <c r="Z28" i="71" s="1"/>
  <c r="Z133" i="71" s="1"/>
  <c r="AA78" i="80"/>
  <c r="AA90" i="80" s="1"/>
  <c r="AA90" i="83"/>
  <c r="AA161" i="83" s="1"/>
  <c r="AA31" i="71" s="1"/>
  <c r="AA136" i="71" s="1"/>
  <c r="Y96" i="80"/>
  <c r="Y108" i="80" s="1"/>
  <c r="Y97" i="83"/>
  <c r="Y185" i="83" s="1"/>
  <c r="Y56" i="71" s="1"/>
  <c r="Y161" i="71" s="1"/>
  <c r="AB97" i="80"/>
  <c r="AB109" i="80" s="1"/>
  <c r="AB98" i="83"/>
  <c r="AB186" i="83" s="1"/>
  <c r="AB57" i="71" s="1"/>
  <c r="AB162" i="71" s="1"/>
  <c r="AB121" i="80"/>
  <c r="AB133" i="80" s="1"/>
  <c r="AB111" i="83"/>
  <c r="AB216" i="83" s="1"/>
  <c r="AB88" i="71" s="1"/>
  <c r="AB193" i="71" s="1"/>
  <c r="AB73" i="80"/>
  <c r="AB85" i="80" s="1"/>
  <c r="AB85" i="83"/>
  <c r="AB156" i="83" s="1"/>
  <c r="AB26" i="71" s="1"/>
  <c r="AB131" i="71" s="1"/>
  <c r="AB100" i="83"/>
  <c r="AB188" i="83" s="1"/>
  <c r="AB59" i="71" s="1"/>
  <c r="AB164" i="71" s="1"/>
  <c r="AB99" i="80"/>
  <c r="AB111" i="80" s="1"/>
  <c r="Z97" i="83"/>
  <c r="Z185" i="83" s="1"/>
  <c r="Z56" i="71" s="1"/>
  <c r="Z161" i="71" s="1"/>
  <c r="Z96" i="80"/>
  <c r="Z108" i="80" s="1"/>
  <c r="Z82" i="83"/>
  <c r="Z153" i="83" s="1"/>
  <c r="Z23" i="71" s="1"/>
  <c r="Z128" i="71" s="1"/>
  <c r="Z70" i="80"/>
  <c r="Z82" i="80" s="1"/>
  <c r="Z81" i="83"/>
  <c r="Z152" i="83" s="1"/>
  <c r="Z90" i="83"/>
  <c r="Z161" i="83" s="1"/>
  <c r="Z31" i="71" s="1"/>
  <c r="Z136" i="71" s="1"/>
  <c r="Z78" i="80"/>
  <c r="Z90" i="80" s="1"/>
  <c r="AA120" i="80"/>
  <c r="AA132" i="80" s="1"/>
  <c r="AA110" i="83"/>
  <c r="AA215" i="83" s="1"/>
  <c r="AA87" i="71" s="1"/>
  <c r="AA192" i="71" s="1"/>
  <c r="AA119" i="80"/>
  <c r="AA131" i="80" s="1"/>
  <c r="AA109" i="83"/>
  <c r="AA214" i="83" s="1"/>
  <c r="AA86" i="71" s="1"/>
  <c r="AA191" i="71" s="1"/>
  <c r="AA102" i="83"/>
  <c r="AA190" i="83" s="1"/>
  <c r="AA61" i="71" s="1"/>
  <c r="AA166" i="71" s="1"/>
  <c r="AA101" i="80"/>
  <c r="AA113" i="80" s="1"/>
  <c r="Y89" i="83"/>
  <c r="Y160" i="83" s="1"/>
  <c r="Y30" i="71" s="1"/>
  <c r="Y135" i="71" s="1"/>
  <c r="Y77" i="80"/>
  <c r="Y89" i="80" s="1"/>
  <c r="Y111" i="83"/>
  <c r="Y216" i="83" s="1"/>
  <c r="Y88" i="71" s="1"/>
  <c r="Y193" i="71" s="1"/>
  <c r="Y121" i="80"/>
  <c r="Y133" i="80" s="1"/>
  <c r="Y90" i="83"/>
  <c r="Y161" i="83" s="1"/>
  <c r="Y31" i="71" s="1"/>
  <c r="Y136" i="71" s="1"/>
  <c r="Y78" i="80"/>
  <c r="Y90" i="80" s="1"/>
  <c r="Y112" i="83"/>
  <c r="Y217" i="83" s="1"/>
  <c r="Y89" i="71" s="1"/>
  <c r="Y194" i="71" s="1"/>
  <c r="Y122" i="80"/>
  <c r="Y134" i="80" s="1"/>
  <c r="X98" i="83"/>
  <c r="X186" i="83" s="1"/>
  <c r="X57" i="71" s="1"/>
  <c r="X162" i="71" s="1"/>
  <c r="X97" i="80"/>
  <c r="X109" i="80" s="1"/>
  <c r="X83" i="83"/>
  <c r="X154" i="83" s="1"/>
  <c r="X24" i="71" s="1"/>
  <c r="X129" i="71" s="1"/>
  <c r="X71" i="80"/>
  <c r="X83" i="80" s="1"/>
  <c r="X78" i="80"/>
  <c r="X90" i="80" s="1"/>
  <c r="X90" i="83"/>
  <c r="X161" i="83" s="1"/>
  <c r="X31" i="71" s="1"/>
  <c r="X136" i="71" s="1"/>
  <c r="AB120" i="80"/>
  <c r="AB132" i="80" s="1"/>
  <c r="AB110" i="83"/>
  <c r="AB215" i="83" s="1"/>
  <c r="AB87" i="71" s="1"/>
  <c r="AB192" i="71" s="1"/>
  <c r="Z99" i="80"/>
  <c r="Z111" i="80" s="1"/>
  <c r="Z100" i="83"/>
  <c r="Z188" i="83" s="1"/>
  <c r="Z59" i="71" s="1"/>
  <c r="Z164" i="71" s="1"/>
  <c r="AA105" i="83"/>
  <c r="AA210" i="83" s="1"/>
  <c r="AA82" i="71" s="1"/>
  <c r="AA187" i="71" s="1"/>
  <c r="AA116" i="80"/>
  <c r="AA128" i="80" s="1"/>
  <c r="AA106" i="83"/>
  <c r="AA211" i="83" s="1"/>
  <c r="AA83" i="71" s="1"/>
  <c r="AA188" i="71" s="1"/>
  <c r="Y123" i="80"/>
  <c r="Y135" i="80" s="1"/>
  <c r="Y113" i="83"/>
  <c r="Y218" i="83" s="1"/>
  <c r="Y90" i="71" s="1"/>
  <c r="Y195" i="71" s="1"/>
  <c r="X81" i="83"/>
  <c r="X152" i="83" s="1"/>
  <c r="X82" i="83"/>
  <c r="X153" i="83" s="1"/>
  <c r="X23" i="71" s="1"/>
  <c r="X128" i="71" s="1"/>
  <c r="X70" i="80"/>
  <c r="X82" i="80" s="1"/>
  <c r="R269" i="80"/>
  <c r="AB81" i="83"/>
  <c r="AB152" i="83" s="1"/>
  <c r="AB82" i="83"/>
  <c r="AB153" i="83" s="1"/>
  <c r="AB23" i="71" s="1"/>
  <c r="AB128" i="71" s="1"/>
  <c r="AB70" i="80"/>
  <c r="AB82" i="80" s="1"/>
  <c r="AB118" i="80"/>
  <c r="AB130" i="80" s="1"/>
  <c r="AB108" i="83"/>
  <c r="AB213" i="83" s="1"/>
  <c r="AB85" i="71" s="1"/>
  <c r="AB190" i="71" s="1"/>
  <c r="AB105" i="83"/>
  <c r="AB210" i="83" s="1"/>
  <c r="AB82" i="71" s="1"/>
  <c r="AB187" i="71" s="1"/>
  <c r="AB106" i="83"/>
  <c r="AB211" i="83" s="1"/>
  <c r="AB83" i="71" s="1"/>
  <c r="AB188" i="71" s="1"/>
  <c r="AB116" i="80"/>
  <c r="AB128" i="80" s="1"/>
  <c r="Z120" i="80"/>
  <c r="Z132" i="80" s="1"/>
  <c r="Z110" i="83"/>
  <c r="Z215" i="83" s="1"/>
  <c r="Z87" i="71" s="1"/>
  <c r="Z192" i="71" s="1"/>
  <c r="Z85" i="83"/>
  <c r="Z156" i="83" s="1"/>
  <c r="Z26" i="71" s="1"/>
  <c r="Z131" i="71" s="1"/>
  <c r="Z73" i="80"/>
  <c r="Z85" i="80" s="1"/>
  <c r="Z105" i="83"/>
  <c r="Z210" i="83" s="1"/>
  <c r="Z82" i="71" s="1"/>
  <c r="Z187" i="71" s="1"/>
  <c r="Z106" i="83"/>
  <c r="Z211" i="83" s="1"/>
  <c r="Z83" i="71" s="1"/>
  <c r="Z188" i="71" s="1"/>
  <c r="Z116" i="80"/>
  <c r="Z128" i="80" s="1"/>
  <c r="Z96" i="83"/>
  <c r="Z184" i="83" s="1"/>
  <c r="Z55" i="71" s="1"/>
  <c r="Z160" i="71" s="1"/>
  <c r="Z95" i="80"/>
  <c r="Z107" i="80" s="1"/>
  <c r="AA89" i="83"/>
  <c r="AA160" i="83" s="1"/>
  <c r="AA30" i="71" s="1"/>
  <c r="AA135" i="71" s="1"/>
  <c r="AA77" i="80"/>
  <c r="AA89" i="80" s="1"/>
  <c r="AA117" i="80"/>
  <c r="AA129" i="80" s="1"/>
  <c r="AA107" i="83"/>
  <c r="AA212" i="83" s="1"/>
  <c r="AA84" i="71" s="1"/>
  <c r="AA189" i="71" s="1"/>
  <c r="AA88" i="83"/>
  <c r="AA159" i="83" s="1"/>
  <c r="AA29" i="71" s="1"/>
  <c r="AA134" i="71" s="1"/>
  <c r="AA76" i="80"/>
  <c r="AA88" i="80" s="1"/>
  <c r="P144" i="80"/>
  <c r="P170" i="80" s="1"/>
  <c r="P271" i="80" s="1"/>
  <c r="Y74" i="80"/>
  <c r="Y86" i="80" s="1"/>
  <c r="Y86" i="83"/>
  <c r="Y157" i="83" s="1"/>
  <c r="Y27" i="71" s="1"/>
  <c r="Y132" i="71" s="1"/>
  <c r="Y98" i="80"/>
  <c r="Y110" i="80" s="1"/>
  <c r="Y99" i="83"/>
  <c r="Y187" i="83" s="1"/>
  <c r="Y58" i="71" s="1"/>
  <c r="Y163" i="71" s="1"/>
  <c r="Y100" i="83"/>
  <c r="Y188" i="83" s="1"/>
  <c r="Y59" i="71" s="1"/>
  <c r="Y164" i="71" s="1"/>
  <c r="Y99" i="80"/>
  <c r="Y111" i="80" s="1"/>
  <c r="X77" i="80"/>
  <c r="X89" i="80" s="1"/>
  <c r="X89" i="83"/>
  <c r="X160" i="83" s="1"/>
  <c r="X30" i="71" s="1"/>
  <c r="X135" i="71" s="1"/>
  <c r="X73" i="80"/>
  <c r="X85" i="80" s="1"/>
  <c r="X85" i="83"/>
  <c r="X156" i="83" s="1"/>
  <c r="X26" i="71" s="1"/>
  <c r="X131" i="71" s="1"/>
  <c r="X96" i="83"/>
  <c r="X184" i="83" s="1"/>
  <c r="X55" i="71" s="1"/>
  <c r="X160" i="71" s="1"/>
  <c r="X95" i="80"/>
  <c r="X107" i="80" s="1"/>
  <c r="P145" i="80"/>
  <c r="P171" i="80" s="1"/>
  <c r="P272" i="80" s="1"/>
  <c r="T476" i="53" l="1"/>
  <c r="T489" i="53" s="1"/>
  <c r="T521" i="53" s="1"/>
  <c r="T95" i="83" s="1"/>
  <c r="T183" i="83" s="1"/>
  <c r="T54" i="71" s="1"/>
  <c r="T159" i="71" s="1"/>
  <c r="O465" i="53"/>
  <c r="O489" i="53" s="1"/>
  <c r="O510" i="53" s="1"/>
  <c r="M465" i="53"/>
  <c r="M489" i="53" s="1"/>
  <c r="M532" i="53" s="1"/>
  <c r="O464" i="53"/>
  <c r="O488" i="53" s="1"/>
  <c r="O509" i="53" s="1"/>
  <c r="N464" i="53"/>
  <c r="N488" i="53" s="1"/>
  <c r="N531" i="53" s="1"/>
  <c r="T475" i="53"/>
  <c r="T488" i="53" s="1"/>
  <c r="T520" i="53" s="1"/>
  <c r="T94" i="83" s="1"/>
  <c r="T182" i="83" s="1"/>
  <c r="T53" i="71" s="1"/>
  <c r="T158" i="71" s="1"/>
  <c r="M471" i="53"/>
  <c r="M495" i="53" s="1"/>
  <c r="M538" i="53" s="1"/>
  <c r="T482" i="53"/>
  <c r="T495" i="53" s="1"/>
  <c r="T527" i="53" s="1"/>
  <c r="T100" i="80" s="1"/>
  <c r="T112" i="80" s="1"/>
  <c r="O471" i="53"/>
  <c r="O495" i="53" s="1"/>
  <c r="O538" i="53" s="1"/>
  <c r="N471" i="53"/>
  <c r="N495" i="53" s="1"/>
  <c r="N516" i="53" s="1"/>
  <c r="T480" i="53"/>
  <c r="T493" i="53" s="1"/>
  <c r="T525" i="53" s="1"/>
  <c r="T98" i="80" s="1"/>
  <c r="T110" i="80" s="1"/>
  <c r="O469" i="53"/>
  <c r="O493" i="53" s="1"/>
  <c r="O536" i="53" s="1"/>
  <c r="M469" i="53"/>
  <c r="M493" i="53" s="1"/>
  <c r="M525" i="53" s="1"/>
  <c r="O466" i="53"/>
  <c r="O490" i="53" s="1"/>
  <c r="O522" i="53" s="1"/>
  <c r="M466" i="53"/>
  <c r="M490" i="53" s="1"/>
  <c r="M533" i="53" s="1"/>
  <c r="O468" i="53"/>
  <c r="O492" i="53" s="1"/>
  <c r="O513" i="53" s="1"/>
  <c r="J356" i="53"/>
  <c r="H403" i="53"/>
  <c r="S427" i="53" s="1"/>
  <c r="M467" i="53"/>
  <c r="M491" i="53" s="1"/>
  <c r="M512" i="53" s="1"/>
  <c r="J355" i="53"/>
  <c r="H402" i="53"/>
  <c r="S426" i="53" s="1"/>
  <c r="J350" i="53"/>
  <c r="S443" i="53" s="1"/>
  <c r="K454" i="53" s="1"/>
  <c r="K489" i="53" s="1"/>
  <c r="H397" i="53"/>
  <c r="J357" i="53"/>
  <c r="H404" i="53"/>
  <c r="S428" i="53" s="1"/>
  <c r="J353" i="53"/>
  <c r="H400" i="53"/>
  <c r="S424" i="53" s="1"/>
  <c r="J352" i="53"/>
  <c r="H399" i="53"/>
  <c r="S423" i="53" s="1"/>
  <c r="T479" i="53"/>
  <c r="T492" i="53" s="1"/>
  <c r="T524" i="53" s="1"/>
  <c r="T98" i="83" s="1"/>
  <c r="T186" i="83" s="1"/>
  <c r="T57" i="71" s="1"/>
  <c r="T162" i="71" s="1"/>
  <c r="J349" i="53"/>
  <c r="H396" i="53"/>
  <c r="S420" i="53" s="1"/>
  <c r="T478" i="53"/>
  <c r="T491" i="53" s="1"/>
  <c r="T523" i="53" s="1"/>
  <c r="T97" i="83" s="1"/>
  <c r="T185" i="83" s="1"/>
  <c r="T56" i="71" s="1"/>
  <c r="T161" i="71" s="1"/>
  <c r="N468" i="53"/>
  <c r="N492" i="53" s="1"/>
  <c r="N535" i="53" s="1"/>
  <c r="J354" i="53"/>
  <c r="S447" i="53" s="1"/>
  <c r="S480" i="53" s="1"/>
  <c r="S493" i="53" s="1"/>
  <c r="S525" i="53" s="1"/>
  <c r="S98" i="80" s="1"/>
  <c r="S110" i="80" s="1"/>
  <c r="H401" i="53"/>
  <c r="N467" i="53"/>
  <c r="N491" i="53" s="1"/>
  <c r="N534" i="53" s="1"/>
  <c r="J351" i="53"/>
  <c r="S444" i="53" s="1"/>
  <c r="K455" i="53" s="1"/>
  <c r="K490" i="53" s="1"/>
  <c r="K533" i="53" s="1"/>
  <c r="H398" i="53"/>
  <c r="N466" i="53"/>
  <c r="N490" i="53" s="1"/>
  <c r="N533" i="53" s="1"/>
  <c r="AB145" i="80"/>
  <c r="AB171" i="80" s="1"/>
  <c r="AB272" i="80" s="1"/>
  <c r="P176" i="80"/>
  <c r="P177" i="80" s="1"/>
  <c r="AA147" i="80"/>
  <c r="AA173" i="80" s="1"/>
  <c r="AA274" i="80" s="1"/>
  <c r="T511" i="53"/>
  <c r="T72" i="80" s="1"/>
  <c r="T84" i="80" s="1"/>
  <c r="T522" i="53"/>
  <c r="T95" i="80" s="1"/>
  <c r="T107" i="80" s="1"/>
  <c r="AA148" i="80"/>
  <c r="AA174" i="80" s="1"/>
  <c r="AA275" i="80" s="1"/>
  <c r="T532" i="53"/>
  <c r="T107" i="83" s="1"/>
  <c r="T212" i="83" s="1"/>
  <c r="T84" i="71" s="1"/>
  <c r="T189" i="71" s="1"/>
  <c r="X142" i="80"/>
  <c r="X168" i="80" s="1"/>
  <c r="X148" i="80"/>
  <c r="X174" i="80" s="1"/>
  <c r="X275" i="80" s="1"/>
  <c r="Z145" i="80"/>
  <c r="Z171" i="80" s="1"/>
  <c r="Z272" i="80" s="1"/>
  <c r="Y146" i="80"/>
  <c r="Y172" i="80" s="1"/>
  <c r="Y273" i="80" s="1"/>
  <c r="Z149" i="80"/>
  <c r="Z175" i="80" s="1"/>
  <c r="Z276" i="80" s="1"/>
  <c r="AB149" i="80"/>
  <c r="AB175" i="80" s="1"/>
  <c r="AB276" i="80" s="1"/>
  <c r="Z147" i="80"/>
  <c r="Z173" i="80" s="1"/>
  <c r="Z274" i="80" s="1"/>
  <c r="Y150" i="80"/>
  <c r="Y176" i="80" s="1"/>
  <c r="Z146" i="80"/>
  <c r="Z172" i="80" s="1"/>
  <c r="Z273" i="80" s="1"/>
  <c r="T118" i="80"/>
  <c r="T130" i="80" s="1"/>
  <c r="T108" i="83"/>
  <c r="T213" i="83" s="1"/>
  <c r="T85" i="71" s="1"/>
  <c r="T190" i="71" s="1"/>
  <c r="M535" i="53"/>
  <c r="M513" i="53"/>
  <c r="M524" i="53"/>
  <c r="AB142" i="80"/>
  <c r="AB168" i="80" s="1"/>
  <c r="O516" i="53"/>
  <c r="Y149" i="80"/>
  <c r="Y175" i="80" s="1"/>
  <c r="Y276" i="80" s="1"/>
  <c r="Z150" i="80"/>
  <c r="AA150" i="80"/>
  <c r="Y143" i="80"/>
  <c r="Y169" i="80" s="1"/>
  <c r="Y270" i="80" s="1"/>
  <c r="X144" i="80"/>
  <c r="X170" i="80" s="1"/>
  <c r="X271" i="80" s="1"/>
  <c r="M521" i="53"/>
  <c r="M510" i="53"/>
  <c r="AB147" i="80"/>
  <c r="AB173" i="80" s="1"/>
  <c r="AB274" i="80" s="1"/>
  <c r="AB144" i="80"/>
  <c r="AB170" i="80" s="1"/>
  <c r="AB271" i="80" s="1"/>
  <c r="X145" i="80"/>
  <c r="X171" i="80" s="1"/>
  <c r="X272" i="80" s="1"/>
  <c r="AA149" i="80"/>
  <c r="AA175" i="80" s="1"/>
  <c r="AA276" i="80" s="1"/>
  <c r="X150" i="80"/>
  <c r="Z143" i="80"/>
  <c r="Z169" i="80" s="1"/>
  <c r="Z270" i="80" s="1"/>
  <c r="AA144" i="80"/>
  <c r="AA170" i="80" s="1"/>
  <c r="AA271" i="80" s="1"/>
  <c r="X147" i="80"/>
  <c r="X173" i="80" s="1"/>
  <c r="X274" i="80" s="1"/>
  <c r="AB146" i="80"/>
  <c r="AB172" i="80" s="1"/>
  <c r="AB273" i="80" s="1"/>
  <c r="X22" i="71"/>
  <c r="X127" i="71" s="1"/>
  <c r="AB22" i="71"/>
  <c r="AB127" i="71" s="1"/>
  <c r="X143" i="80"/>
  <c r="X169" i="80" s="1"/>
  <c r="X270" i="80" s="1"/>
  <c r="Z22" i="71"/>
  <c r="Z127" i="71" s="1"/>
  <c r="Y142" i="80"/>
  <c r="Y168" i="80" s="1"/>
  <c r="AA145" i="80"/>
  <c r="AA171" i="80" s="1"/>
  <c r="AA272" i="80" s="1"/>
  <c r="Y145" i="80"/>
  <c r="Y171" i="80" s="1"/>
  <c r="Y272" i="80" s="1"/>
  <c r="O523" i="53"/>
  <c r="O512" i="53"/>
  <c r="O534" i="53"/>
  <c r="Y148" i="80"/>
  <c r="Y174" i="80" s="1"/>
  <c r="Y275" i="80" s="1"/>
  <c r="P269" i="80"/>
  <c r="Z142" i="80"/>
  <c r="Z168" i="80" s="1"/>
  <c r="N536" i="53"/>
  <c r="N514" i="53"/>
  <c r="N525" i="53"/>
  <c r="X146" i="80"/>
  <c r="X172" i="80" s="1"/>
  <c r="X273" i="80" s="1"/>
  <c r="AA146" i="80"/>
  <c r="AA172" i="80" s="1"/>
  <c r="AA273" i="80" s="1"/>
  <c r="Y144" i="80"/>
  <c r="Y170" i="80" s="1"/>
  <c r="Y271" i="80" s="1"/>
  <c r="AB143" i="80"/>
  <c r="AB169" i="80" s="1"/>
  <c r="AB270" i="80" s="1"/>
  <c r="N470" i="53"/>
  <c r="N494" i="53" s="1"/>
  <c r="O470" i="53"/>
  <c r="O494" i="53" s="1"/>
  <c r="T481" i="53"/>
  <c r="T494" i="53" s="1"/>
  <c r="M470" i="53"/>
  <c r="M494" i="53" s="1"/>
  <c r="AB150" i="80"/>
  <c r="AA143" i="80"/>
  <c r="AA169" i="80" s="1"/>
  <c r="AA270" i="80" s="1"/>
  <c r="N521" i="53"/>
  <c r="N532" i="53"/>
  <c r="N510" i="53"/>
  <c r="N472" i="53"/>
  <c r="N496" i="53" s="1"/>
  <c r="M472" i="53"/>
  <c r="M496" i="53" s="1"/>
  <c r="T483" i="53"/>
  <c r="T496" i="53" s="1"/>
  <c r="O472" i="53"/>
  <c r="O496" i="53" s="1"/>
  <c r="Y22" i="71"/>
  <c r="Y127" i="71" s="1"/>
  <c r="M509" i="53"/>
  <c r="M520" i="53"/>
  <c r="M531" i="53"/>
  <c r="Z148" i="80"/>
  <c r="Z174" i="80" s="1"/>
  <c r="Z275" i="80" s="1"/>
  <c r="AA142" i="80"/>
  <c r="AA168" i="80" s="1"/>
  <c r="X149" i="80"/>
  <c r="X175" i="80" s="1"/>
  <c r="X276" i="80" s="1"/>
  <c r="Z144" i="80"/>
  <c r="Z170" i="80" s="1"/>
  <c r="Z271" i="80" s="1"/>
  <c r="Y147" i="80"/>
  <c r="Y173" i="80" s="1"/>
  <c r="Y274" i="80" s="1"/>
  <c r="AB148" i="80"/>
  <c r="AB174" i="80" s="1"/>
  <c r="AB275" i="80" s="1"/>
  <c r="AA22" i="71"/>
  <c r="AA127" i="71" s="1"/>
  <c r="N509" i="53" l="1"/>
  <c r="O521" i="53"/>
  <c r="N520" i="53"/>
  <c r="O532" i="53"/>
  <c r="O531" i="53"/>
  <c r="O106" i="83" s="1"/>
  <c r="O211" i="83" s="1"/>
  <c r="O83" i="71" s="1"/>
  <c r="O188" i="71" s="1"/>
  <c r="O520" i="53"/>
  <c r="O93" i="83" s="1"/>
  <c r="O181" i="83" s="1"/>
  <c r="O514" i="53"/>
  <c r="O87" i="83" s="1"/>
  <c r="O158" i="83" s="1"/>
  <c r="O28" i="71" s="1"/>
  <c r="O133" i="71" s="1"/>
  <c r="O525" i="53"/>
  <c r="O98" i="80" s="1"/>
  <c r="O110" i="80" s="1"/>
  <c r="N527" i="53"/>
  <c r="N101" i="83" s="1"/>
  <c r="N189" i="83" s="1"/>
  <c r="N60" i="71" s="1"/>
  <c r="N165" i="71" s="1"/>
  <c r="T510" i="53"/>
  <c r="T83" i="83" s="1"/>
  <c r="T154" i="83" s="1"/>
  <c r="T24" i="71" s="1"/>
  <c r="T129" i="71" s="1"/>
  <c r="T93" i="83"/>
  <c r="T181" i="83" s="1"/>
  <c r="T52" i="71" s="1"/>
  <c r="T157" i="71" s="1"/>
  <c r="T93" i="80"/>
  <c r="T105" i="80" s="1"/>
  <c r="T101" i="83"/>
  <c r="T189" i="83" s="1"/>
  <c r="T60" i="71" s="1"/>
  <c r="T165" i="71" s="1"/>
  <c r="T94" i="80"/>
  <c r="T106" i="80" s="1"/>
  <c r="T509" i="53"/>
  <c r="T82" i="83" s="1"/>
  <c r="T153" i="83" s="1"/>
  <c r="T23" i="71" s="1"/>
  <c r="T128" i="71" s="1"/>
  <c r="M536" i="53"/>
  <c r="M111" i="83" s="1"/>
  <c r="M216" i="83" s="1"/>
  <c r="M88" i="71" s="1"/>
  <c r="M193" i="71" s="1"/>
  <c r="M514" i="53"/>
  <c r="M75" i="80" s="1"/>
  <c r="M87" i="80" s="1"/>
  <c r="M522" i="53"/>
  <c r="M95" i="80" s="1"/>
  <c r="M107" i="80" s="1"/>
  <c r="O533" i="53"/>
  <c r="O118" i="80" s="1"/>
  <c r="O130" i="80" s="1"/>
  <c r="O511" i="53"/>
  <c r="O72" i="80" s="1"/>
  <c r="O84" i="80" s="1"/>
  <c r="T99" i="83"/>
  <c r="T187" i="83" s="1"/>
  <c r="T58" i="71" s="1"/>
  <c r="T163" i="71" s="1"/>
  <c r="M516" i="53"/>
  <c r="M77" i="80" s="1"/>
  <c r="M89" i="80" s="1"/>
  <c r="M527" i="53"/>
  <c r="M101" i="83" s="1"/>
  <c r="M189" i="83" s="1"/>
  <c r="M60" i="71" s="1"/>
  <c r="M165" i="71" s="1"/>
  <c r="M511" i="53"/>
  <c r="M72" i="80" s="1"/>
  <c r="M84" i="80" s="1"/>
  <c r="T531" i="53"/>
  <c r="T116" i="80" s="1"/>
  <c r="T128" i="80" s="1"/>
  <c r="O527" i="53"/>
  <c r="O100" i="80" s="1"/>
  <c r="O112" i="80" s="1"/>
  <c r="T516" i="53"/>
  <c r="T89" i="83" s="1"/>
  <c r="T160" i="83" s="1"/>
  <c r="T30" i="71" s="1"/>
  <c r="T135" i="71" s="1"/>
  <c r="T538" i="53"/>
  <c r="T113" i="83" s="1"/>
  <c r="T218" i="83" s="1"/>
  <c r="T90" i="71" s="1"/>
  <c r="T195" i="71" s="1"/>
  <c r="N511" i="53"/>
  <c r="N72" i="80" s="1"/>
  <c r="N84" i="80" s="1"/>
  <c r="N522" i="53"/>
  <c r="N95" i="80" s="1"/>
  <c r="N107" i="80" s="1"/>
  <c r="T536" i="53"/>
  <c r="T121" i="80" s="1"/>
  <c r="T133" i="80" s="1"/>
  <c r="N538" i="53"/>
  <c r="N113" i="83" s="1"/>
  <c r="N218" i="83" s="1"/>
  <c r="N90" i="71" s="1"/>
  <c r="N195" i="71" s="1"/>
  <c r="O535" i="53"/>
  <c r="O120" i="80" s="1"/>
  <c r="O132" i="80" s="1"/>
  <c r="O524" i="53"/>
  <c r="O98" i="83" s="1"/>
  <c r="O186" i="83" s="1"/>
  <c r="O57" i="71" s="1"/>
  <c r="O162" i="71" s="1"/>
  <c r="T96" i="83"/>
  <c r="T184" i="83" s="1"/>
  <c r="T55" i="71" s="1"/>
  <c r="T160" i="71" s="1"/>
  <c r="M534" i="53"/>
  <c r="M119" i="80" s="1"/>
  <c r="M131" i="80" s="1"/>
  <c r="M523" i="53"/>
  <c r="M96" i="80" s="1"/>
  <c r="M108" i="80" s="1"/>
  <c r="T514" i="53"/>
  <c r="T87" i="83" s="1"/>
  <c r="T158" i="83" s="1"/>
  <c r="T28" i="71" s="1"/>
  <c r="T133" i="71" s="1"/>
  <c r="T97" i="80"/>
  <c r="T109" i="80" s="1"/>
  <c r="S476" i="53"/>
  <c r="S489" i="53" s="1"/>
  <c r="S532" i="53" s="1"/>
  <c r="S117" i="80" s="1"/>
  <c r="S129" i="80" s="1"/>
  <c r="T513" i="53"/>
  <c r="T86" i="83" s="1"/>
  <c r="T157" i="83" s="1"/>
  <c r="T27" i="71" s="1"/>
  <c r="T132" i="71" s="1"/>
  <c r="T535" i="53"/>
  <c r="T110" i="83" s="1"/>
  <c r="T215" i="83" s="1"/>
  <c r="T87" i="71" s="1"/>
  <c r="T192" i="71" s="1"/>
  <c r="J458" i="53"/>
  <c r="J493" i="53" s="1"/>
  <c r="S99" i="83"/>
  <c r="S187" i="83" s="1"/>
  <c r="S58" i="71" s="1"/>
  <c r="S163" i="71" s="1"/>
  <c r="N523" i="53"/>
  <c r="N96" i="80" s="1"/>
  <c r="N108" i="80" s="1"/>
  <c r="L458" i="53"/>
  <c r="L493" i="53" s="1"/>
  <c r="L514" i="53" s="1"/>
  <c r="L87" i="83" s="1"/>
  <c r="L158" i="83" s="1"/>
  <c r="L28" i="71" s="1"/>
  <c r="L133" i="71" s="1"/>
  <c r="N512" i="53"/>
  <c r="N85" i="83" s="1"/>
  <c r="N156" i="83" s="1"/>
  <c r="N26" i="71" s="1"/>
  <c r="N131" i="71" s="1"/>
  <c r="K458" i="53"/>
  <c r="K493" i="53" s="1"/>
  <c r="K522" i="53"/>
  <c r="K95" i="80" s="1"/>
  <c r="K107" i="80" s="1"/>
  <c r="K511" i="53"/>
  <c r="K72" i="80" s="1"/>
  <c r="K84" i="80" s="1"/>
  <c r="J455" i="53"/>
  <c r="J490" i="53" s="1"/>
  <c r="J533" i="53" s="1"/>
  <c r="J108" i="83" s="1"/>
  <c r="J213" i="83" s="1"/>
  <c r="J85" i="71" s="1"/>
  <c r="J190" i="71" s="1"/>
  <c r="S536" i="53"/>
  <c r="S121" i="80" s="1"/>
  <c r="S133" i="80" s="1"/>
  <c r="S514" i="53"/>
  <c r="S87" i="83" s="1"/>
  <c r="S158" i="83" s="1"/>
  <c r="S28" i="71" s="1"/>
  <c r="S133" i="71" s="1"/>
  <c r="S477" i="53"/>
  <c r="S490" i="53" s="1"/>
  <c r="S511" i="53" s="1"/>
  <c r="S72" i="80" s="1"/>
  <c r="S84" i="80" s="1"/>
  <c r="L455" i="53"/>
  <c r="L490" i="53" s="1"/>
  <c r="L522" i="53" s="1"/>
  <c r="L96" i="83" s="1"/>
  <c r="L184" i="83" s="1"/>
  <c r="L55" i="71" s="1"/>
  <c r="L160" i="71" s="1"/>
  <c r="K532" i="53"/>
  <c r="K107" i="83" s="1"/>
  <c r="K212" i="83" s="1"/>
  <c r="K84" i="71" s="1"/>
  <c r="K189" i="71" s="1"/>
  <c r="K510" i="53"/>
  <c r="K71" i="80" s="1"/>
  <c r="K83" i="80" s="1"/>
  <c r="K521" i="53"/>
  <c r="K94" i="80" s="1"/>
  <c r="K106" i="80" s="1"/>
  <c r="T96" i="80"/>
  <c r="T108" i="80" s="1"/>
  <c r="S442" i="53"/>
  <c r="T512" i="53"/>
  <c r="T85" i="83" s="1"/>
  <c r="T156" i="83" s="1"/>
  <c r="T26" i="71" s="1"/>
  <c r="T131" i="71" s="1"/>
  <c r="S445" i="53"/>
  <c r="S446" i="53"/>
  <c r="T534" i="53"/>
  <c r="T119" i="80" s="1"/>
  <c r="T131" i="80" s="1"/>
  <c r="S450" i="53"/>
  <c r="S448" i="53"/>
  <c r="J454" i="53"/>
  <c r="J489" i="53" s="1"/>
  <c r="J510" i="53" s="1"/>
  <c r="J71" i="80" s="1"/>
  <c r="J83" i="80" s="1"/>
  <c r="N513" i="53"/>
  <c r="N74" i="80" s="1"/>
  <c r="N86" i="80" s="1"/>
  <c r="L454" i="53"/>
  <c r="L489" i="53" s="1"/>
  <c r="N524" i="53"/>
  <c r="N98" i="83" s="1"/>
  <c r="N186" i="83" s="1"/>
  <c r="N57" i="71" s="1"/>
  <c r="N162" i="71" s="1"/>
  <c r="S449" i="53"/>
  <c r="T84" i="83"/>
  <c r="T155" i="83" s="1"/>
  <c r="T25" i="71" s="1"/>
  <c r="T130" i="71" s="1"/>
  <c r="T117" i="80"/>
  <c r="T129" i="80" s="1"/>
  <c r="Y208" i="80"/>
  <c r="X269" i="80"/>
  <c r="N100" i="80"/>
  <c r="N112" i="80" s="1"/>
  <c r="T144" i="80"/>
  <c r="T170" i="80" s="1"/>
  <c r="T271" i="80" s="1"/>
  <c r="AA269" i="80"/>
  <c r="O537" i="53"/>
  <c r="O526" i="53"/>
  <c r="O515" i="53"/>
  <c r="O119" i="80"/>
  <c r="O131" i="80" s="1"/>
  <c r="O109" i="83"/>
  <c r="O214" i="83" s="1"/>
  <c r="O86" i="71" s="1"/>
  <c r="O191" i="71" s="1"/>
  <c r="AA208" i="80"/>
  <c r="AA176" i="80"/>
  <c r="AA177" i="80" s="1"/>
  <c r="M98" i="83"/>
  <c r="M186" i="83" s="1"/>
  <c r="M57" i="71" s="1"/>
  <c r="M162" i="71" s="1"/>
  <c r="M97" i="80"/>
  <c r="M109" i="80" s="1"/>
  <c r="O85" i="83"/>
  <c r="O156" i="83" s="1"/>
  <c r="O26" i="71" s="1"/>
  <c r="O131" i="71" s="1"/>
  <c r="O73" i="80"/>
  <c r="O85" i="80" s="1"/>
  <c r="M86" i="83"/>
  <c r="M157" i="83" s="1"/>
  <c r="M27" i="71" s="1"/>
  <c r="M132" i="71" s="1"/>
  <c r="M74" i="80"/>
  <c r="M86" i="80" s="1"/>
  <c r="N118" i="80"/>
  <c r="N130" i="80" s="1"/>
  <c r="N108" i="83"/>
  <c r="N213" i="83" s="1"/>
  <c r="N85" i="71" s="1"/>
  <c r="N190" i="71" s="1"/>
  <c r="T539" i="53"/>
  <c r="T528" i="53"/>
  <c r="T517" i="53"/>
  <c r="N107" i="83"/>
  <c r="N212" i="83" s="1"/>
  <c r="N84" i="71" s="1"/>
  <c r="N189" i="71" s="1"/>
  <c r="N117" i="80"/>
  <c r="N129" i="80" s="1"/>
  <c r="Z269" i="80"/>
  <c r="O97" i="83"/>
  <c r="O185" i="83" s="1"/>
  <c r="O56" i="71" s="1"/>
  <c r="O161" i="71" s="1"/>
  <c r="O96" i="80"/>
  <c r="O108" i="80" s="1"/>
  <c r="O86" i="83"/>
  <c r="O157" i="83" s="1"/>
  <c r="O27" i="71" s="1"/>
  <c r="O132" i="71" s="1"/>
  <c r="O74" i="80"/>
  <c r="O86" i="80" s="1"/>
  <c r="M83" i="83"/>
  <c r="M154" i="83" s="1"/>
  <c r="M24" i="71" s="1"/>
  <c r="M129" i="71" s="1"/>
  <c r="M71" i="80"/>
  <c r="M83" i="80" s="1"/>
  <c r="M110" i="83"/>
  <c r="M215" i="83" s="1"/>
  <c r="M87" i="71" s="1"/>
  <c r="M192" i="71" s="1"/>
  <c r="M120" i="80"/>
  <c r="M132" i="80" s="1"/>
  <c r="M539" i="53"/>
  <c r="M517" i="53"/>
  <c r="M528" i="53"/>
  <c r="N94" i="80"/>
  <c r="N106" i="80" s="1"/>
  <c r="N95" i="83"/>
  <c r="N183" i="83" s="1"/>
  <c r="N54" i="71" s="1"/>
  <c r="N159" i="71" s="1"/>
  <c r="N99" i="83"/>
  <c r="N187" i="83" s="1"/>
  <c r="N58" i="71" s="1"/>
  <c r="N163" i="71" s="1"/>
  <c r="N98" i="80"/>
  <c r="N110" i="80" s="1"/>
  <c r="N89" i="83"/>
  <c r="N160" i="83" s="1"/>
  <c r="N30" i="71" s="1"/>
  <c r="N135" i="71" s="1"/>
  <c r="N77" i="80"/>
  <c r="N89" i="80" s="1"/>
  <c r="O94" i="83"/>
  <c r="O182" i="83" s="1"/>
  <c r="O53" i="71" s="1"/>
  <c r="O158" i="71" s="1"/>
  <c r="M94" i="80"/>
  <c r="M106" i="80" s="1"/>
  <c r="M95" i="83"/>
  <c r="M183" i="83" s="1"/>
  <c r="M54" i="71" s="1"/>
  <c r="M159" i="71" s="1"/>
  <c r="M105" i="83"/>
  <c r="M210" i="83" s="1"/>
  <c r="M116" i="80"/>
  <c r="M128" i="80" s="1"/>
  <c r="M106" i="83"/>
  <c r="M211" i="83" s="1"/>
  <c r="M83" i="71" s="1"/>
  <c r="M188" i="71" s="1"/>
  <c r="N539" i="53"/>
  <c r="N528" i="53"/>
  <c r="N517" i="53"/>
  <c r="M85" i="83"/>
  <c r="M156" i="83" s="1"/>
  <c r="M26" i="71" s="1"/>
  <c r="M131" i="71" s="1"/>
  <c r="M73" i="80"/>
  <c r="M85" i="80" s="1"/>
  <c r="N93" i="83"/>
  <c r="N181" i="83" s="1"/>
  <c r="N94" i="83"/>
  <c r="N182" i="83" s="1"/>
  <c r="N53" i="71" s="1"/>
  <c r="N158" i="71" s="1"/>
  <c r="N93" i="80"/>
  <c r="N105" i="80" s="1"/>
  <c r="N75" i="80"/>
  <c r="N87" i="80" s="1"/>
  <c r="N87" i="83"/>
  <c r="N158" i="83" s="1"/>
  <c r="N28" i="71" s="1"/>
  <c r="N133" i="71" s="1"/>
  <c r="Y177" i="80"/>
  <c r="Y269" i="80"/>
  <c r="O81" i="83"/>
  <c r="O152" i="83" s="1"/>
  <c r="O70" i="80"/>
  <c r="O82" i="80" s="1"/>
  <c r="O82" i="83"/>
  <c r="O153" i="83" s="1"/>
  <c r="O23" i="71" s="1"/>
  <c r="O128" i="71" s="1"/>
  <c r="O111" i="83"/>
  <c r="O216" i="83" s="1"/>
  <c r="O88" i="71" s="1"/>
  <c r="O193" i="71" s="1"/>
  <c r="O121" i="80"/>
  <c r="O133" i="80" s="1"/>
  <c r="X176" i="80"/>
  <c r="X177" i="80" s="1"/>
  <c r="X208" i="80"/>
  <c r="M117" i="80"/>
  <c r="M129" i="80" s="1"/>
  <c r="M107" i="83"/>
  <c r="M212" i="83" s="1"/>
  <c r="M84" i="71" s="1"/>
  <c r="M189" i="71" s="1"/>
  <c r="O89" i="83"/>
  <c r="O160" i="83" s="1"/>
  <c r="O30" i="71" s="1"/>
  <c r="O135" i="71" s="1"/>
  <c r="O77" i="80"/>
  <c r="O89" i="80" s="1"/>
  <c r="O95" i="83"/>
  <c r="O183" i="83" s="1"/>
  <c r="O54" i="71" s="1"/>
  <c r="O159" i="71" s="1"/>
  <c r="O94" i="80"/>
  <c r="O106" i="80" s="1"/>
  <c r="N83" i="83"/>
  <c r="N154" i="83" s="1"/>
  <c r="N24" i="71" s="1"/>
  <c r="N129" i="71" s="1"/>
  <c r="N71" i="80"/>
  <c r="N83" i="80" s="1"/>
  <c r="M93" i="83"/>
  <c r="M181" i="83" s="1"/>
  <c r="M94" i="83"/>
  <c r="M182" i="83" s="1"/>
  <c r="M53" i="71" s="1"/>
  <c r="M158" i="71" s="1"/>
  <c r="M93" i="80"/>
  <c r="M105" i="80" s="1"/>
  <c r="AB176" i="80"/>
  <c r="AB177" i="80" s="1"/>
  <c r="AB208" i="80"/>
  <c r="N70" i="80"/>
  <c r="N82" i="80" s="1"/>
  <c r="N81" i="83"/>
  <c r="N152" i="83" s="1"/>
  <c r="N82" i="83"/>
  <c r="N153" i="83" s="1"/>
  <c r="N23" i="71" s="1"/>
  <c r="N128" i="71" s="1"/>
  <c r="N121" i="80"/>
  <c r="N133" i="80" s="1"/>
  <c r="N111" i="83"/>
  <c r="N216" i="83" s="1"/>
  <c r="N88" i="71" s="1"/>
  <c r="N193" i="71" s="1"/>
  <c r="O113" i="83"/>
  <c r="O218" i="83" s="1"/>
  <c r="O90" i="71" s="1"/>
  <c r="O195" i="71" s="1"/>
  <c r="O123" i="80"/>
  <c r="O135" i="80" s="1"/>
  <c r="O83" i="83"/>
  <c r="O154" i="83" s="1"/>
  <c r="O24" i="71" s="1"/>
  <c r="O129" i="71" s="1"/>
  <c r="O71" i="80"/>
  <c r="O83" i="80" s="1"/>
  <c r="O539" i="53"/>
  <c r="O517" i="53"/>
  <c r="O528" i="53"/>
  <c r="O95" i="80"/>
  <c r="O107" i="80" s="1"/>
  <c r="O96" i="83"/>
  <c r="O184" i="83" s="1"/>
  <c r="O55" i="71" s="1"/>
  <c r="O160" i="71" s="1"/>
  <c r="K118" i="80"/>
  <c r="K130" i="80" s="1"/>
  <c r="K108" i="83"/>
  <c r="K213" i="83" s="1"/>
  <c r="K85" i="71" s="1"/>
  <c r="K190" i="71" s="1"/>
  <c r="M82" i="83"/>
  <c r="M153" i="83" s="1"/>
  <c r="M23" i="71" s="1"/>
  <c r="M128" i="71" s="1"/>
  <c r="M81" i="83"/>
  <c r="M152" i="83" s="1"/>
  <c r="M70" i="80"/>
  <c r="M82" i="80" s="1"/>
  <c r="M537" i="53"/>
  <c r="M515" i="53"/>
  <c r="M526" i="53"/>
  <c r="N116" i="80"/>
  <c r="N128" i="80" s="1"/>
  <c r="N106" i="83"/>
  <c r="N211" i="83" s="1"/>
  <c r="N83" i="71" s="1"/>
  <c r="N188" i="71" s="1"/>
  <c r="N105" i="83"/>
  <c r="N210" i="83" s="1"/>
  <c r="M98" i="80"/>
  <c r="M110" i="80" s="1"/>
  <c r="M99" i="83"/>
  <c r="M187" i="83" s="1"/>
  <c r="M58" i="71" s="1"/>
  <c r="M163" i="71" s="1"/>
  <c r="M123" i="80"/>
  <c r="M135" i="80" s="1"/>
  <c r="M113" i="83"/>
  <c r="M218" i="83" s="1"/>
  <c r="M90" i="71" s="1"/>
  <c r="M195" i="71" s="1"/>
  <c r="M108" i="83"/>
  <c r="M213" i="83" s="1"/>
  <c r="M85" i="71" s="1"/>
  <c r="M190" i="71" s="1"/>
  <c r="M118" i="80"/>
  <c r="M130" i="80" s="1"/>
  <c r="AB269" i="80"/>
  <c r="O107" i="83"/>
  <c r="O212" i="83" s="1"/>
  <c r="O84" i="71" s="1"/>
  <c r="O189" i="71" s="1"/>
  <c r="O117" i="80"/>
  <c r="O129" i="80" s="1"/>
  <c r="N537" i="53"/>
  <c r="N515" i="53"/>
  <c r="N526" i="53"/>
  <c r="Z208" i="80"/>
  <c r="Z176" i="80"/>
  <c r="Z177" i="80" s="1"/>
  <c r="T537" i="53"/>
  <c r="T515" i="53"/>
  <c r="T526" i="53"/>
  <c r="M121" i="80"/>
  <c r="M133" i="80" s="1"/>
  <c r="N120" i="80"/>
  <c r="N132" i="80" s="1"/>
  <c r="N110" i="83"/>
  <c r="N215" i="83" s="1"/>
  <c r="N87" i="71" s="1"/>
  <c r="N192" i="71" s="1"/>
  <c r="N119" i="80"/>
  <c r="N131" i="80" s="1"/>
  <c r="N109" i="83"/>
  <c r="N214" i="83" s="1"/>
  <c r="N86" i="71" s="1"/>
  <c r="N191" i="71" s="1"/>
  <c r="O116" i="80" l="1"/>
  <c r="O128" i="80" s="1"/>
  <c r="O105" i="83"/>
  <c r="O210" i="83" s="1"/>
  <c r="O99" i="83"/>
  <c r="O187" i="83" s="1"/>
  <c r="O58" i="71" s="1"/>
  <c r="O163" i="71" s="1"/>
  <c r="M89" i="83"/>
  <c r="M160" i="83" s="1"/>
  <c r="M30" i="71" s="1"/>
  <c r="M135" i="71" s="1"/>
  <c r="T74" i="80"/>
  <c r="T86" i="80" s="1"/>
  <c r="O93" i="80"/>
  <c r="O105" i="80" s="1"/>
  <c r="O142" i="80" s="1"/>
  <c r="O168" i="80" s="1"/>
  <c r="O269" i="80" s="1"/>
  <c r="O75" i="80"/>
  <c r="O87" i="80" s="1"/>
  <c r="M96" i="83"/>
  <c r="M184" i="83" s="1"/>
  <c r="M55" i="71" s="1"/>
  <c r="M160" i="71" s="1"/>
  <c r="T81" i="83"/>
  <c r="T152" i="83" s="1"/>
  <c r="T22" i="71" s="1"/>
  <c r="T127" i="71" s="1"/>
  <c r="M87" i="83"/>
  <c r="M158" i="83" s="1"/>
  <c r="M28" i="71" s="1"/>
  <c r="M133" i="71" s="1"/>
  <c r="O108" i="83"/>
  <c r="O213" i="83" s="1"/>
  <c r="O85" i="71" s="1"/>
  <c r="O190" i="71" s="1"/>
  <c r="T123" i="80"/>
  <c r="T135" i="80" s="1"/>
  <c r="T71" i="80"/>
  <c r="T83" i="80" s="1"/>
  <c r="T143" i="80" s="1"/>
  <c r="T169" i="80" s="1"/>
  <c r="T270" i="80" s="1"/>
  <c r="M100" i="80"/>
  <c r="M112" i="80" s="1"/>
  <c r="M149" i="80" s="1"/>
  <c r="M175" i="80" s="1"/>
  <c r="M276" i="80" s="1"/>
  <c r="T77" i="80"/>
  <c r="T89" i="80" s="1"/>
  <c r="N84" i="83"/>
  <c r="N155" i="83" s="1"/>
  <c r="N25" i="71" s="1"/>
  <c r="N130" i="71" s="1"/>
  <c r="O101" i="83"/>
  <c r="O189" i="83" s="1"/>
  <c r="O60" i="71" s="1"/>
  <c r="O165" i="71" s="1"/>
  <c r="M84" i="83"/>
  <c r="M155" i="83" s="1"/>
  <c r="M25" i="71" s="1"/>
  <c r="M130" i="71" s="1"/>
  <c r="N96" i="83"/>
  <c r="N184" i="83" s="1"/>
  <c r="N55" i="71" s="1"/>
  <c r="N160" i="71" s="1"/>
  <c r="T106" i="83"/>
  <c r="T211" i="83" s="1"/>
  <c r="T83" i="71" s="1"/>
  <c r="T188" i="71" s="1"/>
  <c r="T105" i="83"/>
  <c r="T210" i="83" s="1"/>
  <c r="T82" i="71" s="1"/>
  <c r="T187" i="71" s="1"/>
  <c r="O84" i="83"/>
  <c r="O155" i="83" s="1"/>
  <c r="O25" i="71" s="1"/>
  <c r="O130" i="71" s="1"/>
  <c r="T70" i="80"/>
  <c r="T82" i="80" s="1"/>
  <c r="T142" i="80" s="1"/>
  <c r="T168" i="80" s="1"/>
  <c r="T269" i="80" s="1"/>
  <c r="O110" i="83"/>
  <c r="O215" i="83" s="1"/>
  <c r="O87" i="71" s="1"/>
  <c r="O192" i="71" s="1"/>
  <c r="N123" i="80"/>
  <c r="N135" i="80" s="1"/>
  <c r="M97" i="83"/>
  <c r="M185" i="83" s="1"/>
  <c r="M56" i="71" s="1"/>
  <c r="M161" i="71" s="1"/>
  <c r="M109" i="83"/>
  <c r="M214" i="83" s="1"/>
  <c r="M86" i="71" s="1"/>
  <c r="M191" i="71" s="1"/>
  <c r="O97" i="80"/>
  <c r="O109" i="80" s="1"/>
  <c r="O146" i="80" s="1"/>
  <c r="O172" i="80" s="1"/>
  <c r="O273" i="80" s="1"/>
  <c r="N97" i="80"/>
  <c r="N109" i="80" s="1"/>
  <c r="N146" i="80" s="1"/>
  <c r="N172" i="80" s="1"/>
  <c r="N273" i="80" s="1"/>
  <c r="T75" i="80"/>
  <c r="T87" i="80" s="1"/>
  <c r="T147" i="80" s="1"/>
  <c r="T173" i="80" s="1"/>
  <c r="T274" i="80" s="1"/>
  <c r="T111" i="83"/>
  <c r="T216" i="83" s="1"/>
  <c r="T88" i="71" s="1"/>
  <c r="T193" i="71" s="1"/>
  <c r="S107" i="83"/>
  <c r="S212" i="83" s="1"/>
  <c r="S84" i="71" s="1"/>
  <c r="S189" i="71" s="1"/>
  <c r="N97" i="83"/>
  <c r="N185" i="83" s="1"/>
  <c r="N56" i="71" s="1"/>
  <c r="N161" i="71" s="1"/>
  <c r="N86" i="83"/>
  <c r="N157" i="83" s="1"/>
  <c r="N27" i="71" s="1"/>
  <c r="N132" i="71" s="1"/>
  <c r="K84" i="83"/>
  <c r="K155" i="83" s="1"/>
  <c r="K25" i="71" s="1"/>
  <c r="K130" i="71" s="1"/>
  <c r="K96" i="83"/>
  <c r="K184" i="83" s="1"/>
  <c r="K55" i="71" s="1"/>
  <c r="K160" i="71" s="1"/>
  <c r="L511" i="53"/>
  <c r="L72" i="80" s="1"/>
  <c r="L84" i="80" s="1"/>
  <c r="S84" i="83"/>
  <c r="S155" i="83" s="1"/>
  <c r="S25" i="71" s="1"/>
  <c r="S130" i="71" s="1"/>
  <c r="S75" i="80"/>
  <c r="S87" i="80" s="1"/>
  <c r="S147" i="80" s="1"/>
  <c r="S173" i="80" s="1"/>
  <c r="S274" i="80" s="1"/>
  <c r="N73" i="80"/>
  <c r="N85" i="80" s="1"/>
  <c r="N145" i="80" s="1"/>
  <c r="N171" i="80" s="1"/>
  <c r="N272" i="80" s="1"/>
  <c r="T120" i="80"/>
  <c r="T132" i="80" s="1"/>
  <c r="T146" i="80" s="1"/>
  <c r="T172" i="80" s="1"/>
  <c r="S111" i="83"/>
  <c r="S216" i="83" s="1"/>
  <c r="S88" i="71" s="1"/>
  <c r="S193" i="71" s="1"/>
  <c r="S522" i="53"/>
  <c r="S96" i="83" s="1"/>
  <c r="S184" i="83" s="1"/>
  <c r="S55" i="71" s="1"/>
  <c r="S160" i="71" s="1"/>
  <c r="K95" i="83"/>
  <c r="K183" i="83" s="1"/>
  <c r="K54" i="71" s="1"/>
  <c r="K159" i="71" s="1"/>
  <c r="L95" i="80"/>
  <c r="L107" i="80" s="1"/>
  <c r="L75" i="80"/>
  <c r="L87" i="80" s="1"/>
  <c r="K117" i="80"/>
  <c r="K129" i="80" s="1"/>
  <c r="K143" i="80" s="1"/>
  <c r="K169" i="80" s="1"/>
  <c r="K270" i="80" s="1"/>
  <c r="K83" i="83"/>
  <c r="K154" i="83" s="1"/>
  <c r="K24" i="71" s="1"/>
  <c r="K129" i="71" s="1"/>
  <c r="S521" i="53"/>
  <c r="S510" i="53"/>
  <c r="J514" i="53"/>
  <c r="J525" i="53"/>
  <c r="J536" i="53"/>
  <c r="S533" i="53"/>
  <c r="S108" i="83" s="1"/>
  <c r="S213" i="83" s="1"/>
  <c r="S85" i="71" s="1"/>
  <c r="S190" i="71" s="1"/>
  <c r="J532" i="53"/>
  <c r="J107" i="83" s="1"/>
  <c r="J212" i="83" s="1"/>
  <c r="J84" i="71" s="1"/>
  <c r="J189" i="71" s="1"/>
  <c r="L533" i="53"/>
  <c r="L118" i="80" s="1"/>
  <c r="L130" i="80" s="1"/>
  <c r="J522" i="53"/>
  <c r="J511" i="53"/>
  <c r="J83" i="83"/>
  <c r="J154" i="83" s="1"/>
  <c r="J24" i="71" s="1"/>
  <c r="J129" i="71" s="1"/>
  <c r="T73" i="80"/>
  <c r="T85" i="80" s="1"/>
  <c r="T145" i="80" s="1"/>
  <c r="T171" i="80" s="1"/>
  <c r="T272" i="80" s="1"/>
  <c r="K525" i="53"/>
  <c r="K514" i="53"/>
  <c r="K536" i="53"/>
  <c r="L536" i="53"/>
  <c r="L525" i="53"/>
  <c r="J460" i="53"/>
  <c r="J495" i="53" s="1"/>
  <c r="S482" i="53"/>
  <c r="S495" i="53" s="1"/>
  <c r="L460" i="53"/>
  <c r="L495" i="53" s="1"/>
  <c r="K460" i="53"/>
  <c r="K495" i="53" s="1"/>
  <c r="L521" i="53"/>
  <c r="L532" i="53"/>
  <c r="L459" i="53"/>
  <c r="L494" i="53" s="1"/>
  <c r="J459" i="53"/>
  <c r="J494" i="53" s="1"/>
  <c r="J515" i="53" s="1"/>
  <c r="S481" i="53"/>
  <c r="S494" i="53" s="1"/>
  <c r="K459" i="53"/>
  <c r="K494" i="53" s="1"/>
  <c r="S483" i="53"/>
  <c r="S496" i="53" s="1"/>
  <c r="K461" i="53"/>
  <c r="K496" i="53" s="1"/>
  <c r="L461" i="53"/>
  <c r="L496" i="53" s="1"/>
  <c r="J461" i="53"/>
  <c r="J496" i="53" s="1"/>
  <c r="J457" i="53"/>
  <c r="J492" i="53" s="1"/>
  <c r="L457" i="53"/>
  <c r="L492" i="53" s="1"/>
  <c r="K457" i="53"/>
  <c r="K492" i="53" s="1"/>
  <c r="S479" i="53"/>
  <c r="S492" i="53" s="1"/>
  <c r="J521" i="53"/>
  <c r="J94" i="80" s="1"/>
  <c r="J106" i="80" s="1"/>
  <c r="L510" i="53"/>
  <c r="K456" i="53"/>
  <c r="K491" i="53" s="1"/>
  <c r="J456" i="53"/>
  <c r="J491" i="53" s="1"/>
  <c r="S478" i="53"/>
  <c r="S491" i="53" s="1"/>
  <c r="L456" i="53"/>
  <c r="L491" i="53" s="1"/>
  <c r="K453" i="53"/>
  <c r="K488" i="53" s="1"/>
  <c r="S475" i="53"/>
  <c r="S488" i="53" s="1"/>
  <c r="L453" i="53"/>
  <c r="L488" i="53" s="1"/>
  <c r="J453" i="53"/>
  <c r="J488" i="53" s="1"/>
  <c r="T109" i="83"/>
  <c r="T214" i="83" s="1"/>
  <c r="T86" i="71" s="1"/>
  <c r="T191" i="71" s="1"/>
  <c r="J118" i="80"/>
  <c r="J130" i="80" s="1"/>
  <c r="N149" i="80"/>
  <c r="N175" i="80" s="1"/>
  <c r="N276" i="80" s="1"/>
  <c r="O147" i="80"/>
  <c r="O173" i="80" s="1"/>
  <c r="O274" i="80" s="1"/>
  <c r="M143" i="80"/>
  <c r="M169" i="80" s="1"/>
  <c r="M270" i="80" s="1"/>
  <c r="N144" i="80"/>
  <c r="N170" i="80" s="1"/>
  <c r="N271" i="80" s="1"/>
  <c r="M142" i="80"/>
  <c r="M168" i="80" s="1"/>
  <c r="N143" i="80"/>
  <c r="N169" i="80" s="1"/>
  <c r="N270" i="80" s="1"/>
  <c r="T122" i="80"/>
  <c r="T134" i="80" s="1"/>
  <c r="T112" i="83"/>
  <c r="T217" i="83" s="1"/>
  <c r="T89" i="71" s="1"/>
  <c r="T194" i="71" s="1"/>
  <c r="O22" i="71"/>
  <c r="O127" i="71" s="1"/>
  <c r="T90" i="83"/>
  <c r="T161" i="83" s="1"/>
  <c r="T31" i="71" s="1"/>
  <c r="T136" i="71" s="1"/>
  <c r="T78" i="80"/>
  <c r="T90" i="80" s="1"/>
  <c r="O78" i="80"/>
  <c r="O90" i="80" s="1"/>
  <c r="O90" i="83"/>
  <c r="O161" i="83" s="1"/>
  <c r="O31" i="71" s="1"/>
  <c r="O136" i="71" s="1"/>
  <c r="O149" i="80"/>
  <c r="O175" i="80" s="1"/>
  <c r="O276" i="80" s="1"/>
  <c r="O76" i="80"/>
  <c r="O88" i="80" s="1"/>
  <c r="O88" i="83"/>
  <c r="O159" i="83" s="1"/>
  <c r="O29" i="71" s="1"/>
  <c r="O134" i="71" s="1"/>
  <c r="M100" i="83"/>
  <c r="M188" i="83" s="1"/>
  <c r="M59" i="71" s="1"/>
  <c r="M164" i="71" s="1"/>
  <c r="M99" i="80"/>
  <c r="M111" i="80" s="1"/>
  <c r="O99" i="80"/>
  <c r="O111" i="80" s="1"/>
  <c r="O100" i="83"/>
  <c r="O188" i="83" s="1"/>
  <c r="O59" i="71" s="1"/>
  <c r="O164" i="71" s="1"/>
  <c r="T99" i="80"/>
  <c r="T111" i="80" s="1"/>
  <c r="T100" i="83"/>
  <c r="T188" i="83" s="1"/>
  <c r="N76" i="80"/>
  <c r="N88" i="80" s="1"/>
  <c r="N88" i="83"/>
  <c r="N159" i="83" s="1"/>
  <c r="N29" i="71" s="1"/>
  <c r="N134" i="71" s="1"/>
  <c r="M88" i="83"/>
  <c r="M159" i="83" s="1"/>
  <c r="M29" i="71" s="1"/>
  <c r="M134" i="71" s="1"/>
  <c r="M76" i="80"/>
  <c r="M88" i="80" s="1"/>
  <c r="N52" i="71"/>
  <c r="N157" i="71" s="1"/>
  <c r="O122" i="80"/>
  <c r="O134" i="80" s="1"/>
  <c r="O112" i="83"/>
  <c r="O217" i="83" s="1"/>
  <c r="O89" i="71" s="1"/>
  <c r="O194" i="71" s="1"/>
  <c r="O144" i="80"/>
  <c r="O170" i="80" s="1"/>
  <c r="O271" i="80" s="1"/>
  <c r="M144" i="80"/>
  <c r="M170" i="80" s="1"/>
  <c r="M271" i="80" s="1"/>
  <c r="T76" i="80"/>
  <c r="T88" i="80" s="1"/>
  <c r="T88" i="83"/>
  <c r="T159" i="83" s="1"/>
  <c r="N112" i="83"/>
  <c r="N217" i="83" s="1"/>
  <c r="N89" i="71" s="1"/>
  <c r="N194" i="71" s="1"/>
  <c r="N122" i="80"/>
  <c r="N134" i="80" s="1"/>
  <c r="M112" i="83"/>
  <c r="M217" i="83" s="1"/>
  <c r="M89" i="71" s="1"/>
  <c r="M194" i="71" s="1"/>
  <c r="M122" i="80"/>
  <c r="M134" i="80" s="1"/>
  <c r="O143" i="80"/>
  <c r="O169" i="80" s="1"/>
  <c r="O270" i="80" s="1"/>
  <c r="M145" i="80"/>
  <c r="M171" i="80" s="1"/>
  <c r="M272" i="80" s="1"/>
  <c r="M22" i="71"/>
  <c r="M127" i="71" s="1"/>
  <c r="N22" i="71"/>
  <c r="N127" i="71" s="1"/>
  <c r="M52" i="71"/>
  <c r="M157" i="71" s="1"/>
  <c r="N78" i="80"/>
  <c r="N90" i="80" s="1"/>
  <c r="N90" i="83"/>
  <c r="N161" i="83" s="1"/>
  <c r="N31" i="71" s="1"/>
  <c r="N136" i="71" s="1"/>
  <c r="M78" i="80"/>
  <c r="M90" i="80" s="1"/>
  <c r="M90" i="83"/>
  <c r="M161" i="83" s="1"/>
  <c r="M31" i="71" s="1"/>
  <c r="M136" i="71" s="1"/>
  <c r="T102" i="83"/>
  <c r="T190" i="83" s="1"/>
  <c r="T61" i="71" s="1"/>
  <c r="T166" i="71" s="1"/>
  <c r="T101" i="80"/>
  <c r="T113" i="80" s="1"/>
  <c r="N82" i="71"/>
  <c r="N187" i="71" s="1"/>
  <c r="M147" i="80"/>
  <c r="M173" i="80" s="1"/>
  <c r="M274" i="80" s="1"/>
  <c r="N142" i="80"/>
  <c r="N168" i="80" s="1"/>
  <c r="N147" i="80"/>
  <c r="N173" i="80" s="1"/>
  <c r="N274" i="80" s="1"/>
  <c r="N102" i="83"/>
  <c r="N190" i="83" s="1"/>
  <c r="N61" i="71" s="1"/>
  <c r="N166" i="71" s="1"/>
  <c r="N101" i="80"/>
  <c r="N113" i="80" s="1"/>
  <c r="O52" i="71"/>
  <c r="O157" i="71" s="1"/>
  <c r="M114" i="83"/>
  <c r="M219" i="83" s="1"/>
  <c r="M91" i="71" s="1"/>
  <c r="M196" i="71" s="1"/>
  <c r="M124" i="80"/>
  <c r="M136" i="80" s="1"/>
  <c r="T124" i="80"/>
  <c r="T136" i="80" s="1"/>
  <c r="T114" i="83"/>
  <c r="T219" i="83" s="1"/>
  <c r="T91" i="71" s="1"/>
  <c r="T196" i="71" s="1"/>
  <c r="M146" i="80"/>
  <c r="M172" i="80" s="1"/>
  <c r="M273" i="80" s="1"/>
  <c r="N100" i="83"/>
  <c r="N188" i="83" s="1"/>
  <c r="N59" i="71" s="1"/>
  <c r="N164" i="71" s="1"/>
  <c r="N99" i="80"/>
  <c r="N111" i="80" s="1"/>
  <c r="O114" i="83"/>
  <c r="O219" i="83" s="1"/>
  <c r="O91" i="71" s="1"/>
  <c r="O196" i="71" s="1"/>
  <c r="O124" i="80"/>
  <c r="O136" i="80" s="1"/>
  <c r="M101" i="80"/>
  <c r="M113" i="80" s="1"/>
  <c r="M102" i="83"/>
  <c r="M190" i="83" s="1"/>
  <c r="M61" i="71" s="1"/>
  <c r="M166" i="71" s="1"/>
  <c r="O82" i="71"/>
  <c r="O187" i="71" s="1"/>
  <c r="O101" i="80"/>
  <c r="O113" i="80" s="1"/>
  <c r="O102" i="83"/>
  <c r="O190" i="83" s="1"/>
  <c r="O61" i="71" s="1"/>
  <c r="O166" i="71" s="1"/>
  <c r="K144" i="80"/>
  <c r="K170" i="80" s="1"/>
  <c r="K271" i="80" s="1"/>
  <c r="N114" i="83"/>
  <c r="N219" i="83" s="1"/>
  <c r="N91" i="71" s="1"/>
  <c r="N196" i="71" s="1"/>
  <c r="N124" i="80"/>
  <c r="N136" i="80" s="1"/>
  <c r="M82" i="71"/>
  <c r="M187" i="71" s="1"/>
  <c r="O145" i="80"/>
  <c r="O171" i="80" s="1"/>
  <c r="O272" i="80" s="1"/>
  <c r="T149" i="80" l="1"/>
  <c r="T175" i="80" s="1"/>
  <c r="T276" i="80" s="1"/>
  <c r="L84" i="83"/>
  <c r="L155" i="83" s="1"/>
  <c r="L25" i="71" s="1"/>
  <c r="L130" i="71" s="1"/>
  <c r="S95" i="80"/>
  <c r="S107" i="80" s="1"/>
  <c r="L144" i="80"/>
  <c r="L170" i="80" s="1"/>
  <c r="L271" i="80" s="1"/>
  <c r="S118" i="80"/>
  <c r="S130" i="80" s="1"/>
  <c r="J95" i="83"/>
  <c r="J183" i="83" s="1"/>
  <c r="J54" i="71" s="1"/>
  <c r="J159" i="71" s="1"/>
  <c r="S83" i="83"/>
  <c r="S154" i="83" s="1"/>
  <c r="S24" i="71" s="1"/>
  <c r="S129" i="71" s="1"/>
  <c r="S71" i="80"/>
  <c r="S83" i="80" s="1"/>
  <c r="L108" i="83"/>
  <c r="L213" i="83" s="1"/>
  <c r="L85" i="71" s="1"/>
  <c r="L190" i="71" s="1"/>
  <c r="S94" i="80"/>
  <c r="S106" i="80" s="1"/>
  <c r="S95" i="83"/>
  <c r="S183" i="83" s="1"/>
  <c r="S54" i="71" s="1"/>
  <c r="S159" i="71" s="1"/>
  <c r="J117" i="80"/>
  <c r="J129" i="80" s="1"/>
  <c r="J143" i="80" s="1"/>
  <c r="J169" i="80" s="1"/>
  <c r="J270" i="80" s="1"/>
  <c r="J526" i="53"/>
  <c r="J100" i="83" s="1"/>
  <c r="J188" i="83" s="1"/>
  <c r="J59" i="71" s="1"/>
  <c r="J164" i="71" s="1"/>
  <c r="L99" i="83"/>
  <c r="L187" i="83" s="1"/>
  <c r="L58" i="71" s="1"/>
  <c r="L163" i="71" s="1"/>
  <c r="L98" i="80"/>
  <c r="L110" i="80" s="1"/>
  <c r="J87" i="83"/>
  <c r="J158" i="83" s="1"/>
  <c r="J28" i="71" s="1"/>
  <c r="J133" i="71" s="1"/>
  <c r="J75" i="80"/>
  <c r="J87" i="80" s="1"/>
  <c r="L121" i="80"/>
  <c r="L133" i="80" s="1"/>
  <c r="L111" i="83"/>
  <c r="L216" i="83" s="1"/>
  <c r="L88" i="71" s="1"/>
  <c r="L193" i="71" s="1"/>
  <c r="K121" i="80"/>
  <c r="K133" i="80" s="1"/>
  <c r="K111" i="83"/>
  <c r="K216" i="83" s="1"/>
  <c r="K88" i="71" s="1"/>
  <c r="K193" i="71" s="1"/>
  <c r="K99" i="83"/>
  <c r="K187" i="83" s="1"/>
  <c r="K58" i="71" s="1"/>
  <c r="K163" i="71" s="1"/>
  <c r="K98" i="80"/>
  <c r="K110" i="80" s="1"/>
  <c r="J537" i="53"/>
  <c r="J112" i="83" s="1"/>
  <c r="J217" i="83" s="1"/>
  <c r="J89" i="71" s="1"/>
  <c r="J194" i="71" s="1"/>
  <c r="J72" i="80"/>
  <c r="J84" i="80" s="1"/>
  <c r="J84" i="83"/>
  <c r="J155" i="83" s="1"/>
  <c r="J25" i="71" s="1"/>
  <c r="J130" i="71" s="1"/>
  <c r="J95" i="80"/>
  <c r="J107" i="80" s="1"/>
  <c r="J96" i="83"/>
  <c r="J184" i="83" s="1"/>
  <c r="J55" i="71" s="1"/>
  <c r="J160" i="71" s="1"/>
  <c r="K75" i="80"/>
  <c r="K87" i="80" s="1"/>
  <c r="K87" i="83"/>
  <c r="K158" i="83" s="1"/>
  <c r="K28" i="71" s="1"/>
  <c r="K133" i="71" s="1"/>
  <c r="J121" i="80"/>
  <c r="J133" i="80" s="1"/>
  <c r="J111" i="83"/>
  <c r="J216" i="83" s="1"/>
  <c r="J88" i="71" s="1"/>
  <c r="J193" i="71" s="1"/>
  <c r="J98" i="80"/>
  <c r="J110" i="80" s="1"/>
  <c r="J99" i="83"/>
  <c r="J187" i="83" s="1"/>
  <c r="J58" i="71" s="1"/>
  <c r="J163" i="71" s="1"/>
  <c r="K523" i="53"/>
  <c r="K512" i="53"/>
  <c r="K534" i="53"/>
  <c r="L83" i="83"/>
  <c r="L154" i="83" s="1"/>
  <c r="L24" i="71" s="1"/>
  <c r="L129" i="71" s="1"/>
  <c r="L71" i="80"/>
  <c r="L83" i="80" s="1"/>
  <c r="L512" i="53"/>
  <c r="L523" i="53"/>
  <c r="L534" i="53"/>
  <c r="S534" i="53"/>
  <c r="S512" i="53"/>
  <c r="S523" i="53"/>
  <c r="S524" i="53"/>
  <c r="S535" i="53"/>
  <c r="S513" i="53"/>
  <c r="K535" i="53"/>
  <c r="K513" i="53"/>
  <c r="K524" i="53"/>
  <c r="L535" i="53"/>
  <c r="L524" i="53"/>
  <c r="L513" i="53"/>
  <c r="J535" i="53"/>
  <c r="J524" i="53"/>
  <c r="J513" i="53"/>
  <c r="J512" i="53"/>
  <c r="J523" i="53"/>
  <c r="J534" i="53"/>
  <c r="J539" i="53"/>
  <c r="J517" i="53"/>
  <c r="J528" i="53"/>
  <c r="L528" i="53"/>
  <c r="L539" i="53"/>
  <c r="L517" i="53"/>
  <c r="K539" i="53"/>
  <c r="K528" i="53"/>
  <c r="K517" i="53"/>
  <c r="S517" i="53"/>
  <c r="S539" i="53"/>
  <c r="S528" i="53"/>
  <c r="K537" i="53"/>
  <c r="K526" i="53"/>
  <c r="K515" i="53"/>
  <c r="S515" i="53"/>
  <c r="S526" i="53"/>
  <c r="S537" i="53"/>
  <c r="L537" i="53"/>
  <c r="L515" i="53"/>
  <c r="L526" i="53"/>
  <c r="L117" i="80"/>
  <c r="L129" i="80" s="1"/>
  <c r="L107" i="83"/>
  <c r="L212" i="83" s="1"/>
  <c r="L84" i="71" s="1"/>
  <c r="L189" i="71" s="1"/>
  <c r="L94" i="80"/>
  <c r="L106" i="80" s="1"/>
  <c r="L95" i="83"/>
  <c r="L183" i="83" s="1"/>
  <c r="L54" i="71" s="1"/>
  <c r="L159" i="71" s="1"/>
  <c r="J520" i="53"/>
  <c r="J531" i="53"/>
  <c r="J509" i="53"/>
  <c r="K527" i="53"/>
  <c r="K538" i="53"/>
  <c r="K516" i="53"/>
  <c r="L531" i="53"/>
  <c r="L520" i="53"/>
  <c r="L509" i="53"/>
  <c r="L538" i="53"/>
  <c r="L527" i="53"/>
  <c r="L516" i="53"/>
  <c r="S520" i="53"/>
  <c r="S531" i="53"/>
  <c r="S509" i="53"/>
  <c r="S516" i="53"/>
  <c r="S538" i="53"/>
  <c r="S527" i="53"/>
  <c r="K531" i="53"/>
  <c r="K520" i="53"/>
  <c r="K509" i="53"/>
  <c r="J527" i="53"/>
  <c r="J538" i="53"/>
  <c r="J516" i="53"/>
  <c r="T59" i="71"/>
  <c r="T164" i="71" s="1"/>
  <c r="T29" i="71"/>
  <c r="T134" i="71" s="1"/>
  <c r="T273" i="80"/>
  <c r="M269" i="80"/>
  <c r="N269" i="80"/>
  <c r="M148" i="80"/>
  <c r="M174" i="80" s="1"/>
  <c r="M275" i="80" s="1"/>
  <c r="O148" i="80"/>
  <c r="O174" i="80" s="1"/>
  <c r="O275" i="80" s="1"/>
  <c r="O150" i="80"/>
  <c r="T148" i="80"/>
  <c r="T174" i="80" s="1"/>
  <c r="T275" i="80" s="1"/>
  <c r="N148" i="80"/>
  <c r="N174" i="80" s="1"/>
  <c r="N275" i="80" s="1"/>
  <c r="M150" i="80"/>
  <c r="N150" i="80"/>
  <c r="T150" i="80"/>
  <c r="J76" i="80"/>
  <c r="J88" i="80" s="1"/>
  <c r="J88" i="83"/>
  <c r="J159" i="83" s="1"/>
  <c r="J29" i="71" s="1"/>
  <c r="J134" i="71" s="1"/>
  <c r="H543" i="53" a="1"/>
  <c r="H543" i="53" s="1"/>
  <c r="S144" i="80" l="1"/>
  <c r="S170" i="80" s="1"/>
  <c r="S271" i="80" s="1"/>
  <c r="J99" i="80"/>
  <c r="J111" i="80" s="1"/>
  <c r="J144" i="80"/>
  <c r="J170" i="80" s="1"/>
  <c r="J271" i="80" s="1"/>
  <c r="J122" i="80"/>
  <c r="J134" i="80" s="1"/>
  <c r="S143" i="80"/>
  <c r="S169" i="80" s="1"/>
  <c r="S270" i="80" s="1"/>
  <c r="K147" i="80"/>
  <c r="K173" i="80" s="1"/>
  <c r="K274" i="80" s="1"/>
  <c r="J147" i="80"/>
  <c r="L147" i="80"/>
  <c r="L173" i="80" s="1"/>
  <c r="L274" i="80" s="1"/>
  <c r="J73" i="80"/>
  <c r="J85" i="80" s="1"/>
  <c r="J85" i="83"/>
  <c r="J156" i="83" s="1"/>
  <c r="J26" i="71" s="1"/>
  <c r="J131" i="71" s="1"/>
  <c r="J86" i="83"/>
  <c r="J157" i="83" s="1"/>
  <c r="J27" i="71" s="1"/>
  <c r="J132" i="71" s="1"/>
  <c r="J74" i="80"/>
  <c r="J86" i="80" s="1"/>
  <c r="L88" i="83"/>
  <c r="L159" i="83" s="1"/>
  <c r="L29" i="71" s="1"/>
  <c r="L134" i="71" s="1"/>
  <c r="L76" i="80"/>
  <c r="L88" i="80" s="1"/>
  <c r="S113" i="83"/>
  <c r="S218" i="83" s="1"/>
  <c r="S90" i="71" s="1"/>
  <c r="S195" i="71" s="1"/>
  <c r="S123" i="80"/>
  <c r="S135" i="80" s="1"/>
  <c r="S112" i="83"/>
  <c r="S217" i="83" s="1"/>
  <c r="S89" i="71" s="1"/>
  <c r="S194" i="71" s="1"/>
  <c r="S122" i="80"/>
  <c r="S134" i="80" s="1"/>
  <c r="L74" i="80"/>
  <c r="L86" i="80" s="1"/>
  <c r="L86" i="83"/>
  <c r="L157" i="83" s="1"/>
  <c r="L27" i="71" s="1"/>
  <c r="L132" i="71" s="1"/>
  <c r="S77" i="80"/>
  <c r="S89" i="80" s="1"/>
  <c r="S89" i="83"/>
  <c r="S160" i="83" s="1"/>
  <c r="S30" i="71" s="1"/>
  <c r="S135" i="71" s="1"/>
  <c r="S100" i="83"/>
  <c r="S188" i="83" s="1"/>
  <c r="S59" i="71" s="1"/>
  <c r="S164" i="71" s="1"/>
  <c r="S99" i="80"/>
  <c r="S111" i="80" s="1"/>
  <c r="L97" i="80"/>
  <c r="L109" i="80" s="1"/>
  <c r="L98" i="83"/>
  <c r="L186" i="83" s="1"/>
  <c r="L57" i="71" s="1"/>
  <c r="L162" i="71" s="1"/>
  <c r="S70" i="80"/>
  <c r="S82" i="80" s="1"/>
  <c r="S81" i="83"/>
  <c r="S152" i="83" s="1"/>
  <c r="S22" i="71" s="1"/>
  <c r="S127" i="71" s="1"/>
  <c r="S82" i="83"/>
  <c r="S153" i="83" s="1"/>
  <c r="S23" i="71" s="1"/>
  <c r="S128" i="71" s="1"/>
  <c r="S76" i="80"/>
  <c r="S88" i="80" s="1"/>
  <c r="S88" i="83"/>
  <c r="S159" i="83" s="1"/>
  <c r="S29" i="71" s="1"/>
  <c r="S134" i="71" s="1"/>
  <c r="L120" i="80"/>
  <c r="L132" i="80" s="1"/>
  <c r="L110" i="83"/>
  <c r="L215" i="83" s="1"/>
  <c r="L87" i="71" s="1"/>
  <c r="L192" i="71" s="1"/>
  <c r="J110" i="83"/>
  <c r="J215" i="83" s="1"/>
  <c r="J87" i="71" s="1"/>
  <c r="J192" i="71" s="1"/>
  <c r="J120" i="80"/>
  <c r="J132" i="80" s="1"/>
  <c r="S105" i="83"/>
  <c r="S210" i="83" s="1"/>
  <c r="S82" i="71" s="1"/>
  <c r="S187" i="71" s="1"/>
  <c r="S106" i="83"/>
  <c r="S211" i="83" s="1"/>
  <c r="S83" i="71" s="1"/>
  <c r="S188" i="71" s="1"/>
  <c r="S116" i="80"/>
  <c r="S128" i="80" s="1"/>
  <c r="K76" i="80"/>
  <c r="K88" i="80" s="1"/>
  <c r="K88" i="83"/>
  <c r="K159" i="83" s="1"/>
  <c r="K29" i="71" s="1"/>
  <c r="K134" i="71" s="1"/>
  <c r="K97" i="80"/>
  <c r="K109" i="80" s="1"/>
  <c r="K98" i="83"/>
  <c r="K186" i="83" s="1"/>
  <c r="K57" i="71" s="1"/>
  <c r="K162" i="71" s="1"/>
  <c r="K93" i="80"/>
  <c r="K105" i="80" s="1"/>
  <c r="K94" i="83"/>
  <c r="K182" i="83" s="1"/>
  <c r="K53" i="71" s="1"/>
  <c r="K158" i="71" s="1"/>
  <c r="K93" i="83"/>
  <c r="K181" i="83" s="1"/>
  <c r="K52" i="71" s="1"/>
  <c r="K157" i="71" s="1"/>
  <c r="S93" i="80"/>
  <c r="S105" i="80" s="1"/>
  <c r="S93" i="83"/>
  <c r="S181" i="83" s="1"/>
  <c r="S52" i="71" s="1"/>
  <c r="S157" i="71" s="1"/>
  <c r="S94" i="83"/>
  <c r="S182" i="83" s="1"/>
  <c r="S53" i="71" s="1"/>
  <c r="S158" i="71" s="1"/>
  <c r="K99" i="80"/>
  <c r="K111" i="80" s="1"/>
  <c r="K100" i="83"/>
  <c r="K188" i="83" s="1"/>
  <c r="K59" i="71" s="1"/>
  <c r="K164" i="71" s="1"/>
  <c r="K86" i="83"/>
  <c r="K157" i="83" s="1"/>
  <c r="K27" i="71" s="1"/>
  <c r="K132" i="71" s="1"/>
  <c r="K74" i="80"/>
  <c r="K86" i="80" s="1"/>
  <c r="L89" i="83"/>
  <c r="L160" i="83" s="1"/>
  <c r="L30" i="71" s="1"/>
  <c r="L135" i="71" s="1"/>
  <c r="L77" i="80"/>
  <c r="L89" i="80" s="1"/>
  <c r="K122" i="80"/>
  <c r="K134" i="80" s="1"/>
  <c r="K112" i="83"/>
  <c r="K217" i="83" s="1"/>
  <c r="K89" i="71" s="1"/>
  <c r="K194" i="71" s="1"/>
  <c r="K110" i="83"/>
  <c r="K215" i="83" s="1"/>
  <c r="K87" i="71" s="1"/>
  <c r="K192" i="71" s="1"/>
  <c r="K120" i="80"/>
  <c r="K132" i="80" s="1"/>
  <c r="S86" i="83"/>
  <c r="S157" i="83" s="1"/>
  <c r="S27" i="71" s="1"/>
  <c r="S132" i="71" s="1"/>
  <c r="S74" i="80"/>
  <c r="S86" i="80" s="1"/>
  <c r="J97" i="80"/>
  <c r="J109" i="80" s="1"/>
  <c r="J98" i="83"/>
  <c r="J186" i="83" s="1"/>
  <c r="J57" i="71" s="1"/>
  <c r="J162" i="71" s="1"/>
  <c r="L113" i="83"/>
  <c r="L218" i="83" s="1"/>
  <c r="L90" i="71" s="1"/>
  <c r="L195" i="71" s="1"/>
  <c r="L123" i="80"/>
  <c r="L135" i="80" s="1"/>
  <c r="S114" i="83"/>
  <c r="S219" i="83" s="1"/>
  <c r="S91" i="71" s="1"/>
  <c r="S196" i="71" s="1"/>
  <c r="S124" i="80"/>
  <c r="S136" i="80" s="1"/>
  <c r="S110" i="83"/>
  <c r="S215" i="83" s="1"/>
  <c r="S87" i="71" s="1"/>
  <c r="S192" i="71" s="1"/>
  <c r="S120" i="80"/>
  <c r="S132" i="80" s="1"/>
  <c r="K82" i="83"/>
  <c r="K153" i="83" s="1"/>
  <c r="K23" i="71" s="1"/>
  <c r="K128" i="71" s="1"/>
  <c r="K81" i="83"/>
  <c r="K152" i="83" s="1"/>
  <c r="K22" i="71" s="1"/>
  <c r="K127" i="71" s="1"/>
  <c r="K70" i="80"/>
  <c r="K82" i="80" s="1"/>
  <c r="L112" i="83"/>
  <c r="L217" i="83" s="1"/>
  <c r="L89" i="71" s="1"/>
  <c r="L194" i="71" s="1"/>
  <c r="L122" i="80"/>
  <c r="L134" i="80" s="1"/>
  <c r="L100" i="80"/>
  <c r="L112" i="80" s="1"/>
  <c r="L101" i="83"/>
  <c r="L189" i="83" s="1"/>
  <c r="L60" i="71" s="1"/>
  <c r="L165" i="71" s="1"/>
  <c r="L81" i="83"/>
  <c r="L152" i="83" s="1"/>
  <c r="L22" i="71" s="1"/>
  <c r="L127" i="71" s="1"/>
  <c r="L70" i="80"/>
  <c r="L82" i="80" s="1"/>
  <c r="L82" i="83"/>
  <c r="L153" i="83" s="1"/>
  <c r="L23" i="71" s="1"/>
  <c r="L128" i="71" s="1"/>
  <c r="S78" i="80"/>
  <c r="S90" i="80" s="1"/>
  <c r="S90" i="83"/>
  <c r="S161" i="83" s="1"/>
  <c r="S31" i="71" s="1"/>
  <c r="S136" i="71" s="1"/>
  <c r="S97" i="80"/>
  <c r="S109" i="80" s="1"/>
  <c r="S98" i="83"/>
  <c r="S186" i="83" s="1"/>
  <c r="S57" i="71" s="1"/>
  <c r="S162" i="71" s="1"/>
  <c r="L100" i="83"/>
  <c r="L188" i="83" s="1"/>
  <c r="L59" i="71" s="1"/>
  <c r="L164" i="71" s="1"/>
  <c r="L99" i="80"/>
  <c r="L111" i="80" s="1"/>
  <c r="L93" i="80"/>
  <c r="L105" i="80" s="1"/>
  <c r="L93" i="83"/>
  <c r="L181" i="83" s="1"/>
  <c r="L52" i="71" s="1"/>
  <c r="L157" i="71" s="1"/>
  <c r="L94" i="83"/>
  <c r="L182" i="83" s="1"/>
  <c r="L53" i="71" s="1"/>
  <c r="L158" i="71" s="1"/>
  <c r="K90" i="83"/>
  <c r="K161" i="83" s="1"/>
  <c r="K31" i="71" s="1"/>
  <c r="K136" i="71" s="1"/>
  <c r="K78" i="80"/>
  <c r="K90" i="80" s="1"/>
  <c r="S97" i="83"/>
  <c r="S185" i="83" s="1"/>
  <c r="S56" i="71" s="1"/>
  <c r="S161" i="71" s="1"/>
  <c r="S96" i="80"/>
  <c r="S108" i="80" s="1"/>
  <c r="S101" i="80"/>
  <c r="S113" i="80" s="1"/>
  <c r="S102" i="83"/>
  <c r="S190" i="83" s="1"/>
  <c r="S61" i="71" s="1"/>
  <c r="S166" i="71" s="1"/>
  <c r="L106" i="83"/>
  <c r="L211" i="83" s="1"/>
  <c r="L83" i="71" s="1"/>
  <c r="L188" i="71" s="1"/>
  <c r="L116" i="80"/>
  <c r="L128" i="80" s="1"/>
  <c r="L105" i="83"/>
  <c r="L210" i="83" s="1"/>
  <c r="L82" i="71" s="1"/>
  <c r="L187" i="71" s="1"/>
  <c r="K102" i="83"/>
  <c r="K190" i="83" s="1"/>
  <c r="K61" i="71" s="1"/>
  <c r="K166" i="71" s="1"/>
  <c r="K101" i="80"/>
  <c r="K113" i="80" s="1"/>
  <c r="S73" i="80"/>
  <c r="S85" i="80" s="1"/>
  <c r="S85" i="83"/>
  <c r="S156" i="83" s="1"/>
  <c r="S26" i="71" s="1"/>
  <c r="S131" i="71" s="1"/>
  <c r="K89" i="83"/>
  <c r="K160" i="83" s="1"/>
  <c r="K30" i="71" s="1"/>
  <c r="K135" i="71" s="1"/>
  <c r="K77" i="80"/>
  <c r="K89" i="80" s="1"/>
  <c r="K114" i="83"/>
  <c r="K219" i="83" s="1"/>
  <c r="K91" i="71" s="1"/>
  <c r="K196" i="71" s="1"/>
  <c r="K124" i="80"/>
  <c r="K136" i="80" s="1"/>
  <c r="S119" i="80"/>
  <c r="S131" i="80" s="1"/>
  <c r="S109" i="83"/>
  <c r="S214" i="83" s="1"/>
  <c r="S86" i="71" s="1"/>
  <c r="S191" i="71" s="1"/>
  <c r="K106" i="83"/>
  <c r="K211" i="83" s="1"/>
  <c r="K83" i="71" s="1"/>
  <c r="K188" i="71" s="1"/>
  <c r="K116" i="80"/>
  <c r="K128" i="80" s="1"/>
  <c r="K105" i="83"/>
  <c r="K210" i="83" s="1"/>
  <c r="K82" i="71" s="1"/>
  <c r="K187" i="71" s="1"/>
  <c r="K123" i="80"/>
  <c r="K135" i="80" s="1"/>
  <c r="K113" i="83"/>
  <c r="K218" i="83" s="1"/>
  <c r="K90" i="71" s="1"/>
  <c r="K195" i="71" s="1"/>
  <c r="L90" i="83"/>
  <c r="L161" i="83" s="1"/>
  <c r="L31" i="71" s="1"/>
  <c r="L136" i="71" s="1"/>
  <c r="L78" i="80"/>
  <c r="L90" i="80" s="1"/>
  <c r="L119" i="80"/>
  <c r="L131" i="80" s="1"/>
  <c r="L109" i="83"/>
  <c r="L214" i="83" s="1"/>
  <c r="L86" i="71" s="1"/>
  <c r="L191" i="71" s="1"/>
  <c r="S100" i="80"/>
  <c r="S112" i="80" s="1"/>
  <c r="S101" i="83"/>
  <c r="S189" i="83" s="1"/>
  <c r="S60" i="71" s="1"/>
  <c r="S165" i="71" s="1"/>
  <c r="K100" i="80"/>
  <c r="K112" i="80" s="1"/>
  <c r="K101" i="83"/>
  <c r="K189" i="83" s="1"/>
  <c r="K60" i="71" s="1"/>
  <c r="K165" i="71" s="1"/>
  <c r="L124" i="80"/>
  <c r="L136" i="80" s="1"/>
  <c r="L114" i="83"/>
  <c r="L219" i="83" s="1"/>
  <c r="L91" i="71" s="1"/>
  <c r="L196" i="71" s="1"/>
  <c r="L97" i="83"/>
  <c r="L185" i="83" s="1"/>
  <c r="L56" i="71" s="1"/>
  <c r="L161" i="71" s="1"/>
  <c r="L96" i="80"/>
  <c r="L108" i="80" s="1"/>
  <c r="J70" i="80"/>
  <c r="J82" i="80" s="1"/>
  <c r="J81" i="83"/>
  <c r="J152" i="83" s="1"/>
  <c r="J22" i="71" s="1"/>
  <c r="J127" i="71" s="1"/>
  <c r="J82" i="83"/>
  <c r="J153" i="83" s="1"/>
  <c r="J23" i="71" s="1"/>
  <c r="J128" i="71" s="1"/>
  <c r="L102" i="83"/>
  <c r="L190" i="83" s="1"/>
  <c r="L61" i="71" s="1"/>
  <c r="L166" i="71" s="1"/>
  <c r="L101" i="80"/>
  <c r="L113" i="80" s="1"/>
  <c r="L73" i="80"/>
  <c r="L85" i="80" s="1"/>
  <c r="L85" i="83"/>
  <c r="L156" i="83" s="1"/>
  <c r="L26" i="71" s="1"/>
  <c r="L131" i="71" s="1"/>
  <c r="J105" i="83"/>
  <c r="J210" i="83" s="1"/>
  <c r="J82" i="71" s="1"/>
  <c r="J187" i="71" s="1"/>
  <c r="J116" i="80"/>
  <c r="J128" i="80" s="1"/>
  <c r="J106" i="83"/>
  <c r="J211" i="83" s="1"/>
  <c r="J83" i="71" s="1"/>
  <c r="J188" i="71" s="1"/>
  <c r="J102" i="83"/>
  <c r="J190" i="83" s="1"/>
  <c r="J61" i="71" s="1"/>
  <c r="J166" i="71" s="1"/>
  <c r="J101" i="80"/>
  <c r="J113" i="80" s="1"/>
  <c r="L143" i="80"/>
  <c r="J94" i="83"/>
  <c r="J182" i="83" s="1"/>
  <c r="J53" i="71" s="1"/>
  <c r="J158" i="71" s="1"/>
  <c r="J93" i="80"/>
  <c r="J105" i="80" s="1"/>
  <c r="J93" i="83"/>
  <c r="J181" i="83" s="1"/>
  <c r="J52" i="71" s="1"/>
  <c r="J157" i="71" s="1"/>
  <c r="J78" i="80"/>
  <c r="J90" i="80" s="1"/>
  <c r="J90" i="83"/>
  <c r="J161" i="83" s="1"/>
  <c r="J31" i="71" s="1"/>
  <c r="J136" i="71" s="1"/>
  <c r="J89" i="83"/>
  <c r="J160" i="83" s="1"/>
  <c r="J30" i="71" s="1"/>
  <c r="J135" i="71" s="1"/>
  <c r="J77" i="80"/>
  <c r="J89" i="80" s="1"/>
  <c r="J114" i="83"/>
  <c r="J219" i="83" s="1"/>
  <c r="J91" i="71" s="1"/>
  <c r="J196" i="71" s="1"/>
  <c r="J124" i="80"/>
  <c r="J136" i="80" s="1"/>
  <c r="K109" i="83"/>
  <c r="K214" i="83" s="1"/>
  <c r="K86" i="71" s="1"/>
  <c r="K191" i="71" s="1"/>
  <c r="K119" i="80"/>
  <c r="K131" i="80" s="1"/>
  <c r="J123" i="80"/>
  <c r="J135" i="80" s="1"/>
  <c r="J113" i="83"/>
  <c r="J218" i="83" s="1"/>
  <c r="J90" i="71" s="1"/>
  <c r="J195" i="71" s="1"/>
  <c r="J109" i="83"/>
  <c r="J214" i="83" s="1"/>
  <c r="J86" i="71" s="1"/>
  <c r="J191" i="71" s="1"/>
  <c r="J119" i="80"/>
  <c r="J131" i="80" s="1"/>
  <c r="K85" i="83"/>
  <c r="K156" i="83" s="1"/>
  <c r="K26" i="71" s="1"/>
  <c r="K131" i="71" s="1"/>
  <c r="K73" i="80"/>
  <c r="K85" i="80" s="1"/>
  <c r="J101" i="83"/>
  <c r="J189" i="83" s="1"/>
  <c r="J60" i="71" s="1"/>
  <c r="J165" i="71" s="1"/>
  <c r="J100" i="80"/>
  <c r="J112" i="80" s="1"/>
  <c r="J97" i="83"/>
  <c r="J185" i="83" s="1"/>
  <c r="J56" i="71" s="1"/>
  <c r="J161" i="71" s="1"/>
  <c r="J96" i="80"/>
  <c r="J108" i="80" s="1"/>
  <c r="K97" i="83"/>
  <c r="K185" i="83" s="1"/>
  <c r="K56" i="71" s="1"/>
  <c r="K161" i="71" s="1"/>
  <c r="K96" i="80"/>
  <c r="K108" i="80" s="1"/>
  <c r="O208" i="80"/>
  <c r="O176" i="80"/>
  <c r="O177" i="80" s="1"/>
  <c r="A4" i="53"/>
  <c r="J42" i="55"/>
  <c r="T208" i="80"/>
  <c r="T176" i="80"/>
  <c r="T177" i="80" s="1"/>
  <c r="M176" i="80"/>
  <c r="M177" i="80" s="1"/>
  <c r="M208" i="80"/>
  <c r="N176" i="80"/>
  <c r="N177" i="80" s="1"/>
  <c r="N208" i="80"/>
  <c r="H271" i="80" l="1"/>
  <c r="K142" i="80"/>
  <c r="K168" i="80" s="1"/>
  <c r="K269" i="80" s="1"/>
  <c r="J148" i="80"/>
  <c r="J174" i="80" s="1"/>
  <c r="J275" i="80" s="1"/>
  <c r="L150" i="80"/>
  <c r="L208" i="80" s="1"/>
  <c r="H156" i="80"/>
  <c r="L142" i="80"/>
  <c r="L168" i="80" s="1"/>
  <c r="L269" i="80" s="1"/>
  <c r="K146" i="80"/>
  <c r="K172" i="80" s="1"/>
  <c r="K273" i="80" s="1"/>
  <c r="J142" i="80"/>
  <c r="J168" i="80" s="1"/>
  <c r="J269" i="80" s="1"/>
  <c r="S145" i="80"/>
  <c r="S171" i="80" s="1"/>
  <c r="S272" i="80" s="1"/>
  <c r="J173" i="80"/>
  <c r="J274" i="80" s="1"/>
  <c r="H274" i="80" s="1"/>
  <c r="H159" i="80"/>
  <c r="K149" i="80"/>
  <c r="K175" i="80" s="1"/>
  <c r="K276" i="80" s="1"/>
  <c r="L149" i="80"/>
  <c r="L175" i="80" s="1"/>
  <c r="L276" i="80" s="1"/>
  <c r="S148" i="80"/>
  <c r="S174" i="80" s="1"/>
  <c r="S275" i="80" s="1"/>
  <c r="J149" i="80"/>
  <c r="J150" i="80"/>
  <c r="S150" i="80"/>
  <c r="L146" i="80"/>
  <c r="L172" i="80" s="1"/>
  <c r="L273" i="80" s="1"/>
  <c r="L169" i="80"/>
  <c r="L270" i="80" s="1"/>
  <c r="H270" i="80" s="1"/>
  <c r="H155" i="80"/>
  <c r="K150" i="80"/>
  <c r="S149" i="80"/>
  <c r="S175" i="80" s="1"/>
  <c r="S276" i="80" s="1"/>
  <c r="K148" i="80"/>
  <c r="K174" i="80" s="1"/>
  <c r="K275" i="80" s="1"/>
  <c r="S142" i="80"/>
  <c r="S168" i="80" s="1"/>
  <c r="L148" i="80"/>
  <c r="L174" i="80" s="1"/>
  <c r="L275" i="80" s="1"/>
  <c r="S146" i="80"/>
  <c r="S172" i="80" s="1"/>
  <c r="S273" i="80" s="1"/>
  <c r="J146" i="80"/>
  <c r="K145" i="80"/>
  <c r="K171" i="80" s="1"/>
  <c r="L145" i="80"/>
  <c r="L171" i="80" s="1"/>
  <c r="L272" i="80" s="1"/>
  <c r="J145" i="80"/>
  <c r="L176" i="80" l="1"/>
  <c r="H275" i="80"/>
  <c r="H154" i="80"/>
  <c r="H160" i="80"/>
  <c r="L177" i="80"/>
  <c r="K272" i="80"/>
  <c r="H158" i="80"/>
  <c r="J172" i="80"/>
  <c r="J273" i="80" s="1"/>
  <c r="H273" i="80" s="1"/>
  <c r="S269" i="80"/>
  <c r="H269" i="80" s="1"/>
  <c r="J171" i="80"/>
  <c r="H157" i="80"/>
  <c r="K176" i="80"/>
  <c r="K177" i="80" s="1"/>
  <c r="K208" i="80"/>
  <c r="S208" i="80"/>
  <c r="S176" i="80"/>
  <c r="S177" i="80" s="1"/>
  <c r="J176" i="80"/>
  <c r="J208" i="80"/>
  <c r="H162" i="80"/>
  <c r="J175" i="80"/>
  <c r="J276" i="80" s="1"/>
  <c r="H276" i="80" s="1"/>
  <c r="H161" i="80"/>
  <c r="H210" i="80" l="1"/>
  <c r="H234" i="80" s="1"/>
  <c r="T247" i="80" s="1"/>
  <c r="J46" i="82" a="1"/>
  <c r="L46" i="82" s="1"/>
  <c r="W260" i="80"/>
  <c r="U260" i="80"/>
  <c r="V260" i="80"/>
  <c r="J272" i="80"/>
  <c r="H272" i="80" s="1"/>
  <c r="J177" i="80"/>
  <c r="J260" i="80" l="1"/>
  <c r="AG260" i="80"/>
  <c r="R260" i="80"/>
  <c r="AJ260" i="80"/>
  <c r="AO260" i="80"/>
  <c r="AL260" i="80"/>
  <c r="AM247" i="80"/>
  <c r="AN247" i="80"/>
  <c r="AH260" i="80"/>
  <c r="AC260" i="80"/>
  <c r="S247" i="80"/>
  <c r="Y260" i="80"/>
  <c r="H32" i="73"/>
  <c r="S141" i="73" s="1"/>
  <c r="AN260" i="80"/>
  <c r="AL247" i="80"/>
  <c r="N260" i="80"/>
  <c r="W247" i="80"/>
  <c r="Z260" i="80"/>
  <c r="AP260" i="80"/>
  <c r="M260" i="80"/>
  <c r="M277" i="80" s="1"/>
  <c r="Q260" i="80"/>
  <c r="AI260" i="80"/>
  <c r="K247" i="80"/>
  <c r="N247" i="80"/>
  <c r="N277" i="80" s="1"/>
  <c r="M247" i="80"/>
  <c r="AA260" i="80"/>
  <c r="Q247" i="80"/>
  <c r="X260" i="80"/>
  <c r="Y247" i="80"/>
  <c r="AJ247" i="80"/>
  <c r="AO247" i="80"/>
  <c r="AF247" i="80"/>
  <c r="AK260" i="80"/>
  <c r="P260" i="80"/>
  <c r="AE247" i="80"/>
  <c r="T260" i="80"/>
  <c r="T277" i="80" s="1"/>
  <c r="AI247" i="80"/>
  <c r="AG247" i="80"/>
  <c r="AG277" i="80" s="1"/>
  <c r="AD260" i="80"/>
  <c r="AC247" i="80"/>
  <c r="AC277" i="80" s="1"/>
  <c r="AK247" i="80"/>
  <c r="O247" i="80"/>
  <c r="O277" i="80" s="1"/>
  <c r="AM260" i="80"/>
  <c r="AD247" i="80"/>
  <c r="AH247" i="80"/>
  <c r="AH277" i="80" s="1"/>
  <c r="L247" i="80"/>
  <c r="L277" i="80" s="1"/>
  <c r="K260" i="80"/>
  <c r="K277" i="80" s="1"/>
  <c r="AP247" i="80"/>
  <c r="AP277" i="80" s="1"/>
  <c r="P247" i="80"/>
  <c r="J46" i="82"/>
  <c r="R247" i="80"/>
  <c r="U247" i="80"/>
  <c r="U277" i="80" s="1"/>
  <c r="AF260" i="80"/>
  <c r="AF277" i="80" s="1"/>
  <c r="M46" i="82"/>
  <c r="Z247" i="80"/>
  <c r="Z277" i="80" s="1"/>
  <c r="J247" i="80"/>
  <c r="J277" i="80" s="1"/>
  <c r="AB247" i="80"/>
  <c r="S260" i="80"/>
  <c r="AB260" i="80"/>
  <c r="O46" i="82"/>
  <c r="AE260" i="80"/>
  <c r="X247" i="80"/>
  <c r="V247" i="80"/>
  <c r="V277" i="80" s="1"/>
  <c r="AA247" i="80"/>
  <c r="K46" i="82"/>
  <c r="N46" i="82"/>
  <c r="W277" i="80"/>
  <c r="K141" i="73"/>
  <c r="AB141" i="73" l="1"/>
  <c r="W171" i="73"/>
  <c r="W231" i="73" s="1"/>
  <c r="P277" i="80"/>
  <c r="R277" i="80"/>
  <c r="J141" i="73"/>
  <c r="J201" i="73" s="1"/>
  <c r="L171" i="73"/>
  <c r="L231" i="73" s="1"/>
  <c r="U171" i="73"/>
  <c r="U231" i="73" s="1"/>
  <c r="M171" i="73"/>
  <c r="M231" i="73" s="1"/>
  <c r="Z171" i="73"/>
  <c r="Z231" i="73" s="1"/>
  <c r="X171" i="73"/>
  <c r="X231" i="73" s="1"/>
  <c r="O141" i="73"/>
  <c r="O271" i="73" s="1"/>
  <c r="O34" i="74" s="1"/>
  <c r="O79" i="74" s="1"/>
  <c r="AA141" i="73"/>
  <c r="AA171" i="73"/>
  <c r="AA231" i="73" s="1"/>
  <c r="K171" i="73"/>
  <c r="K231" i="73" s="1"/>
  <c r="S277" i="80"/>
  <c r="AJ277" i="80"/>
  <c r="W141" i="73"/>
  <c r="W271" i="73" s="1"/>
  <c r="W34" i="74" s="1"/>
  <c r="W79" i="74" s="1"/>
  <c r="Z141" i="73"/>
  <c r="Z271" i="73" s="1"/>
  <c r="Z34" i="74" s="1"/>
  <c r="Z79" i="74" s="1"/>
  <c r="AB171" i="73"/>
  <c r="AB231" i="73" s="1"/>
  <c r="R141" i="73"/>
  <c r="R201" i="73" s="1"/>
  <c r="P171" i="73"/>
  <c r="P231" i="73" s="1"/>
  <c r="Q277" i="80"/>
  <c r="AO277" i="80"/>
  <c r="AA277" i="80"/>
  <c r="AM277" i="80"/>
  <c r="Y277" i="80"/>
  <c r="AL277" i="80"/>
  <c r="AN277" i="80"/>
  <c r="S171" i="73"/>
  <c r="S231" i="73" s="1"/>
  <c r="T141" i="73"/>
  <c r="L141" i="73"/>
  <c r="L271" i="73" s="1"/>
  <c r="L34" i="74" s="1"/>
  <c r="L79" i="74" s="1"/>
  <c r="N171" i="73"/>
  <c r="N231" i="73" s="1"/>
  <c r="R171" i="73"/>
  <c r="R231" i="73" s="1"/>
  <c r="N141" i="73"/>
  <c r="N271" i="73" s="1"/>
  <c r="N34" i="74" s="1"/>
  <c r="N79" i="74" s="1"/>
  <c r="J171" i="73"/>
  <c r="J231" i="73" s="1"/>
  <c r="M141" i="73"/>
  <c r="M201" i="73" s="1"/>
  <c r="V141" i="73"/>
  <c r="V201" i="73" s="1"/>
  <c r="Y141" i="73"/>
  <c r="Y201" i="73" s="1"/>
  <c r="X277" i="80"/>
  <c r="Q141" i="73"/>
  <c r="Q201" i="73" s="1"/>
  <c r="Q171" i="73"/>
  <c r="Q231" i="73" s="1"/>
  <c r="O171" i="73"/>
  <c r="O231" i="73" s="1"/>
  <c r="P141" i="73"/>
  <c r="P201" i="73" s="1"/>
  <c r="X141" i="73"/>
  <c r="X201" i="73" s="1"/>
  <c r="T171" i="73"/>
  <c r="T231" i="73" s="1"/>
  <c r="V171" i="73"/>
  <c r="V231" i="73" s="1"/>
  <c r="U141" i="73"/>
  <c r="U271" i="73" s="1"/>
  <c r="U34" i="74" s="1"/>
  <c r="U79" i="74" s="1"/>
  <c r="Y171" i="73"/>
  <c r="Y231" i="73" s="1"/>
  <c r="AI277" i="80"/>
  <c r="AK277" i="80"/>
  <c r="AB277" i="80"/>
  <c r="AD277" i="80"/>
  <c r="AE277" i="80"/>
  <c r="L201" i="73"/>
  <c r="R271" i="73"/>
  <c r="R34" i="74" s="1"/>
  <c r="R79" i="74" s="1"/>
  <c r="R109" i="74" s="1"/>
  <c r="R141" i="74" s="1"/>
  <c r="V271" i="73"/>
  <c r="V34" i="74" s="1"/>
  <c r="V79" i="74" s="1"/>
  <c r="X271" i="73"/>
  <c r="X34" i="74" s="1"/>
  <c r="X79" i="74" s="1"/>
  <c r="T201" i="73"/>
  <c r="T271" i="73"/>
  <c r="T34" i="74" s="1"/>
  <c r="T79" i="74" s="1"/>
  <c r="S271" i="73"/>
  <c r="S34" i="74" s="1"/>
  <c r="S79" i="74" s="1"/>
  <c r="S201" i="73"/>
  <c r="K271" i="73"/>
  <c r="K34" i="74" s="1"/>
  <c r="K79" i="74" s="1"/>
  <c r="K201" i="73"/>
  <c r="AA201" i="73"/>
  <c r="AA271" i="73"/>
  <c r="AA34" i="74" s="1"/>
  <c r="AA79" i="74" s="1"/>
  <c r="AB271" i="73"/>
  <c r="AB34" i="74" s="1"/>
  <c r="AB79" i="74" s="1"/>
  <c r="AB201" i="73"/>
  <c r="Y271" i="73"/>
  <c r="Y34" i="74" s="1"/>
  <c r="Y79" i="74" s="1"/>
  <c r="W201" i="73" l="1"/>
  <c r="J271" i="73"/>
  <c r="J34" i="74" s="1"/>
  <c r="J79" i="74" s="1"/>
  <c r="Z201" i="73"/>
  <c r="H277" i="80"/>
  <c r="O201" i="73"/>
  <c r="N201" i="73"/>
  <c r="Q271" i="73"/>
  <c r="Q34" i="74" s="1"/>
  <c r="Q79" i="74" s="1"/>
  <c r="Q109" i="74" s="1"/>
  <c r="U201" i="73"/>
  <c r="M271" i="73"/>
  <c r="M34" i="74" s="1"/>
  <c r="M79" i="74" s="1"/>
  <c r="K109" i="74" s="1"/>
  <c r="K141" i="74" s="1"/>
  <c r="P271" i="73"/>
  <c r="P34" i="74" s="1"/>
  <c r="P79" i="74" s="1"/>
  <c r="P109" i="74" s="1"/>
  <c r="P141" i="74" s="1"/>
  <c r="K64" i="81" a="1"/>
  <c r="H281" i="80" a="1"/>
  <c r="H281" i="80" s="1"/>
  <c r="X109" i="74"/>
  <c r="X141" i="74" s="1"/>
  <c r="AJ109" i="74"/>
  <c r="AJ141" i="74" s="1"/>
  <c r="AB109" i="74"/>
  <c r="AB141" i="74" s="1"/>
  <c r="AC109" i="74"/>
  <c r="AC141" i="74" s="1"/>
  <c r="O109" i="74"/>
  <c r="O141" i="74" s="1"/>
  <c r="Z109" i="74"/>
  <c r="Z141" i="74" s="1"/>
  <c r="V109" i="74"/>
  <c r="V141" i="74" s="1"/>
  <c r="AI109" i="74"/>
  <c r="AI141" i="74" s="1"/>
  <c r="AE109" i="74"/>
  <c r="AE141" i="74" s="1"/>
  <c r="AN109" i="74"/>
  <c r="AN141" i="74" s="1"/>
  <c r="AG109" i="74"/>
  <c r="AG141" i="74" s="1"/>
  <c r="AP109" i="74"/>
  <c r="AP141" i="74" s="1"/>
  <c r="AH109" i="74"/>
  <c r="AH141" i="74" s="1"/>
  <c r="L109" i="74"/>
  <c r="L141" i="74" s="1"/>
  <c r="W109" i="74"/>
  <c r="W141" i="74" s="1"/>
  <c r="AO109" i="74"/>
  <c r="AO141" i="74" s="1"/>
  <c r="AK109" i="74"/>
  <c r="AK141" i="74" s="1"/>
  <c r="AM109" i="74"/>
  <c r="AM141" i="74" s="1"/>
  <c r="U109" i="74"/>
  <c r="U141" i="74" s="1"/>
  <c r="AL109" i="74"/>
  <c r="AL141" i="74" s="1"/>
  <c r="AF109" i="74"/>
  <c r="AF141" i="74" s="1"/>
  <c r="AA109" i="74"/>
  <c r="AA141" i="74" s="1"/>
  <c r="AD109" i="74"/>
  <c r="AD141" i="74" s="1"/>
  <c r="Y109" i="74"/>
  <c r="Y141" i="74" s="1"/>
  <c r="M109" i="74" l="1"/>
  <c r="M141" i="74" s="1"/>
  <c r="T109" i="74"/>
  <c r="T141" i="74" s="1"/>
  <c r="N109" i="74"/>
  <c r="N141" i="74" s="1"/>
  <c r="J109" i="74"/>
  <c r="J141" i="74" s="1"/>
  <c r="S109" i="74"/>
  <c r="S141" i="74" s="1"/>
  <c r="A4" i="80"/>
  <c r="J43" i="55"/>
  <c r="P64" i="81"/>
  <c r="P67" i="81" s="1"/>
  <c r="K64" i="81"/>
  <c r="Q64" i="81"/>
  <c r="Q67" i="81" s="1"/>
  <c r="M64" i="81"/>
  <c r="M67" i="81" s="1"/>
  <c r="S64" i="81"/>
  <c r="S67" i="81" s="1"/>
  <c r="O64" i="81"/>
  <c r="O67" i="81" s="1"/>
  <c r="R64" i="81"/>
  <c r="R67" i="81" s="1"/>
  <c r="N64" i="81"/>
  <c r="N67" i="81" s="1"/>
  <c r="L64" i="81"/>
  <c r="L67" i="81" s="1"/>
  <c r="L73" i="81" l="1"/>
  <c r="L76" i="81" s="1"/>
  <c r="L100" i="81"/>
  <c r="L115" i="81" s="1"/>
  <c r="N73" i="81"/>
  <c r="N76" i="81" s="1"/>
  <c r="R73" i="81"/>
  <c r="R76" i="81" s="1"/>
  <c r="O73" i="81"/>
  <c r="O76" i="81" s="1"/>
  <c r="S73" i="81"/>
  <c r="S76" i="81" s="1"/>
  <c r="M100" i="81"/>
  <c r="M115" i="81" s="1"/>
  <c r="M73" i="81"/>
  <c r="M76" i="81" s="1"/>
  <c r="Q73" i="81"/>
  <c r="Q76" i="81" s="1"/>
  <c r="J65" i="81"/>
  <c r="J67" i="81" s="1"/>
  <c r="J100" i="81" s="1"/>
  <c r="J115" i="81" s="1"/>
  <c r="K67" i="81"/>
  <c r="P73" i="81"/>
  <c r="P76" i="81" s="1"/>
  <c r="P100" i="81"/>
  <c r="P115" i="81" s="1"/>
  <c r="P108" i="81" l="1"/>
  <c r="O47" i="82" s="1"/>
  <c r="P78" i="81"/>
  <c r="P97" i="81" s="1"/>
  <c r="Q108" i="81"/>
  <c r="P47" i="82" s="1"/>
  <c r="Q78" i="81"/>
  <c r="Q97" i="81" s="1"/>
  <c r="Q100" i="81" s="1"/>
  <c r="Q115" i="81" s="1"/>
  <c r="M108" i="81"/>
  <c r="L47" i="82" s="1"/>
  <c r="M78" i="81"/>
  <c r="M97" i="81" s="1"/>
  <c r="S108" i="81"/>
  <c r="R47" i="82" s="1"/>
  <c r="S78" i="81"/>
  <c r="S97" i="81" s="1"/>
  <c r="S100" i="81" s="1"/>
  <c r="S115" i="81" s="1"/>
  <c r="O108" i="81"/>
  <c r="N47" i="82" s="1"/>
  <c r="O78" i="81"/>
  <c r="O97" i="81" s="1"/>
  <c r="O100" i="81" s="1"/>
  <c r="O115" i="81" s="1"/>
  <c r="R78" i="81"/>
  <c r="R97" i="81" s="1"/>
  <c r="R100" i="81" s="1"/>
  <c r="R115" i="81" s="1"/>
  <c r="R108" i="81"/>
  <c r="Q47" i="82" s="1"/>
  <c r="N108" i="81"/>
  <c r="M47" i="82" s="1"/>
  <c r="N78" i="81"/>
  <c r="N97" i="81" s="1"/>
  <c r="N100" i="81" s="1"/>
  <c r="N115" i="81" s="1"/>
  <c r="L78" i="81"/>
  <c r="L97" i="81" s="1"/>
  <c r="U78" i="81"/>
  <c r="U97" i="81" s="1"/>
  <c r="L108" i="81"/>
  <c r="H123" i="81"/>
  <c r="H21" i="76" s="1"/>
  <c r="T78" i="81"/>
  <c r="T97" i="81" s="1"/>
  <c r="K78" i="81"/>
  <c r="K97" i="81" l="1"/>
  <c r="K100" i="81" s="1"/>
  <c r="K115" i="81" s="1"/>
  <c r="H127" i="81" a="1"/>
  <c r="H127" i="81" s="1"/>
  <c r="H131" i="81" s="1"/>
  <c r="H35" i="76"/>
  <c r="H19" i="82" a="1"/>
  <c r="K47" i="82"/>
  <c r="H20" i="82" l="1"/>
  <c r="H21" i="82"/>
  <c r="H19" i="82"/>
  <c r="H23" i="82"/>
  <c r="H22" i="82"/>
  <c r="S43" i="76"/>
  <c r="S56" i="74" s="1"/>
  <c r="S157" i="74" s="1"/>
  <c r="U43" i="76"/>
  <c r="U56" i="74" s="1"/>
  <c r="U157" i="74" s="1"/>
  <c r="J42" i="76"/>
  <c r="AC43" i="76"/>
  <c r="AC56" i="74" s="1"/>
  <c r="AC157" i="74" s="1"/>
  <c r="AL42" i="76"/>
  <c r="AL55" i="74" s="1"/>
  <c r="AL156" i="74" s="1"/>
  <c r="AJ42" i="76"/>
  <c r="AJ55" i="74" s="1"/>
  <c r="AJ156" i="74" s="1"/>
  <c r="W43" i="76"/>
  <c r="W56" i="74" s="1"/>
  <c r="W157" i="74" s="1"/>
  <c r="AG43" i="76"/>
  <c r="AG56" i="74" s="1"/>
  <c r="AG157" i="74" s="1"/>
  <c r="AI43" i="76"/>
  <c r="AI56" i="74" s="1"/>
  <c r="AI157" i="74" s="1"/>
  <c r="AN42" i="76"/>
  <c r="AN55" i="74" s="1"/>
  <c r="AN156" i="74" s="1"/>
  <c r="N42" i="76"/>
  <c r="N55" i="74" s="1"/>
  <c r="N156" i="74" s="1"/>
  <c r="V43" i="76"/>
  <c r="V56" i="74" s="1"/>
  <c r="V157" i="74" s="1"/>
  <c r="Y44" i="76"/>
  <c r="Y46" i="71" s="1"/>
  <c r="Y151" i="71" s="1"/>
  <c r="AP42" i="76"/>
  <c r="AP55" i="74" s="1"/>
  <c r="AP156" i="74" s="1"/>
  <c r="AO43" i="76"/>
  <c r="AO56" i="74" s="1"/>
  <c r="AO157" i="74" s="1"/>
  <c r="AK43" i="76"/>
  <c r="AK56" i="74" s="1"/>
  <c r="AK157" i="74" s="1"/>
  <c r="U42" i="76"/>
  <c r="U55" i="74" s="1"/>
  <c r="U156" i="74" s="1"/>
  <c r="X43" i="76"/>
  <c r="AL43" i="76"/>
  <c r="AL56" i="74" s="1"/>
  <c r="AL157" i="74" s="1"/>
  <c r="AA43" i="76"/>
  <c r="Y42" i="76"/>
  <c r="AE42" i="76"/>
  <c r="AE55" i="74" s="1"/>
  <c r="AE156" i="74" s="1"/>
  <c r="O43" i="76"/>
  <c r="O56" i="74" s="1"/>
  <c r="O157" i="74" s="1"/>
  <c r="AK42" i="76"/>
  <c r="AK55" i="74" s="1"/>
  <c r="AK156" i="74" s="1"/>
  <c r="AG42" i="76"/>
  <c r="AG55" i="74" s="1"/>
  <c r="AG156" i="74" s="1"/>
  <c r="T43" i="76"/>
  <c r="T56" i="74" s="1"/>
  <c r="T157" i="74" s="1"/>
  <c r="AF43" i="76"/>
  <c r="AF56" i="74" s="1"/>
  <c r="AF157" i="74" s="1"/>
  <c r="O42" i="76"/>
  <c r="O55" i="74" s="1"/>
  <c r="O156" i="74" s="1"/>
  <c r="Z43" i="76"/>
  <c r="J43" i="76"/>
  <c r="J56" i="74" s="1"/>
  <c r="J157" i="74" s="1"/>
  <c r="N43" i="76"/>
  <c r="N56" i="74" s="1"/>
  <c r="N157" i="74" s="1"/>
  <c r="AD43" i="76"/>
  <c r="AD56" i="74" s="1"/>
  <c r="AD157" i="74" s="1"/>
  <c r="P43" i="76"/>
  <c r="P56" i="74" s="1"/>
  <c r="P157" i="74" s="1"/>
  <c r="T42" i="76"/>
  <c r="T55" i="74" s="1"/>
  <c r="T156" i="74" s="1"/>
  <c r="L42" i="76"/>
  <c r="L55" i="74" s="1"/>
  <c r="L156" i="74" s="1"/>
  <c r="R43" i="76"/>
  <c r="R56" i="74" s="1"/>
  <c r="R157" i="74" s="1"/>
  <c r="AH43" i="76"/>
  <c r="AH56" i="74" s="1"/>
  <c r="AH157" i="74" s="1"/>
  <c r="R42" i="76"/>
  <c r="R55" i="74" s="1"/>
  <c r="R156" i="74" s="1"/>
  <c r="M43" i="76"/>
  <c r="M56" i="74" s="1"/>
  <c r="M157" i="74" s="1"/>
  <c r="W42" i="76"/>
  <c r="W55" i="74" s="1"/>
  <c r="W156" i="74" s="1"/>
  <c r="Z44" i="76"/>
  <c r="Z46" i="71" s="1"/>
  <c r="Z151" i="71" s="1"/>
  <c r="K43" i="76"/>
  <c r="K56" i="74" s="1"/>
  <c r="K157" i="74" s="1"/>
  <c r="M42" i="76"/>
  <c r="M55" i="74" s="1"/>
  <c r="M156" i="74" s="1"/>
  <c r="AM43" i="76"/>
  <c r="AM56" i="74" s="1"/>
  <c r="AM157" i="74" s="1"/>
  <c r="X42" i="76"/>
  <c r="V42" i="76"/>
  <c r="V55" i="74" s="1"/>
  <c r="V156" i="74" s="1"/>
  <c r="AM42" i="76"/>
  <c r="AM55" i="74" s="1"/>
  <c r="AM156" i="74" s="1"/>
  <c r="AF42" i="76"/>
  <c r="AF55" i="74" s="1"/>
  <c r="AF156" i="74" s="1"/>
  <c r="AE43" i="76"/>
  <c r="AE56" i="74" s="1"/>
  <c r="AE157" i="74" s="1"/>
  <c r="AI42" i="76"/>
  <c r="AI55" i="74" s="1"/>
  <c r="AI156" i="74" s="1"/>
  <c r="L43" i="76"/>
  <c r="L56" i="74" s="1"/>
  <c r="L157" i="74" s="1"/>
  <c r="AP43" i="76"/>
  <c r="AP56" i="74" s="1"/>
  <c r="AP157" i="74" s="1"/>
  <c r="AO42" i="76"/>
  <c r="AO55" i="74" s="1"/>
  <c r="AO156" i="74" s="1"/>
  <c r="AJ43" i="76"/>
  <c r="AJ56" i="74" s="1"/>
  <c r="AJ157" i="74" s="1"/>
  <c r="AB42" i="76"/>
  <c r="AA44" i="76"/>
  <c r="AA46" i="71" s="1"/>
  <c r="AA151" i="71" s="1"/>
  <c r="AB43" i="76"/>
  <c r="AD42" i="76"/>
  <c r="AD55" i="74" s="1"/>
  <c r="AD156" i="74" s="1"/>
  <c r="AA42" i="76"/>
  <c r="P42" i="76"/>
  <c r="P55" i="74" s="1"/>
  <c r="P156" i="74" s="1"/>
  <c r="AH42" i="76"/>
  <c r="AH55" i="74" s="1"/>
  <c r="AH156" i="74" s="1"/>
  <c r="AN43" i="76"/>
  <c r="AN56" i="74" s="1"/>
  <c r="AN157" i="74" s="1"/>
  <c r="Q42" i="76"/>
  <c r="Q55" i="74" s="1"/>
  <c r="Q156" i="74" s="1"/>
  <c r="S42" i="76"/>
  <c r="S55" i="74" s="1"/>
  <c r="S156" i="74" s="1"/>
  <c r="AC42" i="76"/>
  <c r="AC55" i="74" s="1"/>
  <c r="AC156" i="74" s="1"/>
  <c r="AB44" i="76"/>
  <c r="Q43" i="76"/>
  <c r="Q56" i="74" s="1"/>
  <c r="Q157" i="74" s="1"/>
  <c r="K42" i="76"/>
  <c r="K55" i="74" s="1"/>
  <c r="K156" i="74" s="1"/>
  <c r="Z42" i="76"/>
  <c r="Y43" i="76"/>
  <c r="X44" i="76"/>
  <c r="X46" i="71" s="1"/>
  <c r="X151" i="71" s="1"/>
  <c r="J45" i="55"/>
  <c r="A4" i="81"/>
  <c r="H63" i="72" a="1"/>
  <c r="H30" i="83" a="1"/>
  <c r="H65" i="73" a="1"/>
  <c r="Q161" i="74" l="1"/>
  <c r="Q23" i="41" s="1"/>
  <c r="AB106" i="71"/>
  <c r="AB211" i="71" s="1"/>
  <c r="AB46" i="71"/>
  <c r="AB151" i="71" s="1"/>
  <c r="AB76" i="71"/>
  <c r="AB181" i="71" s="1"/>
  <c r="H70" i="73"/>
  <c r="H68" i="73"/>
  <c r="H72" i="73"/>
  <c r="H67" i="73"/>
  <c r="H74" i="73"/>
  <c r="H73" i="73"/>
  <c r="H69" i="73"/>
  <c r="H71" i="73"/>
  <c r="H66" i="73"/>
  <c r="H65" i="73"/>
  <c r="H37" i="83"/>
  <c r="H30" i="83"/>
  <c r="H32" i="83"/>
  <c r="H35" i="83"/>
  <c r="H39" i="83"/>
  <c r="H31" i="83"/>
  <c r="H36" i="83"/>
  <c r="H33" i="83"/>
  <c r="H38" i="83"/>
  <c r="H34" i="83"/>
  <c r="J55" i="74"/>
  <c r="J156" i="74" s="1"/>
  <c r="H48" i="76" a="1"/>
  <c r="H48" i="76" s="1"/>
  <c r="H65" i="72"/>
  <c r="H71" i="72"/>
  <c r="H68" i="72"/>
  <c r="H64" i="72"/>
  <c r="H69" i="72"/>
  <c r="H66" i="72"/>
  <c r="H70" i="72"/>
  <c r="H63" i="72"/>
  <c r="H72" i="72"/>
  <c r="H67" i="72"/>
  <c r="AC178" i="72" l="1"/>
  <c r="AC213" i="72" s="1"/>
  <c r="AC243" i="72" s="1"/>
  <c r="AI178" i="72"/>
  <c r="AI213" i="72" s="1"/>
  <c r="AI243" i="72" s="1"/>
  <c r="AE178" i="72"/>
  <c r="AE213" i="72" s="1"/>
  <c r="AE243" i="72" s="1"/>
  <c r="AH178" i="72"/>
  <c r="AH213" i="72" s="1"/>
  <c r="AH243" i="72" s="1"/>
  <c r="AF178" i="72"/>
  <c r="AF213" i="72" s="1"/>
  <c r="AF243" i="72" s="1"/>
  <c r="AL178" i="72"/>
  <c r="AL213" i="72" s="1"/>
  <c r="AL243" i="72" s="1"/>
  <c r="AO178" i="72"/>
  <c r="AO213" i="72" s="1"/>
  <c r="AO243" i="72" s="1"/>
  <c r="AJ178" i="72"/>
  <c r="AJ213" i="72" s="1"/>
  <c r="AJ243" i="72" s="1"/>
  <c r="AM178" i="72"/>
  <c r="AM213" i="72" s="1"/>
  <c r="AM243" i="72" s="1"/>
  <c r="AP178" i="72"/>
  <c r="AP213" i="72" s="1"/>
  <c r="AP243" i="72" s="1"/>
  <c r="AG178" i="72"/>
  <c r="AG213" i="72" s="1"/>
  <c r="AG243" i="72" s="1"/>
  <c r="AD178" i="72"/>
  <c r="AD213" i="72" s="1"/>
  <c r="AD243" i="72" s="1"/>
  <c r="AN178" i="72"/>
  <c r="AN213" i="72" s="1"/>
  <c r="AN243" i="72" s="1"/>
  <c r="AK178" i="72"/>
  <c r="AK213" i="72" s="1"/>
  <c r="AK243" i="72" s="1"/>
  <c r="M184" i="73"/>
  <c r="M244" i="73" s="1"/>
  <c r="S184" i="73"/>
  <c r="S244" i="73" s="1"/>
  <c r="L184" i="73"/>
  <c r="L244" i="73" s="1"/>
  <c r="N184" i="73"/>
  <c r="N244" i="73" s="1"/>
  <c r="R184" i="73"/>
  <c r="R244" i="73" s="1"/>
  <c r="T184" i="73"/>
  <c r="T244" i="73" s="1"/>
  <c r="Y184" i="73"/>
  <c r="Y244" i="73" s="1"/>
  <c r="Y154" i="73"/>
  <c r="T154" i="73"/>
  <c r="M154" i="73"/>
  <c r="AB184" i="73"/>
  <c r="AB244" i="73" s="1"/>
  <c r="U154" i="73"/>
  <c r="AA184" i="73"/>
  <c r="AA244" i="73" s="1"/>
  <c r="W184" i="73"/>
  <c r="W244" i="73" s="1"/>
  <c r="Q184" i="73"/>
  <c r="Q244" i="73" s="1"/>
  <c r="J184" i="73"/>
  <c r="J244" i="73" s="1"/>
  <c r="K184" i="73"/>
  <c r="K244" i="73" s="1"/>
  <c r="J154" i="73"/>
  <c r="AB154" i="73"/>
  <c r="P184" i="73"/>
  <c r="P244" i="73" s="1"/>
  <c r="X154" i="73"/>
  <c r="O154" i="73"/>
  <c r="AA154" i="73"/>
  <c r="W154" i="73"/>
  <c r="Z154" i="73"/>
  <c r="Z184" i="73"/>
  <c r="Z244" i="73" s="1"/>
  <c r="O184" i="73"/>
  <c r="O244" i="73" s="1"/>
  <c r="X184" i="73"/>
  <c r="X244" i="73" s="1"/>
  <c r="V184" i="73"/>
  <c r="V244" i="73" s="1"/>
  <c r="P154" i="73"/>
  <c r="S154" i="73"/>
  <c r="K154" i="73"/>
  <c r="U184" i="73"/>
  <c r="U244" i="73" s="1"/>
  <c r="L154" i="73"/>
  <c r="N154" i="73"/>
  <c r="Q154" i="73"/>
  <c r="V154" i="73"/>
  <c r="R154" i="73"/>
  <c r="AO180" i="72"/>
  <c r="AO215" i="72" s="1"/>
  <c r="AO245" i="72" s="1"/>
  <c r="AP180" i="72"/>
  <c r="AP215" i="72" s="1"/>
  <c r="AP245" i="72" s="1"/>
  <c r="AM180" i="72"/>
  <c r="AM215" i="72" s="1"/>
  <c r="AM245" i="72" s="1"/>
  <c r="AL180" i="72"/>
  <c r="AL215" i="72" s="1"/>
  <c r="AL245" i="72" s="1"/>
  <c r="AJ180" i="72"/>
  <c r="AJ215" i="72" s="1"/>
  <c r="AJ245" i="72" s="1"/>
  <c r="AC180" i="72"/>
  <c r="AC215" i="72" s="1"/>
  <c r="AC245" i="72" s="1"/>
  <c r="AG180" i="72"/>
  <c r="AG215" i="72" s="1"/>
  <c r="AG245" i="72" s="1"/>
  <c r="AE180" i="72"/>
  <c r="AE215" i="72" s="1"/>
  <c r="AE245" i="72" s="1"/>
  <c r="AD180" i="72"/>
  <c r="AD215" i="72" s="1"/>
  <c r="AD245" i="72" s="1"/>
  <c r="AK180" i="72"/>
  <c r="AK215" i="72" s="1"/>
  <c r="AK245" i="72" s="1"/>
  <c r="AF180" i="72"/>
  <c r="AF215" i="72" s="1"/>
  <c r="AF245" i="72" s="1"/>
  <c r="AI180" i="72"/>
  <c r="AI215" i="72" s="1"/>
  <c r="AI245" i="72" s="1"/>
  <c r="AN180" i="72"/>
  <c r="AN215" i="72" s="1"/>
  <c r="AN245" i="72" s="1"/>
  <c r="AH180" i="72"/>
  <c r="AH215" i="72" s="1"/>
  <c r="AH245" i="72" s="1"/>
  <c r="U153" i="73"/>
  <c r="AB153" i="73"/>
  <c r="L153" i="73"/>
  <c r="J183" i="73"/>
  <c r="J243" i="73" s="1"/>
  <c r="S183" i="73"/>
  <c r="S243" i="73" s="1"/>
  <c r="N153" i="73"/>
  <c r="P153" i="73"/>
  <c r="O183" i="73"/>
  <c r="O243" i="73" s="1"/>
  <c r="Y183" i="73"/>
  <c r="Y243" i="73" s="1"/>
  <c r="W183" i="73"/>
  <c r="W243" i="73" s="1"/>
  <c r="Q153" i="73"/>
  <c r="K153" i="73"/>
  <c r="W153" i="73"/>
  <c r="R153" i="73"/>
  <c r="T183" i="73"/>
  <c r="T243" i="73" s="1"/>
  <c r="M183" i="73"/>
  <c r="M243" i="73" s="1"/>
  <c r="O153" i="73"/>
  <c r="R183" i="73"/>
  <c r="R243" i="73" s="1"/>
  <c r="AA183" i="73"/>
  <c r="AA243" i="73" s="1"/>
  <c r="V183" i="73"/>
  <c r="V243" i="73" s="1"/>
  <c r="J153" i="73"/>
  <c r="S153" i="73"/>
  <c r="T153" i="73"/>
  <c r="Z183" i="73"/>
  <c r="Z243" i="73" s="1"/>
  <c r="M153" i="73"/>
  <c r="X183" i="73"/>
  <c r="X243" i="73" s="1"/>
  <c r="L183" i="73"/>
  <c r="L243" i="73" s="1"/>
  <c r="Y153" i="73"/>
  <c r="X153" i="73"/>
  <c r="V153" i="73"/>
  <c r="N183" i="73"/>
  <c r="N243" i="73" s="1"/>
  <c r="AB183" i="73"/>
  <c r="AB243" i="73" s="1"/>
  <c r="AA153" i="73"/>
  <c r="K183" i="73"/>
  <c r="K243" i="73" s="1"/>
  <c r="Z153" i="73"/>
  <c r="Q183" i="73"/>
  <c r="Q243" i="73" s="1"/>
  <c r="U183" i="73"/>
  <c r="U243" i="73" s="1"/>
  <c r="P183" i="73"/>
  <c r="P243" i="73" s="1"/>
  <c r="AF174" i="72"/>
  <c r="AF209" i="72" s="1"/>
  <c r="AF239" i="72" s="1"/>
  <c r="AN174" i="72"/>
  <c r="AN209" i="72" s="1"/>
  <c r="AN239" i="72" s="1"/>
  <c r="AO174" i="72"/>
  <c r="AO209" i="72" s="1"/>
  <c r="AO239" i="72" s="1"/>
  <c r="AD174" i="72"/>
  <c r="AD209" i="72" s="1"/>
  <c r="AD239" i="72" s="1"/>
  <c r="AL174" i="72"/>
  <c r="AL209" i="72" s="1"/>
  <c r="AL239" i="72" s="1"/>
  <c r="AE174" i="72"/>
  <c r="AE209" i="72" s="1"/>
  <c r="AE239" i="72" s="1"/>
  <c r="AK174" i="72"/>
  <c r="AK209" i="72" s="1"/>
  <c r="AK239" i="72" s="1"/>
  <c r="AI174" i="72"/>
  <c r="AI209" i="72" s="1"/>
  <c r="AI239" i="72" s="1"/>
  <c r="AC174" i="72"/>
  <c r="AC209" i="72" s="1"/>
  <c r="AC239" i="72" s="1"/>
  <c r="AP174" i="72"/>
  <c r="AP209" i="72" s="1"/>
  <c r="AP239" i="72" s="1"/>
  <c r="AG174" i="72"/>
  <c r="AG209" i="72" s="1"/>
  <c r="AG239" i="72" s="1"/>
  <c r="AM174" i="72"/>
  <c r="AM209" i="72" s="1"/>
  <c r="AM239" i="72" s="1"/>
  <c r="AH174" i="72"/>
  <c r="AH209" i="72" s="1"/>
  <c r="AH239" i="72" s="1"/>
  <c r="AJ174" i="72"/>
  <c r="AJ209" i="72" s="1"/>
  <c r="AJ239" i="72" s="1"/>
  <c r="W149" i="73"/>
  <c r="Y179" i="73"/>
  <c r="Y239" i="73" s="1"/>
  <c r="U149" i="73"/>
  <c r="L179" i="73"/>
  <c r="L239" i="73" s="1"/>
  <c r="L149" i="73"/>
  <c r="R179" i="73"/>
  <c r="R239" i="73" s="1"/>
  <c r="R149" i="73"/>
  <c r="N179" i="73"/>
  <c r="N239" i="73" s="1"/>
  <c r="AA149" i="73"/>
  <c r="V149" i="73"/>
  <c r="P179" i="73"/>
  <c r="P239" i="73" s="1"/>
  <c r="Q179" i="73"/>
  <c r="Q239" i="73" s="1"/>
  <c r="U179" i="73"/>
  <c r="U239" i="73" s="1"/>
  <c r="AA179" i="73"/>
  <c r="AA239" i="73" s="1"/>
  <c r="Y149" i="73"/>
  <c r="X179" i="73"/>
  <c r="X239" i="73" s="1"/>
  <c r="X149" i="73"/>
  <c r="Q149" i="73"/>
  <c r="T179" i="73"/>
  <c r="T239" i="73" s="1"/>
  <c r="AB149" i="73"/>
  <c r="N149" i="73"/>
  <c r="S149" i="73"/>
  <c r="W179" i="73"/>
  <c r="W239" i="73" s="1"/>
  <c r="V179" i="73"/>
  <c r="V239" i="73" s="1"/>
  <c r="M179" i="73"/>
  <c r="M239" i="73" s="1"/>
  <c r="J149" i="73"/>
  <c r="Z179" i="73"/>
  <c r="Z239" i="73" s="1"/>
  <c r="T149" i="73"/>
  <c r="M149" i="73"/>
  <c r="P149" i="73"/>
  <c r="O149" i="73"/>
  <c r="J179" i="73"/>
  <c r="J239" i="73" s="1"/>
  <c r="AB179" i="73"/>
  <c r="AB239" i="73" s="1"/>
  <c r="S179" i="73"/>
  <c r="S239" i="73" s="1"/>
  <c r="K179" i="73"/>
  <c r="K239" i="73" s="1"/>
  <c r="O179" i="73"/>
  <c r="O239" i="73" s="1"/>
  <c r="Z149" i="73"/>
  <c r="K149" i="73"/>
  <c r="A4" i="76"/>
  <c r="J47" i="55"/>
  <c r="J181" i="73"/>
  <c r="J241" i="73" s="1"/>
  <c r="U151" i="73"/>
  <c r="P181" i="73"/>
  <c r="P241" i="73" s="1"/>
  <c r="J151" i="73"/>
  <c r="R181" i="73"/>
  <c r="R241" i="73" s="1"/>
  <c r="X181" i="73"/>
  <c r="X241" i="73" s="1"/>
  <c r="W181" i="73"/>
  <c r="W241" i="73" s="1"/>
  <c r="AB181" i="73"/>
  <c r="AB241" i="73" s="1"/>
  <c r="Q151" i="73"/>
  <c r="Q181" i="73"/>
  <c r="Q241" i="73" s="1"/>
  <c r="K151" i="73"/>
  <c r="O181" i="73"/>
  <c r="O241" i="73" s="1"/>
  <c r="N181" i="73"/>
  <c r="N241" i="73" s="1"/>
  <c r="U181" i="73"/>
  <c r="U241" i="73" s="1"/>
  <c r="S151" i="73"/>
  <c r="T151" i="73"/>
  <c r="R151" i="73"/>
  <c r="Y151" i="73"/>
  <c r="Y181" i="73"/>
  <c r="Y241" i="73" s="1"/>
  <c r="Z181" i="73"/>
  <c r="Z241" i="73" s="1"/>
  <c r="Z151" i="73"/>
  <c r="M181" i="73"/>
  <c r="M241" i="73" s="1"/>
  <c r="X151" i="73"/>
  <c r="K181" i="73"/>
  <c r="K241" i="73" s="1"/>
  <c r="S181" i="73"/>
  <c r="S241" i="73" s="1"/>
  <c r="M151" i="73"/>
  <c r="N151" i="73"/>
  <c r="T181" i="73"/>
  <c r="T241" i="73" s="1"/>
  <c r="L181" i="73"/>
  <c r="L241" i="73" s="1"/>
  <c r="AB151" i="73"/>
  <c r="L151" i="73"/>
  <c r="O151" i="73"/>
  <c r="AA181" i="73"/>
  <c r="AA241" i="73" s="1"/>
  <c r="V151" i="73"/>
  <c r="W151" i="73"/>
  <c r="V181" i="73"/>
  <c r="V241" i="73" s="1"/>
  <c r="AA151" i="73"/>
  <c r="P151" i="73"/>
  <c r="R226" i="83"/>
  <c r="R100" i="71" s="1"/>
  <c r="R205" i="71" s="1"/>
  <c r="J139" i="83"/>
  <c r="J141" i="72" s="1"/>
  <c r="J211" i="72" s="1"/>
  <c r="J241" i="72" s="1"/>
  <c r="Q226" i="83"/>
  <c r="Q100" i="71" s="1"/>
  <c r="Q205" i="71" s="1"/>
  <c r="R139" i="83"/>
  <c r="R141" i="72" s="1"/>
  <c r="R211" i="72" s="1"/>
  <c r="R241" i="72" s="1"/>
  <c r="AF197" i="83"/>
  <c r="AF70" i="71" s="1"/>
  <c r="AF175" i="71" s="1"/>
  <c r="T197" i="83"/>
  <c r="T70" i="71" s="1"/>
  <c r="T175" i="71" s="1"/>
  <c r="AO139" i="83"/>
  <c r="AM197" i="83"/>
  <c r="AM70" i="71" s="1"/>
  <c r="AM175" i="71" s="1"/>
  <c r="Q168" i="83"/>
  <c r="Q40" i="71" s="1"/>
  <c r="Q145" i="71" s="1"/>
  <c r="AC226" i="83"/>
  <c r="AC100" i="71" s="1"/>
  <c r="AC205" i="71" s="1"/>
  <c r="AP139" i="83"/>
  <c r="O197" i="83"/>
  <c r="O70" i="71" s="1"/>
  <c r="O175" i="71" s="1"/>
  <c r="W168" i="83"/>
  <c r="W40" i="71" s="1"/>
  <c r="W145" i="71" s="1"/>
  <c r="L168" i="83"/>
  <c r="L40" i="71" s="1"/>
  <c r="L145" i="71" s="1"/>
  <c r="AD226" i="83"/>
  <c r="AD100" i="71" s="1"/>
  <c r="AD205" i="71" s="1"/>
  <c r="AF226" i="83"/>
  <c r="AF100" i="71" s="1"/>
  <c r="AF205" i="71" s="1"/>
  <c r="AK168" i="83"/>
  <c r="AK40" i="71" s="1"/>
  <c r="AK145" i="71" s="1"/>
  <c r="R168" i="83"/>
  <c r="R40" i="71" s="1"/>
  <c r="R145" i="71" s="1"/>
  <c r="S197" i="83"/>
  <c r="S70" i="71" s="1"/>
  <c r="S175" i="71" s="1"/>
  <c r="AO197" i="83"/>
  <c r="AO70" i="71" s="1"/>
  <c r="AO175" i="71" s="1"/>
  <c r="S168" i="83"/>
  <c r="S40" i="71" s="1"/>
  <c r="S145" i="71" s="1"/>
  <c r="AG197" i="83"/>
  <c r="AG70" i="71" s="1"/>
  <c r="AG175" i="71" s="1"/>
  <c r="X226" i="83"/>
  <c r="X100" i="71" s="1"/>
  <c r="X205" i="71" s="1"/>
  <c r="AE197" i="83"/>
  <c r="AE70" i="71" s="1"/>
  <c r="AE175" i="71" s="1"/>
  <c r="L197" i="83"/>
  <c r="L70" i="71" s="1"/>
  <c r="L175" i="71" s="1"/>
  <c r="AG226" i="83"/>
  <c r="AG100" i="71" s="1"/>
  <c r="AG205" i="71" s="1"/>
  <c r="AL197" i="83"/>
  <c r="AL70" i="71" s="1"/>
  <c r="AL175" i="71" s="1"/>
  <c r="AE168" i="83"/>
  <c r="AE40" i="71" s="1"/>
  <c r="AE145" i="71" s="1"/>
  <c r="AC139" i="83"/>
  <c r="AG168" i="83"/>
  <c r="AG40" i="71" s="1"/>
  <c r="AG145" i="71" s="1"/>
  <c r="O226" i="83"/>
  <c r="O100" i="71" s="1"/>
  <c r="O205" i="71" s="1"/>
  <c r="M168" i="83"/>
  <c r="M40" i="71" s="1"/>
  <c r="M145" i="71" s="1"/>
  <c r="Z226" i="83"/>
  <c r="Z100" i="71" s="1"/>
  <c r="Z205" i="71" s="1"/>
  <c r="V226" i="83"/>
  <c r="V100" i="71" s="1"/>
  <c r="V205" i="71" s="1"/>
  <c r="Z168" i="83"/>
  <c r="Z40" i="71" s="1"/>
  <c r="Z145" i="71" s="1"/>
  <c r="AI139" i="83"/>
  <c r="W139" i="83"/>
  <c r="W141" i="72" s="1"/>
  <c r="W211" i="72" s="1"/>
  <c r="W241" i="72" s="1"/>
  <c r="AD139" i="83"/>
  <c r="S139" i="83"/>
  <c r="S141" i="72" s="1"/>
  <c r="S211" i="72" s="1"/>
  <c r="S241" i="72" s="1"/>
  <c r="Y168" i="83"/>
  <c r="Y40" i="71" s="1"/>
  <c r="Y145" i="71" s="1"/>
  <c r="AP197" i="83"/>
  <c r="AP70" i="71" s="1"/>
  <c r="AP175" i="71" s="1"/>
  <c r="AM139" i="83"/>
  <c r="K197" i="83"/>
  <c r="K70" i="71" s="1"/>
  <c r="K175" i="71" s="1"/>
  <c r="AP226" i="83"/>
  <c r="AP100" i="71" s="1"/>
  <c r="AP205" i="71" s="1"/>
  <c r="U197" i="83"/>
  <c r="U70" i="71" s="1"/>
  <c r="U175" i="71" s="1"/>
  <c r="Q197" i="83"/>
  <c r="Q70" i="71" s="1"/>
  <c r="Q175" i="71" s="1"/>
  <c r="V139" i="83"/>
  <c r="V141" i="72" s="1"/>
  <c r="V211" i="72" s="1"/>
  <c r="V241" i="72" s="1"/>
  <c r="AB168" i="83"/>
  <c r="AB40" i="71" s="1"/>
  <c r="AB145" i="71" s="1"/>
  <c r="X139" i="83"/>
  <c r="X141" i="72" s="1"/>
  <c r="X211" i="72" s="1"/>
  <c r="X241" i="72" s="1"/>
  <c r="AO226" i="83"/>
  <c r="AO100" i="71" s="1"/>
  <c r="AO205" i="71" s="1"/>
  <c r="M197" i="83"/>
  <c r="M70" i="71" s="1"/>
  <c r="M175" i="71" s="1"/>
  <c r="AI168" i="83"/>
  <c r="AI40" i="71" s="1"/>
  <c r="AI145" i="71" s="1"/>
  <c r="W197" i="83"/>
  <c r="W70" i="71" s="1"/>
  <c r="W175" i="71" s="1"/>
  <c r="K139" i="83"/>
  <c r="K141" i="72" s="1"/>
  <c r="K211" i="72" s="1"/>
  <c r="K241" i="72" s="1"/>
  <c r="J197" i="83"/>
  <c r="J70" i="71" s="1"/>
  <c r="J175" i="71" s="1"/>
  <c r="P139" i="83"/>
  <c r="P141" i="72" s="1"/>
  <c r="P211" i="72" s="1"/>
  <c r="P241" i="72" s="1"/>
  <c r="N168" i="83"/>
  <c r="N40" i="71" s="1"/>
  <c r="N145" i="71" s="1"/>
  <c r="J168" i="83"/>
  <c r="J40" i="71" s="1"/>
  <c r="J145" i="71" s="1"/>
  <c r="AF139" i="83"/>
  <c r="AI226" i="83"/>
  <c r="AI100" i="71" s="1"/>
  <c r="AI205" i="71" s="1"/>
  <c r="AE226" i="83"/>
  <c r="AE100" i="71" s="1"/>
  <c r="AE205" i="71" s="1"/>
  <c r="J226" i="83"/>
  <c r="J100" i="71" s="1"/>
  <c r="J205" i="71" s="1"/>
  <c r="N139" i="83"/>
  <c r="N141" i="72" s="1"/>
  <c r="N211" i="72" s="1"/>
  <c r="N241" i="72" s="1"/>
  <c r="AJ197" i="83"/>
  <c r="AJ70" i="71" s="1"/>
  <c r="AJ175" i="71" s="1"/>
  <c r="AH226" i="83"/>
  <c r="AH100" i="71" s="1"/>
  <c r="AH205" i="71" s="1"/>
  <c r="Z197" i="83"/>
  <c r="Z70" i="71" s="1"/>
  <c r="Z175" i="71" s="1"/>
  <c r="V197" i="83"/>
  <c r="V70" i="71" s="1"/>
  <c r="V175" i="71" s="1"/>
  <c r="Y139" i="83"/>
  <c r="Y141" i="72" s="1"/>
  <c r="Y211" i="72" s="1"/>
  <c r="Y241" i="72" s="1"/>
  <c r="N197" i="83"/>
  <c r="N70" i="71" s="1"/>
  <c r="N175" i="71" s="1"/>
  <c r="X168" i="83"/>
  <c r="X40" i="71" s="1"/>
  <c r="X145" i="71" s="1"/>
  <c r="K168" i="83"/>
  <c r="K40" i="71" s="1"/>
  <c r="K145" i="71" s="1"/>
  <c r="AA197" i="83"/>
  <c r="AA70" i="71" s="1"/>
  <c r="AA175" i="71" s="1"/>
  <c r="AB226" i="83"/>
  <c r="AB100" i="71" s="1"/>
  <c r="AB205" i="71" s="1"/>
  <c r="AB139" i="83"/>
  <c r="AB141" i="72" s="1"/>
  <c r="AB211" i="72" s="1"/>
  <c r="AB241" i="72" s="1"/>
  <c r="AN168" i="83"/>
  <c r="AN40" i="71" s="1"/>
  <c r="AN145" i="71" s="1"/>
  <c r="AM168" i="83"/>
  <c r="AM40" i="71" s="1"/>
  <c r="AM145" i="71" s="1"/>
  <c r="AD168" i="83"/>
  <c r="AD40" i="71" s="1"/>
  <c r="AD145" i="71" s="1"/>
  <c r="N226" i="83"/>
  <c r="N100" i="71" s="1"/>
  <c r="N205" i="71" s="1"/>
  <c r="AN226" i="83"/>
  <c r="AN100" i="71" s="1"/>
  <c r="AN205" i="71" s="1"/>
  <c r="AE139" i="83"/>
  <c r="Y197" i="83"/>
  <c r="Y70" i="71" s="1"/>
  <c r="Y175" i="71" s="1"/>
  <c r="K226" i="83"/>
  <c r="K100" i="71" s="1"/>
  <c r="K205" i="71" s="1"/>
  <c r="U139" i="83"/>
  <c r="U141" i="72" s="1"/>
  <c r="U211" i="72" s="1"/>
  <c r="U241" i="72" s="1"/>
  <c r="AA139" i="83"/>
  <c r="AA141" i="72" s="1"/>
  <c r="AA211" i="72" s="1"/>
  <c r="AA241" i="72" s="1"/>
  <c r="U168" i="83"/>
  <c r="U40" i="71" s="1"/>
  <c r="U145" i="71" s="1"/>
  <c r="W226" i="83"/>
  <c r="W100" i="71" s="1"/>
  <c r="W205" i="71" s="1"/>
  <c r="AJ168" i="83"/>
  <c r="AJ40" i="71" s="1"/>
  <c r="AJ145" i="71" s="1"/>
  <c r="AL168" i="83"/>
  <c r="AL40" i="71" s="1"/>
  <c r="AL145" i="71" s="1"/>
  <c r="AG139" i="83"/>
  <c r="AH139" i="83"/>
  <c r="AK139" i="83"/>
  <c r="AM226" i="83"/>
  <c r="AM100" i="71" s="1"/>
  <c r="AM205" i="71" s="1"/>
  <c r="S226" i="83"/>
  <c r="S100" i="71" s="1"/>
  <c r="S205" i="71" s="1"/>
  <c r="L226" i="83"/>
  <c r="L100" i="71" s="1"/>
  <c r="L205" i="71" s="1"/>
  <c r="AN139" i="83"/>
  <c r="Y226" i="83"/>
  <c r="Y100" i="71" s="1"/>
  <c r="Y205" i="71" s="1"/>
  <c r="Q139" i="83"/>
  <c r="Q141" i="72" s="1"/>
  <c r="Q211" i="72" s="1"/>
  <c r="Q241" i="72" s="1"/>
  <c r="T168" i="83"/>
  <c r="T40" i="71" s="1"/>
  <c r="T145" i="71" s="1"/>
  <c r="AL226" i="83"/>
  <c r="AL100" i="71" s="1"/>
  <c r="AL205" i="71" s="1"/>
  <c r="AC168" i="83"/>
  <c r="AC40" i="71" s="1"/>
  <c r="AC145" i="71" s="1"/>
  <c r="Z139" i="83"/>
  <c r="Z141" i="72" s="1"/>
  <c r="Z211" i="72" s="1"/>
  <c r="Z241" i="72" s="1"/>
  <c r="AF168" i="83"/>
  <c r="AF40" i="71" s="1"/>
  <c r="AF145" i="71" s="1"/>
  <c r="AC197" i="83"/>
  <c r="AC70" i="71" s="1"/>
  <c r="AC175" i="71" s="1"/>
  <c r="AH168" i="83"/>
  <c r="AH40" i="71" s="1"/>
  <c r="AH145" i="71" s="1"/>
  <c r="AB197" i="83"/>
  <c r="AB70" i="71" s="1"/>
  <c r="AB175" i="71" s="1"/>
  <c r="AA168" i="83"/>
  <c r="AA40" i="71" s="1"/>
  <c r="AA145" i="71" s="1"/>
  <c r="AO168" i="83"/>
  <c r="AO40" i="71" s="1"/>
  <c r="AO145" i="71" s="1"/>
  <c r="AN197" i="83"/>
  <c r="AN70" i="71" s="1"/>
  <c r="AN175" i="71" s="1"/>
  <c r="M226" i="83"/>
  <c r="M100" i="71" s="1"/>
  <c r="M205" i="71" s="1"/>
  <c r="AI197" i="83"/>
  <c r="AI70" i="71" s="1"/>
  <c r="AI175" i="71" s="1"/>
  <c r="AH197" i="83"/>
  <c r="AH70" i="71" s="1"/>
  <c r="AH175" i="71" s="1"/>
  <c r="O168" i="83"/>
  <c r="O40" i="71" s="1"/>
  <c r="O145" i="71" s="1"/>
  <c r="P197" i="83"/>
  <c r="P70" i="71" s="1"/>
  <c r="P175" i="71" s="1"/>
  <c r="U226" i="83"/>
  <c r="U100" i="71" s="1"/>
  <c r="U205" i="71" s="1"/>
  <c r="X197" i="83"/>
  <c r="X70" i="71" s="1"/>
  <c r="X175" i="71" s="1"/>
  <c r="T226" i="83"/>
  <c r="T100" i="71" s="1"/>
  <c r="T205" i="71" s="1"/>
  <c r="AP168" i="83"/>
  <c r="AP40" i="71" s="1"/>
  <c r="AP145" i="71" s="1"/>
  <c r="AD197" i="83"/>
  <c r="AD70" i="71" s="1"/>
  <c r="AD175" i="71" s="1"/>
  <c r="AJ226" i="83"/>
  <c r="AJ100" i="71" s="1"/>
  <c r="AJ205" i="71" s="1"/>
  <c r="P168" i="83"/>
  <c r="P40" i="71" s="1"/>
  <c r="P145" i="71" s="1"/>
  <c r="AK226" i="83"/>
  <c r="AK100" i="71" s="1"/>
  <c r="AK205" i="71" s="1"/>
  <c r="R197" i="83"/>
  <c r="R70" i="71" s="1"/>
  <c r="R175" i="71" s="1"/>
  <c r="AA226" i="83"/>
  <c r="AA100" i="71" s="1"/>
  <c r="AA205" i="71" s="1"/>
  <c r="V168" i="83"/>
  <c r="V40" i="71" s="1"/>
  <c r="V145" i="71" s="1"/>
  <c r="AJ139" i="83"/>
  <c r="P226" i="83"/>
  <c r="P100" i="71" s="1"/>
  <c r="P205" i="71" s="1"/>
  <c r="L139" i="83"/>
  <c r="L141" i="72" s="1"/>
  <c r="L211" i="72" s="1"/>
  <c r="L241" i="72" s="1"/>
  <c r="O139" i="83"/>
  <c r="O141" i="72" s="1"/>
  <c r="O211" i="72" s="1"/>
  <c r="O241" i="72" s="1"/>
  <c r="M139" i="83"/>
  <c r="M141" i="72" s="1"/>
  <c r="M211" i="72" s="1"/>
  <c r="M241" i="72" s="1"/>
  <c r="T139" i="83"/>
  <c r="T141" i="72" s="1"/>
  <c r="T211" i="72" s="1"/>
  <c r="T241" i="72" s="1"/>
  <c r="AK197" i="83"/>
  <c r="AK70" i="71" s="1"/>
  <c r="AK175" i="71" s="1"/>
  <c r="AL139" i="83"/>
  <c r="AK172" i="83"/>
  <c r="AK44" i="71" s="1"/>
  <c r="AK149" i="71" s="1"/>
  <c r="S143" i="83"/>
  <c r="S145" i="72" s="1"/>
  <c r="S215" i="72" s="1"/>
  <c r="S245" i="72" s="1"/>
  <c r="P230" i="83"/>
  <c r="P104" i="71" s="1"/>
  <c r="P209" i="71" s="1"/>
  <c r="AM172" i="83"/>
  <c r="AM44" i="71" s="1"/>
  <c r="AM149" i="71" s="1"/>
  <c r="S201" i="83"/>
  <c r="S74" i="71" s="1"/>
  <c r="S179" i="71" s="1"/>
  <c r="X230" i="83"/>
  <c r="X104" i="71" s="1"/>
  <c r="X209" i="71" s="1"/>
  <c r="AE230" i="83"/>
  <c r="AE104" i="71" s="1"/>
  <c r="AE209" i="71" s="1"/>
  <c r="AM143" i="83"/>
  <c r="AP172" i="83"/>
  <c r="AP44" i="71" s="1"/>
  <c r="AP149" i="71" s="1"/>
  <c r="M230" i="83"/>
  <c r="M104" i="71" s="1"/>
  <c r="M209" i="71" s="1"/>
  <c r="M201" i="83"/>
  <c r="M74" i="71" s="1"/>
  <c r="M179" i="71" s="1"/>
  <c r="W201" i="83"/>
  <c r="W74" i="71" s="1"/>
  <c r="W179" i="71" s="1"/>
  <c r="AD172" i="83"/>
  <c r="AD44" i="71" s="1"/>
  <c r="AD149" i="71" s="1"/>
  <c r="U230" i="83"/>
  <c r="U104" i="71" s="1"/>
  <c r="U209" i="71" s="1"/>
  <c r="Q230" i="83"/>
  <c r="Q104" i="71" s="1"/>
  <c r="Q209" i="71" s="1"/>
  <c r="AO230" i="83"/>
  <c r="AO104" i="71" s="1"/>
  <c r="AO209" i="71" s="1"/>
  <c r="U143" i="83"/>
  <c r="U145" i="72" s="1"/>
  <c r="U215" i="72" s="1"/>
  <c r="U245" i="72" s="1"/>
  <c r="Z143" i="83"/>
  <c r="Z145" i="72" s="1"/>
  <c r="Z215" i="72" s="1"/>
  <c r="Z245" i="72" s="1"/>
  <c r="AE201" i="83"/>
  <c r="AE74" i="71" s="1"/>
  <c r="AE179" i="71" s="1"/>
  <c r="W230" i="83"/>
  <c r="W104" i="71" s="1"/>
  <c r="W209" i="71" s="1"/>
  <c r="AA201" i="83"/>
  <c r="AA74" i="71" s="1"/>
  <c r="AA179" i="71" s="1"/>
  <c r="P172" i="83"/>
  <c r="P44" i="71" s="1"/>
  <c r="P149" i="71" s="1"/>
  <c r="AP201" i="83"/>
  <c r="AP74" i="71" s="1"/>
  <c r="AP179" i="71" s="1"/>
  <c r="L172" i="83"/>
  <c r="L44" i="71" s="1"/>
  <c r="L149" i="71" s="1"/>
  <c r="T172" i="83"/>
  <c r="T44" i="71" s="1"/>
  <c r="T149" i="71" s="1"/>
  <c r="AK230" i="83"/>
  <c r="AK104" i="71" s="1"/>
  <c r="AK209" i="71" s="1"/>
  <c r="AC230" i="83"/>
  <c r="AC104" i="71" s="1"/>
  <c r="AC209" i="71" s="1"/>
  <c r="V230" i="83"/>
  <c r="V104" i="71" s="1"/>
  <c r="V209" i="71" s="1"/>
  <c r="R143" i="83"/>
  <c r="R145" i="72" s="1"/>
  <c r="R215" i="72" s="1"/>
  <c r="R245" i="72" s="1"/>
  <c r="AL143" i="83"/>
  <c r="AF143" i="83"/>
  <c r="L143" i="83"/>
  <c r="L145" i="72" s="1"/>
  <c r="L215" i="72" s="1"/>
  <c r="L245" i="72" s="1"/>
  <c r="AI172" i="83"/>
  <c r="AI44" i="71" s="1"/>
  <c r="AI149" i="71" s="1"/>
  <c r="AG230" i="83"/>
  <c r="AG104" i="71" s="1"/>
  <c r="AG209" i="71" s="1"/>
  <c r="S172" i="83"/>
  <c r="S44" i="71" s="1"/>
  <c r="S149" i="71" s="1"/>
  <c r="AO143" i="83"/>
  <c r="AA143" i="83"/>
  <c r="AA145" i="72" s="1"/>
  <c r="AA215" i="72" s="1"/>
  <c r="AA245" i="72" s="1"/>
  <c r="R201" i="83"/>
  <c r="R74" i="71" s="1"/>
  <c r="R179" i="71" s="1"/>
  <c r="AJ201" i="83"/>
  <c r="AJ74" i="71" s="1"/>
  <c r="AJ179" i="71" s="1"/>
  <c r="M172" i="83"/>
  <c r="M44" i="71" s="1"/>
  <c r="M149" i="71" s="1"/>
  <c r="Z230" i="83"/>
  <c r="Z104" i="71" s="1"/>
  <c r="Z209" i="71" s="1"/>
  <c r="N143" i="83"/>
  <c r="N145" i="72" s="1"/>
  <c r="N215" i="72" s="1"/>
  <c r="N245" i="72" s="1"/>
  <c r="Z172" i="83"/>
  <c r="Z44" i="71" s="1"/>
  <c r="Z149" i="71" s="1"/>
  <c r="S230" i="83"/>
  <c r="S104" i="71" s="1"/>
  <c r="S209" i="71" s="1"/>
  <c r="AN201" i="83"/>
  <c r="AN74" i="71" s="1"/>
  <c r="AN179" i="71" s="1"/>
  <c r="V201" i="83"/>
  <c r="V74" i="71" s="1"/>
  <c r="V179" i="71" s="1"/>
  <c r="AF201" i="83"/>
  <c r="AF74" i="71" s="1"/>
  <c r="AF179" i="71" s="1"/>
  <c r="AC143" i="83"/>
  <c r="AM201" i="83"/>
  <c r="AM74" i="71" s="1"/>
  <c r="AM179" i="71" s="1"/>
  <c r="AK201" i="83"/>
  <c r="AK74" i="71" s="1"/>
  <c r="AK179" i="71" s="1"/>
  <c r="AB172" i="83"/>
  <c r="AB44" i="71" s="1"/>
  <c r="AB149" i="71" s="1"/>
  <c r="N201" i="83"/>
  <c r="N74" i="71" s="1"/>
  <c r="N179" i="71" s="1"/>
  <c r="Q201" i="83"/>
  <c r="Q74" i="71" s="1"/>
  <c r="Q179" i="71" s="1"/>
  <c r="AG172" i="83"/>
  <c r="AG44" i="71" s="1"/>
  <c r="AG149" i="71" s="1"/>
  <c r="AP143" i="83"/>
  <c r="Y230" i="83"/>
  <c r="Y104" i="71" s="1"/>
  <c r="Y209" i="71" s="1"/>
  <c r="AA172" i="83"/>
  <c r="AA44" i="71" s="1"/>
  <c r="AA149" i="71" s="1"/>
  <c r="AD143" i="83"/>
  <c r="AF230" i="83"/>
  <c r="AF104" i="71" s="1"/>
  <c r="AF209" i="71" s="1"/>
  <c r="Y143" i="83"/>
  <c r="Y145" i="72" s="1"/>
  <c r="Y215" i="72" s="1"/>
  <c r="Y245" i="72" s="1"/>
  <c r="AA230" i="83"/>
  <c r="AA104" i="71" s="1"/>
  <c r="AA209" i="71" s="1"/>
  <c r="AJ172" i="83"/>
  <c r="AJ44" i="71" s="1"/>
  <c r="AJ149" i="71" s="1"/>
  <c r="AC172" i="83"/>
  <c r="AC44" i="71" s="1"/>
  <c r="AC149" i="71" s="1"/>
  <c r="O172" i="83"/>
  <c r="O44" i="71" s="1"/>
  <c r="O149" i="71" s="1"/>
  <c r="M143" i="83"/>
  <c r="M145" i="72" s="1"/>
  <c r="M215" i="72" s="1"/>
  <c r="M245" i="72" s="1"/>
  <c r="AD201" i="83"/>
  <c r="AD74" i="71" s="1"/>
  <c r="AD179" i="71" s="1"/>
  <c r="J230" i="83"/>
  <c r="J104" i="71" s="1"/>
  <c r="J209" i="71" s="1"/>
  <c r="AH143" i="83"/>
  <c r="Y201" i="83"/>
  <c r="Y74" i="71" s="1"/>
  <c r="Y179" i="71" s="1"/>
  <c r="L201" i="83"/>
  <c r="L74" i="71" s="1"/>
  <c r="L179" i="71" s="1"/>
  <c r="R230" i="83"/>
  <c r="R104" i="71" s="1"/>
  <c r="R209" i="71" s="1"/>
  <c r="X143" i="83"/>
  <c r="X145" i="72" s="1"/>
  <c r="X215" i="72" s="1"/>
  <c r="X245" i="72" s="1"/>
  <c r="P201" i="83"/>
  <c r="P74" i="71" s="1"/>
  <c r="P179" i="71" s="1"/>
  <c r="Q143" i="83"/>
  <c r="Q145" i="72" s="1"/>
  <c r="Q215" i="72" s="1"/>
  <c r="Q245" i="72" s="1"/>
  <c r="W172" i="83"/>
  <c r="W44" i="71" s="1"/>
  <c r="W149" i="71" s="1"/>
  <c r="AB201" i="83"/>
  <c r="AB74" i="71" s="1"/>
  <c r="AB179" i="71" s="1"/>
  <c r="AI201" i="83"/>
  <c r="AI74" i="71" s="1"/>
  <c r="AI179" i="71" s="1"/>
  <c r="AK143" i="83"/>
  <c r="U172" i="83"/>
  <c r="U44" i="71" s="1"/>
  <c r="U149" i="71" s="1"/>
  <c r="AJ230" i="83"/>
  <c r="AJ104" i="71" s="1"/>
  <c r="AJ209" i="71" s="1"/>
  <c r="AH230" i="83"/>
  <c r="AH104" i="71" s="1"/>
  <c r="AH209" i="71" s="1"/>
  <c r="K201" i="83"/>
  <c r="K74" i="71" s="1"/>
  <c r="K179" i="71" s="1"/>
  <c r="J172" i="83"/>
  <c r="J44" i="71" s="1"/>
  <c r="J149" i="71" s="1"/>
  <c r="AE143" i="83"/>
  <c r="AI143" i="83"/>
  <c r="J143" i="83"/>
  <c r="J145" i="72" s="1"/>
  <c r="J215" i="72" s="1"/>
  <c r="J245" i="72" s="1"/>
  <c r="U201" i="83"/>
  <c r="U74" i="71" s="1"/>
  <c r="U179" i="71" s="1"/>
  <c r="J201" i="83"/>
  <c r="J74" i="71" s="1"/>
  <c r="J179" i="71" s="1"/>
  <c r="W143" i="83"/>
  <c r="W145" i="72" s="1"/>
  <c r="W215" i="72" s="1"/>
  <c r="W245" i="72" s="1"/>
  <c r="AB230" i="83"/>
  <c r="AB104" i="71" s="1"/>
  <c r="AB209" i="71" s="1"/>
  <c r="K172" i="83"/>
  <c r="K44" i="71" s="1"/>
  <c r="K149" i="71" s="1"/>
  <c r="O143" i="83"/>
  <c r="O145" i="72" s="1"/>
  <c r="O215" i="72" s="1"/>
  <c r="O245" i="72" s="1"/>
  <c r="AG143" i="83"/>
  <c r="AE172" i="83"/>
  <c r="AE44" i="71" s="1"/>
  <c r="AE149" i="71" s="1"/>
  <c r="N230" i="83"/>
  <c r="N104" i="71" s="1"/>
  <c r="N209" i="71" s="1"/>
  <c r="T201" i="83"/>
  <c r="T74" i="71" s="1"/>
  <c r="T179" i="71" s="1"/>
  <c r="Y172" i="83"/>
  <c r="Y44" i="71" s="1"/>
  <c r="Y149" i="71" s="1"/>
  <c r="K143" i="83"/>
  <c r="K145" i="72" s="1"/>
  <c r="K215" i="72" s="1"/>
  <c r="K245" i="72" s="1"/>
  <c r="X172" i="83"/>
  <c r="X44" i="71" s="1"/>
  <c r="X149" i="71" s="1"/>
  <c r="AB143" i="83"/>
  <c r="AB145" i="72" s="1"/>
  <c r="AB215" i="72" s="1"/>
  <c r="AB245" i="72" s="1"/>
  <c r="AG201" i="83"/>
  <c r="AG74" i="71" s="1"/>
  <c r="AG179" i="71" s="1"/>
  <c r="N172" i="83"/>
  <c r="N44" i="71" s="1"/>
  <c r="N149" i="71" s="1"/>
  <c r="P143" i="83"/>
  <c r="P145" i="72" s="1"/>
  <c r="P215" i="72" s="1"/>
  <c r="P245" i="72" s="1"/>
  <c r="X201" i="83"/>
  <c r="X74" i="71" s="1"/>
  <c r="X179" i="71" s="1"/>
  <c r="T230" i="83"/>
  <c r="T104" i="71" s="1"/>
  <c r="T209" i="71" s="1"/>
  <c r="V172" i="83"/>
  <c r="V44" i="71" s="1"/>
  <c r="V149" i="71" s="1"/>
  <c r="K230" i="83"/>
  <c r="K104" i="71" s="1"/>
  <c r="K209" i="71" s="1"/>
  <c r="AD230" i="83"/>
  <c r="AD104" i="71" s="1"/>
  <c r="AD209" i="71" s="1"/>
  <c r="AL201" i="83"/>
  <c r="AL74" i="71" s="1"/>
  <c r="AL179" i="71" s="1"/>
  <c r="AM230" i="83"/>
  <c r="AM104" i="71" s="1"/>
  <c r="AM209" i="71" s="1"/>
  <c r="AO172" i="83"/>
  <c r="AO44" i="71" s="1"/>
  <c r="AO149" i="71" s="1"/>
  <c r="AN143" i="83"/>
  <c r="O201" i="83"/>
  <c r="O74" i="71" s="1"/>
  <c r="O179" i="71" s="1"/>
  <c r="AH172" i="83"/>
  <c r="AH44" i="71" s="1"/>
  <c r="AH149" i="71" s="1"/>
  <c r="AN230" i="83"/>
  <c r="AN104" i="71" s="1"/>
  <c r="AN209" i="71" s="1"/>
  <c r="AF172" i="83"/>
  <c r="AF44" i="71" s="1"/>
  <c r="AF149" i="71" s="1"/>
  <c r="L230" i="83"/>
  <c r="L104" i="71" s="1"/>
  <c r="L209" i="71" s="1"/>
  <c r="R172" i="83"/>
  <c r="R44" i="71" s="1"/>
  <c r="R149" i="71" s="1"/>
  <c r="AL172" i="83"/>
  <c r="AL44" i="71" s="1"/>
  <c r="AL149" i="71" s="1"/>
  <c r="Z201" i="83"/>
  <c r="Z74" i="71" s="1"/>
  <c r="Z179" i="71" s="1"/>
  <c r="Q172" i="83"/>
  <c r="Q44" i="71" s="1"/>
  <c r="Q149" i="71" s="1"/>
  <c r="AP230" i="83"/>
  <c r="AP104" i="71" s="1"/>
  <c r="AP209" i="71" s="1"/>
  <c r="AN172" i="83"/>
  <c r="AN44" i="71" s="1"/>
  <c r="AN149" i="71" s="1"/>
  <c r="AJ143" i="83"/>
  <c r="AO201" i="83"/>
  <c r="AO74" i="71" s="1"/>
  <c r="AO179" i="71" s="1"/>
  <c r="O230" i="83"/>
  <c r="O104" i="71" s="1"/>
  <c r="O209" i="71" s="1"/>
  <c r="T143" i="83"/>
  <c r="T145" i="72" s="1"/>
  <c r="T215" i="72" s="1"/>
  <c r="T245" i="72" s="1"/>
  <c r="V143" i="83"/>
  <c r="V145" i="72" s="1"/>
  <c r="V215" i="72" s="1"/>
  <c r="V245" i="72" s="1"/>
  <c r="AI230" i="83"/>
  <c r="AI104" i="71" s="1"/>
  <c r="AI209" i="71" s="1"/>
  <c r="AC201" i="83"/>
  <c r="AC74" i="71" s="1"/>
  <c r="AC179" i="71" s="1"/>
  <c r="AL230" i="83"/>
  <c r="AL104" i="71" s="1"/>
  <c r="AL209" i="71" s="1"/>
  <c r="AH201" i="83"/>
  <c r="AH74" i="71" s="1"/>
  <c r="AH179" i="71" s="1"/>
  <c r="AJ177" i="72"/>
  <c r="AJ212" i="72" s="1"/>
  <c r="AJ242" i="72" s="1"/>
  <c r="AM177" i="72"/>
  <c r="AM212" i="72" s="1"/>
  <c r="AM242" i="72" s="1"/>
  <c r="AI177" i="72"/>
  <c r="AI212" i="72" s="1"/>
  <c r="AI242" i="72" s="1"/>
  <c r="AP177" i="72"/>
  <c r="AP212" i="72" s="1"/>
  <c r="AP242" i="72" s="1"/>
  <c r="AD177" i="72"/>
  <c r="AD212" i="72" s="1"/>
  <c r="AD242" i="72" s="1"/>
  <c r="AO177" i="72"/>
  <c r="AO212" i="72" s="1"/>
  <c r="AO242" i="72" s="1"/>
  <c r="AG177" i="72"/>
  <c r="AG212" i="72" s="1"/>
  <c r="AG242" i="72" s="1"/>
  <c r="AH177" i="72"/>
  <c r="AH212" i="72" s="1"/>
  <c r="AH242" i="72" s="1"/>
  <c r="AK177" i="72"/>
  <c r="AK212" i="72" s="1"/>
  <c r="AK242" i="72" s="1"/>
  <c r="AL177" i="72"/>
  <c r="AL212" i="72" s="1"/>
  <c r="AL242" i="72" s="1"/>
  <c r="AN177" i="72"/>
  <c r="AN212" i="72" s="1"/>
  <c r="AN242" i="72" s="1"/>
  <c r="AF177" i="72"/>
  <c r="AF212" i="72" s="1"/>
  <c r="AF242" i="72" s="1"/>
  <c r="AC177" i="72"/>
  <c r="AC212" i="72" s="1"/>
  <c r="AC242" i="72" s="1"/>
  <c r="AE177" i="72"/>
  <c r="AE212" i="72" s="1"/>
  <c r="AE242" i="72" s="1"/>
  <c r="V141" i="83"/>
  <c r="V143" i="72" s="1"/>
  <c r="V213" i="72" s="1"/>
  <c r="V243" i="72" s="1"/>
  <c r="V199" i="83"/>
  <c r="V72" i="71" s="1"/>
  <c r="V177" i="71" s="1"/>
  <c r="AH170" i="83"/>
  <c r="AH42" i="71" s="1"/>
  <c r="AH147" i="71" s="1"/>
  <c r="N228" i="83"/>
  <c r="N102" i="71" s="1"/>
  <c r="N207" i="71" s="1"/>
  <c r="AH199" i="83"/>
  <c r="AH72" i="71" s="1"/>
  <c r="AH177" i="71" s="1"/>
  <c r="AM170" i="83"/>
  <c r="AM42" i="71" s="1"/>
  <c r="AM147" i="71" s="1"/>
  <c r="L170" i="83"/>
  <c r="L42" i="71" s="1"/>
  <c r="L147" i="71" s="1"/>
  <c r="AB170" i="83"/>
  <c r="AB42" i="71" s="1"/>
  <c r="AB147" i="71" s="1"/>
  <c r="M228" i="83"/>
  <c r="M102" i="71" s="1"/>
  <c r="M207" i="71" s="1"/>
  <c r="Q199" i="83"/>
  <c r="Q72" i="71" s="1"/>
  <c r="Q177" i="71" s="1"/>
  <c r="AK228" i="83"/>
  <c r="AK102" i="71" s="1"/>
  <c r="AK207" i="71" s="1"/>
  <c r="AD141" i="83"/>
  <c r="AE199" i="83"/>
  <c r="AE72" i="71" s="1"/>
  <c r="AE177" i="71" s="1"/>
  <c r="X228" i="83"/>
  <c r="X102" i="71" s="1"/>
  <c r="X207" i="71" s="1"/>
  <c r="AO170" i="83"/>
  <c r="AO42" i="71" s="1"/>
  <c r="AO147" i="71" s="1"/>
  <c r="O199" i="83"/>
  <c r="O72" i="71" s="1"/>
  <c r="O177" i="71" s="1"/>
  <c r="X141" i="83"/>
  <c r="X143" i="72" s="1"/>
  <c r="X213" i="72" s="1"/>
  <c r="X243" i="72" s="1"/>
  <c r="L228" i="83"/>
  <c r="L102" i="71" s="1"/>
  <c r="L207" i="71" s="1"/>
  <c r="K199" i="83"/>
  <c r="K72" i="71" s="1"/>
  <c r="K177" i="71" s="1"/>
  <c r="AC141" i="83"/>
  <c r="Q141" i="83"/>
  <c r="Q143" i="72" s="1"/>
  <c r="Q213" i="72" s="1"/>
  <c r="Q243" i="72" s="1"/>
  <c r="AP199" i="83"/>
  <c r="AP72" i="71" s="1"/>
  <c r="AP177" i="71" s="1"/>
  <c r="Y141" i="83"/>
  <c r="Y143" i="72" s="1"/>
  <c r="Y213" i="72" s="1"/>
  <c r="Y243" i="72" s="1"/>
  <c r="W228" i="83"/>
  <c r="W102" i="71" s="1"/>
  <c r="W207" i="71" s="1"/>
  <c r="W141" i="83"/>
  <c r="W143" i="72" s="1"/>
  <c r="W213" i="72" s="1"/>
  <c r="W243" i="72" s="1"/>
  <c r="AD199" i="83"/>
  <c r="AD72" i="71" s="1"/>
  <c r="AD177" i="71" s="1"/>
  <c r="AO141" i="83"/>
  <c r="N141" i="83"/>
  <c r="N143" i="72" s="1"/>
  <c r="N213" i="72" s="1"/>
  <c r="N243" i="72" s="1"/>
  <c r="AE170" i="83"/>
  <c r="AE42" i="71" s="1"/>
  <c r="AE147" i="71" s="1"/>
  <c r="AL228" i="83"/>
  <c r="AL102" i="71" s="1"/>
  <c r="AL207" i="71" s="1"/>
  <c r="AO228" i="83"/>
  <c r="AO102" i="71" s="1"/>
  <c r="AO207" i="71" s="1"/>
  <c r="N199" i="83"/>
  <c r="N72" i="71" s="1"/>
  <c r="N177" i="71" s="1"/>
  <c r="Y199" i="83"/>
  <c r="Y72" i="71" s="1"/>
  <c r="Y177" i="71" s="1"/>
  <c r="L141" i="83"/>
  <c r="L143" i="72" s="1"/>
  <c r="L213" i="72" s="1"/>
  <c r="L243" i="72" s="1"/>
  <c r="K141" i="83"/>
  <c r="K143" i="72" s="1"/>
  <c r="K213" i="72" s="1"/>
  <c r="K243" i="72" s="1"/>
  <c r="K170" i="83"/>
  <c r="K42" i="71" s="1"/>
  <c r="K147" i="71" s="1"/>
  <c r="L199" i="83"/>
  <c r="L72" i="71" s="1"/>
  <c r="L177" i="71" s="1"/>
  <c r="AJ199" i="83"/>
  <c r="AJ72" i="71" s="1"/>
  <c r="AJ177" i="71" s="1"/>
  <c r="AI228" i="83"/>
  <c r="AI102" i="71" s="1"/>
  <c r="AI207" i="71" s="1"/>
  <c r="AK199" i="83"/>
  <c r="AK72" i="71" s="1"/>
  <c r="AK177" i="71" s="1"/>
  <c r="P228" i="83"/>
  <c r="P102" i="71" s="1"/>
  <c r="P207" i="71" s="1"/>
  <c r="O141" i="83"/>
  <c r="O143" i="72" s="1"/>
  <c r="O213" i="72" s="1"/>
  <c r="O243" i="72" s="1"/>
  <c r="W199" i="83"/>
  <c r="W72" i="71" s="1"/>
  <c r="W177" i="71" s="1"/>
  <c r="S170" i="83"/>
  <c r="S42" i="71" s="1"/>
  <c r="S147" i="71" s="1"/>
  <c r="U170" i="83"/>
  <c r="U42" i="71" s="1"/>
  <c r="U147" i="71" s="1"/>
  <c r="T228" i="83"/>
  <c r="T102" i="71" s="1"/>
  <c r="T207" i="71" s="1"/>
  <c r="AC199" i="83"/>
  <c r="AC72" i="71" s="1"/>
  <c r="AC177" i="71" s="1"/>
  <c r="S141" i="83"/>
  <c r="S143" i="72" s="1"/>
  <c r="S213" i="72" s="1"/>
  <c r="S243" i="72" s="1"/>
  <c r="AE141" i="83"/>
  <c r="P170" i="83"/>
  <c r="P42" i="71" s="1"/>
  <c r="P147" i="71" s="1"/>
  <c r="AE228" i="83"/>
  <c r="AE102" i="71" s="1"/>
  <c r="AE207" i="71" s="1"/>
  <c r="O170" i="83"/>
  <c r="O42" i="71" s="1"/>
  <c r="O147" i="71" s="1"/>
  <c r="T199" i="83"/>
  <c r="T72" i="71" s="1"/>
  <c r="T177" i="71" s="1"/>
  <c r="AA141" i="83"/>
  <c r="AA143" i="72" s="1"/>
  <c r="AA213" i="72" s="1"/>
  <c r="AA243" i="72" s="1"/>
  <c r="AD228" i="83"/>
  <c r="AD102" i="71" s="1"/>
  <c r="AD207" i="71" s="1"/>
  <c r="AM141" i="83"/>
  <c r="J199" i="83"/>
  <c r="J72" i="71" s="1"/>
  <c r="J177" i="71" s="1"/>
  <c r="AB141" i="83"/>
  <c r="AB143" i="72" s="1"/>
  <c r="AB213" i="72" s="1"/>
  <c r="AB243" i="72" s="1"/>
  <c r="AJ228" i="83"/>
  <c r="AJ102" i="71" s="1"/>
  <c r="AJ207" i="71" s="1"/>
  <c r="AG141" i="83"/>
  <c r="AB228" i="83"/>
  <c r="AB102" i="71" s="1"/>
  <c r="AB207" i="71" s="1"/>
  <c r="X170" i="83"/>
  <c r="X42" i="71" s="1"/>
  <c r="X147" i="71" s="1"/>
  <c r="AO199" i="83"/>
  <c r="AO72" i="71" s="1"/>
  <c r="AO177" i="71" s="1"/>
  <c r="AI170" i="83"/>
  <c r="AI42" i="71" s="1"/>
  <c r="AI147" i="71" s="1"/>
  <c r="V228" i="83"/>
  <c r="V102" i="71" s="1"/>
  <c r="V207" i="71" s="1"/>
  <c r="J141" i="83"/>
  <c r="J143" i="72" s="1"/>
  <c r="J213" i="72" s="1"/>
  <c r="J243" i="72" s="1"/>
  <c r="R228" i="83"/>
  <c r="R102" i="71" s="1"/>
  <c r="R207" i="71" s="1"/>
  <c r="U141" i="83"/>
  <c r="U143" i="72" s="1"/>
  <c r="U213" i="72" s="1"/>
  <c r="U243" i="72" s="1"/>
  <c r="AP228" i="83"/>
  <c r="AP102" i="71" s="1"/>
  <c r="AP207" i="71" s="1"/>
  <c r="U228" i="83"/>
  <c r="U102" i="71" s="1"/>
  <c r="U207" i="71" s="1"/>
  <c r="AC170" i="83"/>
  <c r="AC42" i="71" s="1"/>
  <c r="AC147" i="71" s="1"/>
  <c r="Y170" i="83"/>
  <c r="Y42" i="71" s="1"/>
  <c r="Y147" i="71" s="1"/>
  <c r="X199" i="83"/>
  <c r="X72" i="71" s="1"/>
  <c r="X177" i="71" s="1"/>
  <c r="K228" i="83"/>
  <c r="K102" i="71" s="1"/>
  <c r="K207" i="71" s="1"/>
  <c r="AJ170" i="83"/>
  <c r="AJ42" i="71" s="1"/>
  <c r="AJ147" i="71" s="1"/>
  <c r="AP141" i="83"/>
  <c r="AH228" i="83"/>
  <c r="AH102" i="71" s="1"/>
  <c r="AH207" i="71" s="1"/>
  <c r="AL141" i="83"/>
  <c r="AJ141" i="83"/>
  <c r="AF199" i="83"/>
  <c r="AF72" i="71" s="1"/>
  <c r="AF177" i="71" s="1"/>
  <c r="T141" i="83"/>
  <c r="T143" i="72" s="1"/>
  <c r="T213" i="72" s="1"/>
  <c r="T243" i="72" s="1"/>
  <c r="AF228" i="83"/>
  <c r="AF102" i="71" s="1"/>
  <c r="AF207" i="71" s="1"/>
  <c r="AN141" i="83"/>
  <c r="V170" i="83"/>
  <c r="V42" i="71" s="1"/>
  <c r="V147" i="71" s="1"/>
  <c r="AA228" i="83"/>
  <c r="AA102" i="71" s="1"/>
  <c r="AA207" i="71" s="1"/>
  <c r="AF141" i="83"/>
  <c r="AC228" i="83"/>
  <c r="AC102" i="71" s="1"/>
  <c r="AC207" i="71" s="1"/>
  <c r="U199" i="83"/>
  <c r="U72" i="71" s="1"/>
  <c r="U177" i="71" s="1"/>
  <c r="R141" i="83"/>
  <c r="R143" i="72" s="1"/>
  <c r="R213" i="72" s="1"/>
  <c r="R243" i="72" s="1"/>
  <c r="Y228" i="83"/>
  <c r="Y102" i="71" s="1"/>
  <c r="Y207" i="71" s="1"/>
  <c r="AH141" i="83"/>
  <c r="AD170" i="83"/>
  <c r="AD42" i="71" s="1"/>
  <c r="AD147" i="71" s="1"/>
  <c r="Q170" i="83"/>
  <c r="Q42" i="71" s="1"/>
  <c r="Q147" i="71" s="1"/>
  <c r="Z170" i="83"/>
  <c r="Z42" i="71" s="1"/>
  <c r="Z147" i="71" s="1"/>
  <c r="M141" i="83"/>
  <c r="M143" i="72" s="1"/>
  <c r="M213" i="72" s="1"/>
  <c r="M243" i="72" s="1"/>
  <c r="AN228" i="83"/>
  <c r="AN102" i="71" s="1"/>
  <c r="AN207" i="71" s="1"/>
  <c r="S199" i="83"/>
  <c r="S72" i="71" s="1"/>
  <c r="S177" i="71" s="1"/>
  <c r="AL199" i="83"/>
  <c r="AL72" i="71" s="1"/>
  <c r="AL177" i="71" s="1"/>
  <c r="P199" i="83"/>
  <c r="P72" i="71" s="1"/>
  <c r="P177" i="71" s="1"/>
  <c r="Z141" i="83"/>
  <c r="Z143" i="72" s="1"/>
  <c r="Z213" i="72" s="1"/>
  <c r="Z243" i="72" s="1"/>
  <c r="Q228" i="83"/>
  <c r="Q102" i="71" s="1"/>
  <c r="Q207" i="71" s="1"/>
  <c r="AP170" i="83"/>
  <c r="AP42" i="71" s="1"/>
  <c r="AP147" i="71" s="1"/>
  <c r="AA199" i="83"/>
  <c r="AA72" i="71" s="1"/>
  <c r="AA177" i="71" s="1"/>
  <c r="AF170" i="83"/>
  <c r="AF42" i="71" s="1"/>
  <c r="AF147" i="71" s="1"/>
  <c r="AG170" i="83"/>
  <c r="AG42" i="71" s="1"/>
  <c r="AG147" i="71" s="1"/>
  <c r="Z228" i="83"/>
  <c r="Z102" i="71" s="1"/>
  <c r="Z207" i="71" s="1"/>
  <c r="S228" i="83"/>
  <c r="S102" i="71" s="1"/>
  <c r="S207" i="71" s="1"/>
  <c r="AI141" i="83"/>
  <c r="AN170" i="83"/>
  <c r="AN42" i="71" s="1"/>
  <c r="AN147" i="71" s="1"/>
  <c r="AM228" i="83"/>
  <c r="AM102" i="71" s="1"/>
  <c r="AM207" i="71" s="1"/>
  <c r="AI199" i="83"/>
  <c r="AI72" i="71" s="1"/>
  <c r="AI177" i="71" s="1"/>
  <c r="P141" i="83"/>
  <c r="P143" i="72" s="1"/>
  <c r="P213" i="72" s="1"/>
  <c r="P243" i="72" s="1"/>
  <c r="AK141" i="83"/>
  <c r="J228" i="83"/>
  <c r="J102" i="71" s="1"/>
  <c r="J207" i="71" s="1"/>
  <c r="AK170" i="83"/>
  <c r="AK42" i="71" s="1"/>
  <c r="AK147" i="71" s="1"/>
  <c r="T170" i="83"/>
  <c r="T42" i="71" s="1"/>
  <c r="T147" i="71" s="1"/>
  <c r="Z199" i="83"/>
  <c r="Z72" i="71" s="1"/>
  <c r="Z177" i="71" s="1"/>
  <c r="J170" i="83"/>
  <c r="J42" i="71" s="1"/>
  <c r="J147" i="71" s="1"/>
  <c r="W170" i="83"/>
  <c r="W42" i="71" s="1"/>
  <c r="W147" i="71" s="1"/>
  <c r="AG228" i="83"/>
  <c r="AG102" i="71" s="1"/>
  <c r="AG207" i="71" s="1"/>
  <c r="N170" i="83"/>
  <c r="N42" i="71" s="1"/>
  <c r="N147" i="71" s="1"/>
  <c r="AG199" i="83"/>
  <c r="AG72" i="71" s="1"/>
  <c r="AG177" i="71" s="1"/>
  <c r="R170" i="83"/>
  <c r="R42" i="71" s="1"/>
  <c r="R147" i="71" s="1"/>
  <c r="R199" i="83"/>
  <c r="R72" i="71" s="1"/>
  <c r="R177" i="71" s="1"/>
  <c r="M170" i="83"/>
  <c r="M42" i="71" s="1"/>
  <c r="M147" i="71" s="1"/>
  <c r="AM199" i="83"/>
  <c r="AM72" i="71" s="1"/>
  <c r="AM177" i="71" s="1"/>
  <c r="AN199" i="83"/>
  <c r="AN72" i="71" s="1"/>
  <c r="AN177" i="71" s="1"/>
  <c r="AB199" i="83"/>
  <c r="AB72" i="71" s="1"/>
  <c r="AB177" i="71" s="1"/>
  <c r="O228" i="83"/>
  <c r="O102" i="71" s="1"/>
  <c r="O207" i="71" s="1"/>
  <c r="AL170" i="83"/>
  <c r="AL42" i="71" s="1"/>
  <c r="AL147" i="71" s="1"/>
  <c r="AA170" i="83"/>
  <c r="AA42" i="71" s="1"/>
  <c r="AA147" i="71" s="1"/>
  <c r="M199" i="83"/>
  <c r="M72" i="71" s="1"/>
  <c r="M177" i="71" s="1"/>
  <c r="AB194" i="83"/>
  <c r="AB67" i="71" s="1"/>
  <c r="AB172" i="71" s="1"/>
  <c r="AL194" i="83"/>
  <c r="AL67" i="71" s="1"/>
  <c r="AL172" i="71" s="1"/>
  <c r="AD136" i="83"/>
  <c r="AD165" i="83"/>
  <c r="AD37" i="71" s="1"/>
  <c r="AD142" i="71" s="1"/>
  <c r="AN136" i="83"/>
  <c r="AN194" i="83"/>
  <c r="AN67" i="71" s="1"/>
  <c r="AN172" i="71" s="1"/>
  <c r="AA165" i="83"/>
  <c r="AA37" i="71" s="1"/>
  <c r="AA142" i="71" s="1"/>
  <c r="Q223" i="83"/>
  <c r="Q97" i="71" s="1"/>
  <c r="Q202" i="71" s="1"/>
  <c r="AA194" i="83"/>
  <c r="AA67" i="71" s="1"/>
  <c r="AA172" i="71" s="1"/>
  <c r="AD194" i="83"/>
  <c r="AD67" i="71" s="1"/>
  <c r="AD172" i="71" s="1"/>
  <c r="W194" i="83"/>
  <c r="W67" i="71" s="1"/>
  <c r="W172" i="71" s="1"/>
  <c r="J165" i="83"/>
  <c r="J37" i="71" s="1"/>
  <c r="J142" i="71" s="1"/>
  <c r="Z194" i="83"/>
  <c r="Z67" i="71" s="1"/>
  <c r="Z172" i="71" s="1"/>
  <c r="U194" i="83"/>
  <c r="U67" i="71" s="1"/>
  <c r="U172" i="71" s="1"/>
  <c r="AJ136" i="83"/>
  <c r="S223" i="83"/>
  <c r="S97" i="71" s="1"/>
  <c r="S202" i="71" s="1"/>
  <c r="AN165" i="83"/>
  <c r="AN37" i="71" s="1"/>
  <c r="AN142" i="71" s="1"/>
  <c r="AH194" i="83"/>
  <c r="AH67" i="71" s="1"/>
  <c r="AH172" i="71" s="1"/>
  <c r="X194" i="83"/>
  <c r="X67" i="71" s="1"/>
  <c r="X172" i="71" s="1"/>
  <c r="M223" i="83"/>
  <c r="M97" i="71" s="1"/>
  <c r="M202" i="71" s="1"/>
  <c r="T136" i="83"/>
  <c r="T138" i="72" s="1"/>
  <c r="T208" i="72" s="1"/>
  <c r="T238" i="72" s="1"/>
  <c r="O136" i="83"/>
  <c r="O138" i="72" s="1"/>
  <c r="O208" i="72" s="1"/>
  <c r="O238" i="72" s="1"/>
  <c r="V136" i="83"/>
  <c r="V138" i="72" s="1"/>
  <c r="V208" i="72" s="1"/>
  <c r="V238" i="72" s="1"/>
  <c r="X165" i="83"/>
  <c r="X37" i="71" s="1"/>
  <c r="X142" i="71" s="1"/>
  <c r="X136" i="83"/>
  <c r="X138" i="72" s="1"/>
  <c r="X208" i="72" s="1"/>
  <c r="X238" i="72" s="1"/>
  <c r="X223" i="83"/>
  <c r="X97" i="71" s="1"/>
  <c r="X202" i="71" s="1"/>
  <c r="P165" i="83"/>
  <c r="P37" i="71" s="1"/>
  <c r="P142" i="71" s="1"/>
  <c r="AC165" i="83"/>
  <c r="AC37" i="71" s="1"/>
  <c r="AC142" i="71" s="1"/>
  <c r="AM194" i="83"/>
  <c r="AM67" i="71" s="1"/>
  <c r="AM172" i="71" s="1"/>
  <c r="AH136" i="83"/>
  <c r="AP194" i="83"/>
  <c r="AP67" i="71" s="1"/>
  <c r="AP172" i="71" s="1"/>
  <c r="AL223" i="83"/>
  <c r="AL97" i="71" s="1"/>
  <c r="AL202" i="71" s="1"/>
  <c r="N223" i="83"/>
  <c r="N97" i="71" s="1"/>
  <c r="N202" i="71" s="1"/>
  <c r="AO223" i="83"/>
  <c r="AO97" i="71" s="1"/>
  <c r="AO202" i="71" s="1"/>
  <c r="J223" i="83"/>
  <c r="J97" i="71" s="1"/>
  <c r="J202" i="71" s="1"/>
  <c r="Z136" i="83"/>
  <c r="Z138" i="72" s="1"/>
  <c r="Z208" i="72" s="1"/>
  <c r="Z238" i="72" s="1"/>
  <c r="Y223" i="83"/>
  <c r="Y97" i="71" s="1"/>
  <c r="Y202" i="71" s="1"/>
  <c r="K136" i="83"/>
  <c r="K138" i="72" s="1"/>
  <c r="K208" i="72" s="1"/>
  <c r="K238" i="72" s="1"/>
  <c r="AL136" i="83"/>
  <c r="AE136" i="83"/>
  <c r="AO136" i="83"/>
  <c r="U165" i="83"/>
  <c r="U37" i="71" s="1"/>
  <c r="U142" i="71" s="1"/>
  <c r="Y136" i="83"/>
  <c r="Y138" i="72" s="1"/>
  <c r="Y208" i="72" s="1"/>
  <c r="Y238" i="72" s="1"/>
  <c r="AK165" i="83"/>
  <c r="AK37" i="71" s="1"/>
  <c r="AK142" i="71" s="1"/>
  <c r="AF136" i="83"/>
  <c r="P136" i="83"/>
  <c r="P138" i="72" s="1"/>
  <c r="P208" i="72" s="1"/>
  <c r="P238" i="72" s="1"/>
  <c r="Q165" i="83"/>
  <c r="Q37" i="71" s="1"/>
  <c r="Q142" i="71" s="1"/>
  <c r="AI223" i="83"/>
  <c r="AI97" i="71" s="1"/>
  <c r="AI202" i="71" s="1"/>
  <c r="K194" i="83"/>
  <c r="K67" i="71" s="1"/>
  <c r="K172" i="71" s="1"/>
  <c r="AE223" i="83"/>
  <c r="AE97" i="71" s="1"/>
  <c r="AE202" i="71" s="1"/>
  <c r="M194" i="83"/>
  <c r="M67" i="71" s="1"/>
  <c r="M172" i="71" s="1"/>
  <c r="AM223" i="83"/>
  <c r="AM97" i="71" s="1"/>
  <c r="AM202" i="71" s="1"/>
  <c r="Z223" i="83"/>
  <c r="Z97" i="71" s="1"/>
  <c r="Z202" i="71" s="1"/>
  <c r="J194" i="83"/>
  <c r="J67" i="71" s="1"/>
  <c r="J172" i="71" s="1"/>
  <c r="P194" i="83"/>
  <c r="P67" i="71" s="1"/>
  <c r="P172" i="71" s="1"/>
  <c r="AM136" i="83"/>
  <c r="O223" i="83"/>
  <c r="O97" i="71" s="1"/>
  <c r="O202" i="71" s="1"/>
  <c r="AI136" i="83"/>
  <c r="U136" i="83"/>
  <c r="U138" i="72" s="1"/>
  <c r="U208" i="72" s="1"/>
  <c r="U238" i="72" s="1"/>
  <c r="AB136" i="83"/>
  <c r="AB138" i="72" s="1"/>
  <c r="AB208" i="72" s="1"/>
  <c r="AB238" i="72" s="1"/>
  <c r="S165" i="83"/>
  <c r="S37" i="71" s="1"/>
  <c r="S142" i="71" s="1"/>
  <c r="V165" i="83"/>
  <c r="V37" i="71" s="1"/>
  <c r="V142" i="71" s="1"/>
  <c r="R165" i="83"/>
  <c r="R37" i="71" s="1"/>
  <c r="R142" i="71" s="1"/>
  <c r="AG165" i="83"/>
  <c r="AG37" i="71" s="1"/>
  <c r="AG142" i="71" s="1"/>
  <c r="T194" i="83"/>
  <c r="T67" i="71" s="1"/>
  <c r="T172" i="71" s="1"/>
  <c r="O194" i="83"/>
  <c r="O67" i="71" s="1"/>
  <c r="O172" i="71" s="1"/>
  <c r="AC194" i="83"/>
  <c r="AC67" i="71" s="1"/>
  <c r="AC172" i="71" s="1"/>
  <c r="Y194" i="83"/>
  <c r="Y67" i="71" s="1"/>
  <c r="Y172" i="71" s="1"/>
  <c r="V223" i="83"/>
  <c r="V97" i="71" s="1"/>
  <c r="V202" i="71" s="1"/>
  <c r="AH165" i="83"/>
  <c r="AH37" i="71" s="1"/>
  <c r="AH142" i="71" s="1"/>
  <c r="AD223" i="83"/>
  <c r="AD97" i="71" s="1"/>
  <c r="AD202" i="71" s="1"/>
  <c r="P223" i="83"/>
  <c r="P97" i="71" s="1"/>
  <c r="P202" i="71" s="1"/>
  <c r="AJ223" i="83"/>
  <c r="AJ97" i="71" s="1"/>
  <c r="AJ202" i="71" s="1"/>
  <c r="AG136" i="83"/>
  <c r="AI165" i="83"/>
  <c r="AI37" i="71" s="1"/>
  <c r="AI142" i="71" s="1"/>
  <c r="L223" i="83"/>
  <c r="L97" i="71" s="1"/>
  <c r="L202" i="71" s="1"/>
  <c r="AL165" i="83"/>
  <c r="AL37" i="71" s="1"/>
  <c r="AL142" i="71" s="1"/>
  <c r="W136" i="83"/>
  <c r="W138" i="72" s="1"/>
  <c r="W208" i="72" s="1"/>
  <c r="W238" i="72" s="1"/>
  <c r="Y165" i="83"/>
  <c r="Y37" i="71" s="1"/>
  <c r="Y142" i="71" s="1"/>
  <c r="AB223" i="83"/>
  <c r="AB97" i="71" s="1"/>
  <c r="AB202" i="71" s="1"/>
  <c r="T223" i="83"/>
  <c r="T97" i="71" s="1"/>
  <c r="T202" i="71" s="1"/>
  <c r="W223" i="83"/>
  <c r="W97" i="71" s="1"/>
  <c r="W202" i="71" s="1"/>
  <c r="N165" i="83"/>
  <c r="N37" i="71" s="1"/>
  <c r="N142" i="71" s="1"/>
  <c r="M136" i="83"/>
  <c r="M138" i="72" s="1"/>
  <c r="M208" i="72" s="1"/>
  <c r="M238" i="72" s="1"/>
  <c r="AN223" i="83"/>
  <c r="AN97" i="71" s="1"/>
  <c r="AN202" i="71" s="1"/>
  <c r="L136" i="83"/>
  <c r="L138" i="72" s="1"/>
  <c r="L208" i="72" s="1"/>
  <c r="L238" i="72" s="1"/>
  <c r="AO194" i="83"/>
  <c r="AO67" i="71" s="1"/>
  <c r="AO172" i="71" s="1"/>
  <c r="AH223" i="83"/>
  <c r="AH97" i="71" s="1"/>
  <c r="AH202" i="71" s="1"/>
  <c r="AC223" i="83"/>
  <c r="AC97" i="71" s="1"/>
  <c r="AC202" i="71" s="1"/>
  <c r="L194" i="83"/>
  <c r="L67" i="71" s="1"/>
  <c r="L172" i="71" s="1"/>
  <c r="AK223" i="83"/>
  <c r="AK97" i="71" s="1"/>
  <c r="AK202" i="71" s="1"/>
  <c r="N194" i="83"/>
  <c r="N67" i="71" s="1"/>
  <c r="N172" i="71" s="1"/>
  <c r="AE165" i="83"/>
  <c r="AE37" i="71" s="1"/>
  <c r="AE142" i="71" s="1"/>
  <c r="AC136" i="83"/>
  <c r="W165" i="83"/>
  <c r="W37" i="71" s="1"/>
  <c r="W142" i="71" s="1"/>
  <c r="O165" i="83"/>
  <c r="O37" i="71" s="1"/>
  <c r="O142" i="71" s="1"/>
  <c r="R223" i="83"/>
  <c r="R97" i="71" s="1"/>
  <c r="R202" i="71" s="1"/>
  <c r="R136" i="83"/>
  <c r="R138" i="72" s="1"/>
  <c r="R208" i="72" s="1"/>
  <c r="R238" i="72" s="1"/>
  <c r="S194" i="83"/>
  <c r="S67" i="71" s="1"/>
  <c r="S172" i="71" s="1"/>
  <c r="Z165" i="83"/>
  <c r="Z37" i="71" s="1"/>
  <c r="Z142" i="71" s="1"/>
  <c r="AJ165" i="83"/>
  <c r="AJ37" i="71" s="1"/>
  <c r="AJ142" i="71" s="1"/>
  <c r="AM165" i="83"/>
  <c r="AM37" i="71" s="1"/>
  <c r="AM142" i="71" s="1"/>
  <c r="AK194" i="83"/>
  <c r="AK67" i="71" s="1"/>
  <c r="AK172" i="71" s="1"/>
  <c r="AP165" i="83"/>
  <c r="AP37" i="71" s="1"/>
  <c r="AP142" i="71" s="1"/>
  <c r="AB165" i="83"/>
  <c r="AB37" i="71" s="1"/>
  <c r="AB142" i="71" s="1"/>
  <c r="AG194" i="83"/>
  <c r="AG67" i="71" s="1"/>
  <c r="AG172" i="71" s="1"/>
  <c r="R194" i="83"/>
  <c r="R67" i="71" s="1"/>
  <c r="R172" i="71" s="1"/>
  <c r="U223" i="83"/>
  <c r="U97" i="71" s="1"/>
  <c r="U202" i="71" s="1"/>
  <c r="K223" i="83"/>
  <c r="K97" i="71" s="1"/>
  <c r="K202" i="71" s="1"/>
  <c r="AG223" i="83"/>
  <c r="AG97" i="71" s="1"/>
  <c r="AG202" i="71" s="1"/>
  <c r="L165" i="83"/>
  <c r="L37" i="71" s="1"/>
  <c r="L142" i="71" s="1"/>
  <c r="AE194" i="83"/>
  <c r="AE67" i="71" s="1"/>
  <c r="AE172" i="71" s="1"/>
  <c r="AF223" i="83"/>
  <c r="AF97" i="71" s="1"/>
  <c r="AF202" i="71" s="1"/>
  <c r="AI194" i="83"/>
  <c r="AI67" i="71" s="1"/>
  <c r="AI172" i="71" s="1"/>
  <c r="K165" i="83"/>
  <c r="K37" i="71" s="1"/>
  <c r="K142" i="71" s="1"/>
  <c r="AA136" i="83"/>
  <c r="AA138" i="72" s="1"/>
  <c r="AA208" i="72" s="1"/>
  <c r="AA238" i="72" s="1"/>
  <c r="AP136" i="83"/>
  <c r="AF194" i="83"/>
  <c r="AF67" i="71" s="1"/>
  <c r="AF172" i="71" s="1"/>
  <c r="S136" i="83"/>
  <c r="S138" i="72" s="1"/>
  <c r="S208" i="72" s="1"/>
  <c r="S238" i="72" s="1"/>
  <c r="M165" i="83"/>
  <c r="M37" i="71" s="1"/>
  <c r="M142" i="71" s="1"/>
  <c r="J136" i="83"/>
  <c r="J138" i="72" s="1"/>
  <c r="J208" i="72" s="1"/>
  <c r="J238" i="72" s="1"/>
  <c r="T165" i="83"/>
  <c r="T37" i="71" s="1"/>
  <c r="T142" i="71" s="1"/>
  <c r="Q136" i="83"/>
  <c r="Q138" i="72" s="1"/>
  <c r="Q208" i="72" s="1"/>
  <c r="Q238" i="72" s="1"/>
  <c r="AO165" i="83"/>
  <c r="AO37" i="71" s="1"/>
  <c r="AO142" i="71" s="1"/>
  <c r="Q194" i="83"/>
  <c r="Q67" i="71" s="1"/>
  <c r="Q172" i="71" s="1"/>
  <c r="V194" i="83"/>
  <c r="V67" i="71" s="1"/>
  <c r="V172" i="71" s="1"/>
  <c r="AJ194" i="83"/>
  <c r="AJ67" i="71" s="1"/>
  <c r="AJ172" i="71" s="1"/>
  <c r="AP223" i="83"/>
  <c r="AP97" i="71" s="1"/>
  <c r="AP202" i="71" s="1"/>
  <c r="AK136" i="83"/>
  <c r="AF165" i="83"/>
  <c r="AF37" i="71" s="1"/>
  <c r="AF142" i="71" s="1"/>
  <c r="AA223" i="83"/>
  <c r="AA97" i="71" s="1"/>
  <c r="AA202" i="71" s="1"/>
  <c r="N136" i="83"/>
  <c r="N138" i="72" s="1"/>
  <c r="N208" i="72" s="1"/>
  <c r="N238" i="72" s="1"/>
  <c r="L144" i="83"/>
  <c r="L146" i="72" s="1"/>
  <c r="L216" i="72" s="1"/>
  <c r="L246" i="72" s="1"/>
  <c r="AB144" i="83"/>
  <c r="AB146" i="72" s="1"/>
  <c r="AB216" i="72" s="1"/>
  <c r="AB246" i="72" s="1"/>
  <c r="AC231" i="83"/>
  <c r="AC105" i="71" s="1"/>
  <c r="AC210" i="71" s="1"/>
  <c r="T231" i="83"/>
  <c r="T105" i="71" s="1"/>
  <c r="T210" i="71" s="1"/>
  <c r="AA202" i="83"/>
  <c r="AA75" i="71" s="1"/>
  <c r="AA180" i="71" s="1"/>
  <c r="AA231" i="83"/>
  <c r="AA105" i="71" s="1"/>
  <c r="AA210" i="71" s="1"/>
  <c r="Y202" i="83"/>
  <c r="Y75" i="71" s="1"/>
  <c r="Y180" i="71" s="1"/>
  <c r="AD231" i="83"/>
  <c r="AD105" i="71" s="1"/>
  <c r="AD210" i="71" s="1"/>
  <c r="AD144" i="83"/>
  <c r="Y231" i="83"/>
  <c r="Y105" i="71" s="1"/>
  <c r="Y210" i="71" s="1"/>
  <c r="U173" i="83"/>
  <c r="U45" i="71" s="1"/>
  <c r="U150" i="71" s="1"/>
  <c r="AG202" i="83"/>
  <c r="AG75" i="71" s="1"/>
  <c r="AG180" i="71" s="1"/>
  <c r="Q202" i="83"/>
  <c r="Q75" i="71" s="1"/>
  <c r="Q180" i="71" s="1"/>
  <c r="J231" i="83"/>
  <c r="J105" i="71" s="1"/>
  <c r="J210" i="71" s="1"/>
  <c r="T144" i="83"/>
  <c r="T146" i="72" s="1"/>
  <c r="T216" i="72" s="1"/>
  <c r="T246" i="72" s="1"/>
  <c r="M144" i="83"/>
  <c r="M146" i="72" s="1"/>
  <c r="M216" i="72" s="1"/>
  <c r="M246" i="72" s="1"/>
  <c r="K202" i="83"/>
  <c r="K75" i="71" s="1"/>
  <c r="K180" i="71" s="1"/>
  <c r="S231" i="83"/>
  <c r="S105" i="71" s="1"/>
  <c r="S210" i="71" s="1"/>
  <c r="P144" i="83"/>
  <c r="P146" i="72" s="1"/>
  <c r="P216" i="72" s="1"/>
  <c r="P246" i="72" s="1"/>
  <c r="AE231" i="83"/>
  <c r="AE105" i="71" s="1"/>
  <c r="AE210" i="71" s="1"/>
  <c r="X144" i="83"/>
  <c r="X146" i="72" s="1"/>
  <c r="X216" i="72" s="1"/>
  <c r="X246" i="72" s="1"/>
  <c r="AC144" i="83"/>
  <c r="AK231" i="83"/>
  <c r="AK105" i="71" s="1"/>
  <c r="AK210" i="71" s="1"/>
  <c r="S202" i="83"/>
  <c r="S75" i="71" s="1"/>
  <c r="S180" i="71" s="1"/>
  <c r="N202" i="83"/>
  <c r="N75" i="71" s="1"/>
  <c r="N180" i="71" s="1"/>
  <c r="AH144" i="83"/>
  <c r="U231" i="83"/>
  <c r="U105" i="71" s="1"/>
  <c r="U210" i="71" s="1"/>
  <c r="M202" i="83"/>
  <c r="M75" i="71" s="1"/>
  <c r="M180" i="71" s="1"/>
  <c r="K144" i="83"/>
  <c r="K146" i="72" s="1"/>
  <c r="K216" i="72" s="1"/>
  <c r="K246" i="72" s="1"/>
  <c r="V144" i="83"/>
  <c r="V146" i="72" s="1"/>
  <c r="V216" i="72" s="1"/>
  <c r="V246" i="72" s="1"/>
  <c r="AP173" i="83"/>
  <c r="AP45" i="71" s="1"/>
  <c r="AP150" i="71" s="1"/>
  <c r="N231" i="83"/>
  <c r="N105" i="71" s="1"/>
  <c r="N210" i="71" s="1"/>
  <c r="X173" i="83"/>
  <c r="X45" i="71" s="1"/>
  <c r="X150" i="71" s="1"/>
  <c r="N173" i="83"/>
  <c r="N45" i="71" s="1"/>
  <c r="N150" i="71" s="1"/>
  <c r="R231" i="83"/>
  <c r="R105" i="71" s="1"/>
  <c r="R210" i="71" s="1"/>
  <c r="AL144" i="83"/>
  <c r="AF144" i="83"/>
  <c r="AC202" i="83"/>
  <c r="AC75" i="71" s="1"/>
  <c r="AC180" i="71" s="1"/>
  <c r="W144" i="83"/>
  <c r="W146" i="72" s="1"/>
  <c r="W216" i="72" s="1"/>
  <c r="W246" i="72" s="1"/>
  <c r="AN231" i="83"/>
  <c r="AN105" i="71" s="1"/>
  <c r="AN210" i="71" s="1"/>
  <c r="AB173" i="83"/>
  <c r="AB45" i="71" s="1"/>
  <c r="AB150" i="71" s="1"/>
  <c r="J202" i="83"/>
  <c r="J75" i="71" s="1"/>
  <c r="J180" i="71" s="1"/>
  <c r="AB231" i="83"/>
  <c r="AB105" i="71" s="1"/>
  <c r="AB210" i="71" s="1"/>
  <c r="J144" i="83"/>
  <c r="J146" i="72" s="1"/>
  <c r="J216" i="72" s="1"/>
  <c r="J246" i="72" s="1"/>
  <c r="S144" i="83"/>
  <c r="S146" i="72" s="1"/>
  <c r="S216" i="72" s="1"/>
  <c r="S246" i="72" s="1"/>
  <c r="V173" i="83"/>
  <c r="V45" i="71" s="1"/>
  <c r="V150" i="71" s="1"/>
  <c r="T173" i="83"/>
  <c r="T45" i="71" s="1"/>
  <c r="T150" i="71" s="1"/>
  <c r="AL231" i="83"/>
  <c r="AL105" i="71" s="1"/>
  <c r="AL210" i="71" s="1"/>
  <c r="Q231" i="83"/>
  <c r="Q105" i="71" s="1"/>
  <c r="Q210" i="71" s="1"/>
  <c r="AL202" i="83"/>
  <c r="AL75" i="71" s="1"/>
  <c r="AL180" i="71" s="1"/>
  <c r="AD173" i="83"/>
  <c r="AD45" i="71" s="1"/>
  <c r="AD150" i="71" s="1"/>
  <c r="L231" i="83"/>
  <c r="L105" i="71" s="1"/>
  <c r="L210" i="71" s="1"/>
  <c r="Z202" i="83"/>
  <c r="Z75" i="71" s="1"/>
  <c r="Z180" i="71" s="1"/>
  <c r="AK202" i="83"/>
  <c r="AK75" i="71" s="1"/>
  <c r="AK180" i="71" s="1"/>
  <c r="K173" i="83"/>
  <c r="K45" i="71" s="1"/>
  <c r="K150" i="71" s="1"/>
  <c r="AF231" i="83"/>
  <c r="AF105" i="71" s="1"/>
  <c r="AF210" i="71" s="1"/>
  <c r="Y144" i="83"/>
  <c r="Y146" i="72" s="1"/>
  <c r="Y216" i="72" s="1"/>
  <c r="Y246" i="72" s="1"/>
  <c r="AP202" i="83"/>
  <c r="AP75" i="71" s="1"/>
  <c r="AP180" i="71" s="1"/>
  <c r="Y173" i="83"/>
  <c r="Y45" i="71" s="1"/>
  <c r="Y150" i="71" s="1"/>
  <c r="U144" i="83"/>
  <c r="U146" i="72" s="1"/>
  <c r="U216" i="72" s="1"/>
  <c r="U246" i="72" s="1"/>
  <c r="AM144" i="83"/>
  <c r="AD202" i="83"/>
  <c r="AD75" i="71" s="1"/>
  <c r="AD180" i="71" s="1"/>
  <c r="X202" i="83"/>
  <c r="X75" i="71" s="1"/>
  <c r="X180" i="71" s="1"/>
  <c r="T202" i="83"/>
  <c r="T75" i="71" s="1"/>
  <c r="T180" i="71" s="1"/>
  <c r="O202" i="83"/>
  <c r="O75" i="71" s="1"/>
  <c r="O180" i="71" s="1"/>
  <c r="P173" i="83"/>
  <c r="P45" i="71" s="1"/>
  <c r="P150" i="71" s="1"/>
  <c r="W202" i="83"/>
  <c r="W75" i="71" s="1"/>
  <c r="W180" i="71" s="1"/>
  <c r="AG173" i="83"/>
  <c r="AG45" i="71" s="1"/>
  <c r="AG150" i="71" s="1"/>
  <c r="Z231" i="83"/>
  <c r="Z105" i="71" s="1"/>
  <c r="Z210" i="71" s="1"/>
  <c r="AN202" i="83"/>
  <c r="AN75" i="71" s="1"/>
  <c r="AN180" i="71" s="1"/>
  <c r="AH202" i="83"/>
  <c r="AH75" i="71" s="1"/>
  <c r="AH180" i="71" s="1"/>
  <c r="AO173" i="83"/>
  <c r="AO45" i="71" s="1"/>
  <c r="AO150" i="71" s="1"/>
  <c r="AE202" i="83"/>
  <c r="AE75" i="71" s="1"/>
  <c r="AE180" i="71" s="1"/>
  <c r="AO231" i="83"/>
  <c r="AO105" i="71" s="1"/>
  <c r="AO210" i="71" s="1"/>
  <c r="AH173" i="83"/>
  <c r="AH45" i="71" s="1"/>
  <c r="AH150" i="71" s="1"/>
  <c r="AA144" i="83"/>
  <c r="AA146" i="72" s="1"/>
  <c r="AA216" i="72" s="1"/>
  <c r="AA246" i="72" s="1"/>
  <c r="AM173" i="83"/>
  <c r="AM45" i="71" s="1"/>
  <c r="AM150" i="71" s="1"/>
  <c r="M173" i="83"/>
  <c r="M45" i="71" s="1"/>
  <c r="M150" i="71" s="1"/>
  <c r="U202" i="83"/>
  <c r="U75" i="71" s="1"/>
  <c r="U180" i="71" s="1"/>
  <c r="AI173" i="83"/>
  <c r="AI45" i="71" s="1"/>
  <c r="AI150" i="71" s="1"/>
  <c r="AL173" i="83"/>
  <c r="AL45" i="71" s="1"/>
  <c r="AL150" i="71" s="1"/>
  <c r="AP231" i="83"/>
  <c r="AP105" i="71" s="1"/>
  <c r="AP210" i="71" s="1"/>
  <c r="K231" i="83"/>
  <c r="K105" i="71" s="1"/>
  <c r="K210" i="71" s="1"/>
  <c r="AJ173" i="83"/>
  <c r="AJ45" i="71" s="1"/>
  <c r="AJ150" i="71" s="1"/>
  <c r="P202" i="83"/>
  <c r="P75" i="71" s="1"/>
  <c r="P180" i="71" s="1"/>
  <c r="V231" i="83"/>
  <c r="V105" i="71" s="1"/>
  <c r="V210" i="71" s="1"/>
  <c r="AK144" i="83"/>
  <c r="AJ144" i="83"/>
  <c r="P231" i="83"/>
  <c r="P105" i="71" s="1"/>
  <c r="P210" i="71" s="1"/>
  <c r="O144" i="83"/>
  <c r="O146" i="72" s="1"/>
  <c r="O216" i="72" s="1"/>
  <c r="O246" i="72" s="1"/>
  <c r="AA173" i="83"/>
  <c r="AA45" i="71" s="1"/>
  <c r="AA150" i="71" s="1"/>
  <c r="L173" i="83"/>
  <c r="L45" i="71" s="1"/>
  <c r="L150" i="71" s="1"/>
  <c r="V202" i="83"/>
  <c r="V75" i="71" s="1"/>
  <c r="V180" i="71" s="1"/>
  <c r="O231" i="83"/>
  <c r="O105" i="71" s="1"/>
  <c r="O210" i="71" s="1"/>
  <c r="S173" i="83"/>
  <c r="S45" i="71" s="1"/>
  <c r="S150" i="71" s="1"/>
  <c r="AP144" i="83"/>
  <c r="AE144" i="83"/>
  <c r="AC173" i="83"/>
  <c r="AC45" i="71" s="1"/>
  <c r="AC150" i="71" s="1"/>
  <c r="AN144" i="83"/>
  <c r="R144" i="83"/>
  <c r="R146" i="72" s="1"/>
  <c r="R216" i="72" s="1"/>
  <c r="R246" i="72" s="1"/>
  <c r="AM231" i="83"/>
  <c r="AM105" i="71" s="1"/>
  <c r="AM210" i="71" s="1"/>
  <c r="AF202" i="83"/>
  <c r="AF75" i="71" s="1"/>
  <c r="AF180" i="71" s="1"/>
  <c r="L202" i="83"/>
  <c r="L75" i="71" s="1"/>
  <c r="L180" i="71" s="1"/>
  <c r="R173" i="83"/>
  <c r="R45" i="71" s="1"/>
  <c r="R150" i="71" s="1"/>
  <c r="AN173" i="83"/>
  <c r="AN45" i="71" s="1"/>
  <c r="AN150" i="71" s="1"/>
  <c r="AI144" i="83"/>
  <c r="AG144" i="83"/>
  <c r="AM202" i="83"/>
  <c r="AM75" i="71" s="1"/>
  <c r="AM180" i="71" s="1"/>
  <c r="M231" i="83"/>
  <c r="M105" i="71" s="1"/>
  <c r="M210" i="71" s="1"/>
  <c r="Q173" i="83"/>
  <c r="Q45" i="71" s="1"/>
  <c r="Q150" i="71" s="1"/>
  <c r="AO144" i="83"/>
  <c r="AO202" i="83"/>
  <c r="AO75" i="71" s="1"/>
  <c r="AO180" i="71" s="1"/>
  <c r="AK173" i="83"/>
  <c r="AK45" i="71" s="1"/>
  <c r="AK150" i="71" s="1"/>
  <c r="AF173" i="83"/>
  <c r="AF45" i="71" s="1"/>
  <c r="AF150" i="71" s="1"/>
  <c r="AI231" i="83"/>
  <c r="AI105" i="71" s="1"/>
  <c r="AI210" i="71" s="1"/>
  <c r="W173" i="83"/>
  <c r="W45" i="71" s="1"/>
  <c r="W150" i="71" s="1"/>
  <c r="AB202" i="83"/>
  <c r="AB75" i="71" s="1"/>
  <c r="AB180" i="71" s="1"/>
  <c r="AJ231" i="83"/>
  <c r="AJ105" i="71" s="1"/>
  <c r="AJ210" i="71" s="1"/>
  <c r="AJ202" i="83"/>
  <c r="AJ75" i="71" s="1"/>
  <c r="AJ180" i="71" s="1"/>
  <c r="AH231" i="83"/>
  <c r="AH105" i="71" s="1"/>
  <c r="AH210" i="71" s="1"/>
  <c r="J173" i="83"/>
  <c r="J45" i="71" s="1"/>
  <c r="J150" i="71" s="1"/>
  <c r="N144" i="83"/>
  <c r="N146" i="72" s="1"/>
  <c r="N216" i="72" s="1"/>
  <c r="N246" i="72" s="1"/>
  <c r="AE173" i="83"/>
  <c r="AE45" i="71" s="1"/>
  <c r="AE150" i="71" s="1"/>
  <c r="AG231" i="83"/>
  <c r="AG105" i="71" s="1"/>
  <c r="AG210" i="71" s="1"/>
  <c r="Z144" i="83"/>
  <c r="Z146" i="72" s="1"/>
  <c r="Z216" i="72" s="1"/>
  <c r="Z246" i="72" s="1"/>
  <c r="Q144" i="83"/>
  <c r="Q146" i="72" s="1"/>
  <c r="Q216" i="72" s="1"/>
  <c r="Q246" i="72" s="1"/>
  <c r="AI202" i="83"/>
  <c r="AI75" i="71" s="1"/>
  <c r="AI180" i="71" s="1"/>
  <c r="X231" i="83"/>
  <c r="X105" i="71" s="1"/>
  <c r="X210" i="71" s="1"/>
  <c r="W231" i="83"/>
  <c r="W105" i="71" s="1"/>
  <c r="W210" i="71" s="1"/>
  <c r="R202" i="83"/>
  <c r="R75" i="71" s="1"/>
  <c r="R180" i="71" s="1"/>
  <c r="Z173" i="83"/>
  <c r="Z45" i="71" s="1"/>
  <c r="Z150" i="71" s="1"/>
  <c r="O173" i="83"/>
  <c r="O45" i="71" s="1"/>
  <c r="O150" i="71" s="1"/>
  <c r="N178" i="73"/>
  <c r="N238" i="73" s="1"/>
  <c r="S178" i="73"/>
  <c r="S238" i="73" s="1"/>
  <c r="U178" i="73"/>
  <c r="U238" i="73" s="1"/>
  <c r="P148" i="73"/>
  <c r="AA148" i="73"/>
  <c r="AA178" i="73"/>
  <c r="AA238" i="73" s="1"/>
  <c r="J148" i="73"/>
  <c r="Q178" i="73"/>
  <c r="Q238" i="73" s="1"/>
  <c r="K178" i="73"/>
  <c r="K238" i="73" s="1"/>
  <c r="Z148" i="73"/>
  <c r="W148" i="73"/>
  <c r="N148" i="73"/>
  <c r="S148" i="73"/>
  <c r="W178" i="73"/>
  <c r="W238" i="73" s="1"/>
  <c r="R148" i="73"/>
  <c r="U148" i="73"/>
  <c r="Q148" i="73"/>
  <c r="T178" i="73"/>
  <c r="T238" i="73" s="1"/>
  <c r="X148" i="73"/>
  <c r="V178" i="73"/>
  <c r="V238" i="73" s="1"/>
  <c r="K148" i="73"/>
  <c r="L178" i="73"/>
  <c r="L238" i="73" s="1"/>
  <c r="O148" i="73"/>
  <c r="O178" i="73"/>
  <c r="O238" i="73" s="1"/>
  <c r="R178" i="73"/>
  <c r="R238" i="73" s="1"/>
  <c r="P178" i="73"/>
  <c r="P238" i="73" s="1"/>
  <c r="M178" i="73"/>
  <c r="M238" i="73" s="1"/>
  <c r="L148" i="73"/>
  <c r="Y148" i="73"/>
  <c r="V148" i="73"/>
  <c r="AB178" i="73"/>
  <c r="AB238" i="73" s="1"/>
  <c r="Y178" i="73"/>
  <c r="Y238" i="73" s="1"/>
  <c r="AB148" i="73"/>
  <c r="J178" i="73"/>
  <c r="J238" i="73" s="1"/>
  <c r="X178" i="73"/>
  <c r="X238" i="73" s="1"/>
  <c r="M148" i="73"/>
  <c r="Z178" i="73"/>
  <c r="Z238" i="73" s="1"/>
  <c r="T148" i="73"/>
  <c r="R225" i="83"/>
  <c r="R99" i="71" s="1"/>
  <c r="R204" i="71" s="1"/>
  <c r="AA225" i="83"/>
  <c r="AA99" i="71" s="1"/>
  <c r="AA204" i="71" s="1"/>
  <c r="Z225" i="83"/>
  <c r="Z99" i="71" s="1"/>
  <c r="Z204" i="71" s="1"/>
  <c r="AJ196" i="83"/>
  <c r="AJ69" i="71" s="1"/>
  <c r="AJ174" i="71" s="1"/>
  <c r="AA167" i="83"/>
  <c r="AA39" i="71" s="1"/>
  <c r="AA144" i="71" s="1"/>
  <c r="M225" i="83"/>
  <c r="M99" i="71" s="1"/>
  <c r="M204" i="71" s="1"/>
  <c r="Q138" i="83"/>
  <c r="Q140" i="72" s="1"/>
  <c r="Q210" i="72" s="1"/>
  <c r="Q240" i="72" s="1"/>
  <c r="AE167" i="83"/>
  <c r="AE39" i="71" s="1"/>
  <c r="AE144" i="71" s="1"/>
  <c r="AD138" i="83"/>
  <c r="R167" i="83"/>
  <c r="R39" i="71" s="1"/>
  <c r="R144" i="71" s="1"/>
  <c r="Q196" i="83"/>
  <c r="Q69" i="71" s="1"/>
  <c r="Q174" i="71" s="1"/>
  <c r="J225" i="83"/>
  <c r="J99" i="71" s="1"/>
  <c r="J204" i="71" s="1"/>
  <c r="Y196" i="83"/>
  <c r="Y69" i="71" s="1"/>
  <c r="Y174" i="71" s="1"/>
  <c r="L196" i="83"/>
  <c r="L69" i="71" s="1"/>
  <c r="L174" i="71" s="1"/>
  <c r="AK138" i="83"/>
  <c r="M138" i="83"/>
  <c r="M140" i="72" s="1"/>
  <c r="M210" i="72" s="1"/>
  <c r="M240" i="72" s="1"/>
  <c r="P196" i="83"/>
  <c r="P69" i="71" s="1"/>
  <c r="P174" i="71" s="1"/>
  <c r="X225" i="83"/>
  <c r="X99" i="71" s="1"/>
  <c r="X204" i="71" s="1"/>
  <c r="W138" i="83"/>
  <c r="W140" i="72" s="1"/>
  <c r="W210" i="72" s="1"/>
  <c r="W240" i="72" s="1"/>
  <c r="AF167" i="83"/>
  <c r="AF39" i="71" s="1"/>
  <c r="AF144" i="71" s="1"/>
  <c r="K196" i="83"/>
  <c r="K69" i="71" s="1"/>
  <c r="K174" i="71" s="1"/>
  <c r="AA138" i="83"/>
  <c r="AA140" i="72" s="1"/>
  <c r="AA210" i="72" s="1"/>
  <c r="AA240" i="72" s="1"/>
  <c r="AJ138" i="83"/>
  <c r="AC196" i="83"/>
  <c r="AC69" i="71" s="1"/>
  <c r="AC174" i="71" s="1"/>
  <c r="AC225" i="83"/>
  <c r="AC99" i="71" s="1"/>
  <c r="AC204" i="71" s="1"/>
  <c r="AG167" i="83"/>
  <c r="AG39" i="71" s="1"/>
  <c r="AG144" i="71" s="1"/>
  <c r="W225" i="83"/>
  <c r="W99" i="71" s="1"/>
  <c r="W204" i="71" s="1"/>
  <c r="AJ167" i="83"/>
  <c r="AJ39" i="71" s="1"/>
  <c r="AJ144" i="71" s="1"/>
  <c r="X167" i="83"/>
  <c r="X39" i="71" s="1"/>
  <c r="X144" i="71" s="1"/>
  <c r="T196" i="83"/>
  <c r="T69" i="71" s="1"/>
  <c r="T174" i="71" s="1"/>
  <c r="AH196" i="83"/>
  <c r="AH69" i="71" s="1"/>
  <c r="AH174" i="71" s="1"/>
  <c r="L167" i="83"/>
  <c r="L39" i="71" s="1"/>
  <c r="L144" i="71" s="1"/>
  <c r="AN225" i="83"/>
  <c r="AN99" i="71" s="1"/>
  <c r="AN204" i="71" s="1"/>
  <c r="AO196" i="83"/>
  <c r="AO69" i="71" s="1"/>
  <c r="AO174" i="71" s="1"/>
  <c r="T167" i="83"/>
  <c r="T39" i="71" s="1"/>
  <c r="T144" i="71" s="1"/>
  <c r="Q225" i="83"/>
  <c r="Q99" i="71" s="1"/>
  <c r="Q204" i="71" s="1"/>
  <c r="U138" i="83"/>
  <c r="U140" i="72" s="1"/>
  <c r="U210" i="72" s="1"/>
  <c r="U240" i="72" s="1"/>
  <c r="AG196" i="83"/>
  <c r="AG69" i="71" s="1"/>
  <c r="AG174" i="71" s="1"/>
  <c r="T225" i="83"/>
  <c r="T99" i="71" s="1"/>
  <c r="T204" i="71" s="1"/>
  <c r="AI138" i="83"/>
  <c r="O167" i="83"/>
  <c r="O39" i="71" s="1"/>
  <c r="O144" i="71" s="1"/>
  <c r="U167" i="83"/>
  <c r="U39" i="71" s="1"/>
  <c r="U144" i="71" s="1"/>
  <c r="AH225" i="83"/>
  <c r="AH99" i="71" s="1"/>
  <c r="AH204" i="71" s="1"/>
  <c r="AD225" i="83"/>
  <c r="AD99" i="71" s="1"/>
  <c r="AD204" i="71" s="1"/>
  <c r="AH138" i="83"/>
  <c r="M196" i="83"/>
  <c r="M69" i="71" s="1"/>
  <c r="M174" i="71" s="1"/>
  <c r="X196" i="83"/>
  <c r="X69" i="71" s="1"/>
  <c r="X174" i="71" s="1"/>
  <c r="L138" i="83"/>
  <c r="L140" i="72" s="1"/>
  <c r="L210" i="72" s="1"/>
  <c r="L240" i="72" s="1"/>
  <c r="L225" i="83"/>
  <c r="L99" i="71" s="1"/>
  <c r="L204" i="71" s="1"/>
  <c r="Y225" i="83"/>
  <c r="Y99" i="71" s="1"/>
  <c r="Y204" i="71" s="1"/>
  <c r="AN167" i="83"/>
  <c r="AN39" i="71" s="1"/>
  <c r="AN144" i="71" s="1"/>
  <c r="Q167" i="83"/>
  <c r="Q39" i="71" s="1"/>
  <c r="Q144" i="71" s="1"/>
  <c r="AM196" i="83"/>
  <c r="AM69" i="71" s="1"/>
  <c r="AM174" i="71" s="1"/>
  <c r="J167" i="83"/>
  <c r="J39" i="71" s="1"/>
  <c r="J144" i="71" s="1"/>
  <c r="AF138" i="83"/>
  <c r="AD196" i="83"/>
  <c r="AD69" i="71" s="1"/>
  <c r="AD174" i="71" s="1"/>
  <c r="AN138" i="83"/>
  <c r="S167" i="83"/>
  <c r="S39" i="71" s="1"/>
  <c r="S144" i="71" s="1"/>
  <c r="AF196" i="83"/>
  <c r="AF69" i="71" s="1"/>
  <c r="AF174" i="71" s="1"/>
  <c r="R196" i="83"/>
  <c r="R69" i="71" s="1"/>
  <c r="R174" i="71" s="1"/>
  <c r="AL167" i="83"/>
  <c r="AL39" i="71" s="1"/>
  <c r="AL144" i="71" s="1"/>
  <c r="Z167" i="83"/>
  <c r="Z39" i="71" s="1"/>
  <c r="Z144" i="71" s="1"/>
  <c r="AG138" i="83"/>
  <c r="AM167" i="83"/>
  <c r="AM39" i="71" s="1"/>
  <c r="AM144" i="71" s="1"/>
  <c r="O225" i="83"/>
  <c r="O99" i="71" s="1"/>
  <c r="O204" i="71" s="1"/>
  <c r="J196" i="83"/>
  <c r="J69" i="71" s="1"/>
  <c r="J174" i="71" s="1"/>
  <c r="AC167" i="83"/>
  <c r="AC39" i="71" s="1"/>
  <c r="AC144" i="71" s="1"/>
  <c r="AL225" i="83"/>
  <c r="AL99" i="71" s="1"/>
  <c r="AL204" i="71" s="1"/>
  <c r="AH167" i="83"/>
  <c r="AH39" i="71" s="1"/>
  <c r="AH144" i="71" s="1"/>
  <c r="O196" i="83"/>
  <c r="O69" i="71" s="1"/>
  <c r="O174" i="71" s="1"/>
  <c r="AE225" i="83"/>
  <c r="AE99" i="71" s="1"/>
  <c r="AE204" i="71" s="1"/>
  <c r="AK167" i="83"/>
  <c r="AK39" i="71" s="1"/>
  <c r="AK144" i="71" s="1"/>
  <c r="V225" i="83"/>
  <c r="V99" i="71" s="1"/>
  <c r="V204" i="71" s="1"/>
  <c r="S196" i="83"/>
  <c r="S69" i="71" s="1"/>
  <c r="S174" i="71" s="1"/>
  <c r="AE196" i="83"/>
  <c r="AE69" i="71" s="1"/>
  <c r="AE174" i="71" s="1"/>
  <c r="N167" i="83"/>
  <c r="N39" i="71" s="1"/>
  <c r="N144" i="71" s="1"/>
  <c r="Y138" i="83"/>
  <c r="Y140" i="72" s="1"/>
  <c r="Y210" i="72" s="1"/>
  <c r="Y240" i="72" s="1"/>
  <c r="AP138" i="83"/>
  <c r="Z138" i="83"/>
  <c r="Z140" i="72" s="1"/>
  <c r="Z210" i="72" s="1"/>
  <c r="Z240" i="72" s="1"/>
  <c r="AB167" i="83"/>
  <c r="AB39" i="71" s="1"/>
  <c r="AB144" i="71" s="1"/>
  <c r="AG225" i="83"/>
  <c r="AG99" i="71" s="1"/>
  <c r="AG204" i="71" s="1"/>
  <c r="AK225" i="83"/>
  <c r="AK99" i="71" s="1"/>
  <c r="AK204" i="71" s="1"/>
  <c r="N138" i="83"/>
  <c r="N140" i="72" s="1"/>
  <c r="N210" i="72" s="1"/>
  <c r="N240" i="72" s="1"/>
  <c r="AL138" i="83"/>
  <c r="AD167" i="83"/>
  <c r="AD39" i="71" s="1"/>
  <c r="AD144" i="71" s="1"/>
  <c r="V196" i="83"/>
  <c r="V69" i="71" s="1"/>
  <c r="V174" i="71" s="1"/>
  <c r="K138" i="83"/>
  <c r="K140" i="72" s="1"/>
  <c r="K210" i="72" s="1"/>
  <c r="K240" i="72" s="1"/>
  <c r="P167" i="83"/>
  <c r="P39" i="71" s="1"/>
  <c r="P144" i="71" s="1"/>
  <c r="AC138" i="83"/>
  <c r="P138" i="83"/>
  <c r="P140" i="72" s="1"/>
  <c r="P210" i="72" s="1"/>
  <c r="P240" i="72" s="1"/>
  <c r="V138" i="83"/>
  <c r="V140" i="72" s="1"/>
  <c r="V210" i="72" s="1"/>
  <c r="V240" i="72" s="1"/>
  <c r="P225" i="83"/>
  <c r="P99" i="71" s="1"/>
  <c r="P204" i="71" s="1"/>
  <c r="Y167" i="83"/>
  <c r="Y39" i="71" s="1"/>
  <c r="Y144" i="71" s="1"/>
  <c r="AO138" i="83"/>
  <c r="R138" i="83"/>
  <c r="R140" i="72" s="1"/>
  <c r="R210" i="72" s="1"/>
  <c r="R240" i="72" s="1"/>
  <c r="N196" i="83"/>
  <c r="N69" i="71" s="1"/>
  <c r="N174" i="71" s="1"/>
  <c r="AA196" i="83"/>
  <c r="AA69" i="71" s="1"/>
  <c r="AA174" i="71" s="1"/>
  <c r="AI225" i="83"/>
  <c r="AI99" i="71" s="1"/>
  <c r="AI204" i="71" s="1"/>
  <c r="S225" i="83"/>
  <c r="S99" i="71" s="1"/>
  <c r="S204" i="71" s="1"/>
  <c r="N225" i="83"/>
  <c r="N99" i="71" s="1"/>
  <c r="N204" i="71" s="1"/>
  <c r="W167" i="83"/>
  <c r="W39" i="71" s="1"/>
  <c r="W144" i="71" s="1"/>
  <c r="AO167" i="83"/>
  <c r="AO39" i="71" s="1"/>
  <c r="AO144" i="71" s="1"/>
  <c r="AK196" i="83"/>
  <c r="AK69" i="71" s="1"/>
  <c r="AK174" i="71" s="1"/>
  <c r="AP196" i="83"/>
  <c r="AP69" i="71" s="1"/>
  <c r="AP174" i="71" s="1"/>
  <c r="J138" i="83"/>
  <c r="J140" i="72" s="1"/>
  <c r="J210" i="72" s="1"/>
  <c r="J240" i="72" s="1"/>
  <c r="AP167" i="83"/>
  <c r="AP39" i="71" s="1"/>
  <c r="AP144" i="71" s="1"/>
  <c r="U196" i="83"/>
  <c r="U69" i="71" s="1"/>
  <c r="U174" i="71" s="1"/>
  <c r="AI196" i="83"/>
  <c r="AI69" i="71" s="1"/>
  <c r="AI174" i="71" s="1"/>
  <c r="AM138" i="83"/>
  <c r="AP225" i="83"/>
  <c r="AP99" i="71" s="1"/>
  <c r="AP204" i="71" s="1"/>
  <c r="AB138" i="83"/>
  <c r="AB140" i="72" s="1"/>
  <c r="AB210" i="72" s="1"/>
  <c r="AB240" i="72" s="1"/>
  <c r="AB196" i="83"/>
  <c r="AB69" i="71" s="1"/>
  <c r="AB174" i="71" s="1"/>
  <c r="K167" i="83"/>
  <c r="K39" i="71" s="1"/>
  <c r="K144" i="71" s="1"/>
  <c r="W196" i="83"/>
  <c r="W69" i="71" s="1"/>
  <c r="W174" i="71" s="1"/>
  <c r="AN196" i="83"/>
  <c r="AN69" i="71" s="1"/>
  <c r="AN174" i="71" s="1"/>
  <c r="AE138" i="83"/>
  <c r="AB225" i="83"/>
  <c r="AB99" i="71" s="1"/>
  <c r="AB204" i="71" s="1"/>
  <c r="T138" i="83"/>
  <c r="T140" i="72" s="1"/>
  <c r="T210" i="72" s="1"/>
  <c r="T240" i="72" s="1"/>
  <c r="V167" i="83"/>
  <c r="V39" i="71" s="1"/>
  <c r="V144" i="71" s="1"/>
  <c r="M167" i="83"/>
  <c r="M39" i="71" s="1"/>
  <c r="M144" i="71" s="1"/>
  <c r="S138" i="83"/>
  <c r="S140" i="72" s="1"/>
  <c r="S210" i="72" s="1"/>
  <c r="S240" i="72" s="1"/>
  <c r="AO225" i="83"/>
  <c r="AO99" i="71" s="1"/>
  <c r="AO204" i="71" s="1"/>
  <c r="AI167" i="83"/>
  <c r="AI39" i="71" s="1"/>
  <c r="AI144" i="71" s="1"/>
  <c r="X138" i="83"/>
  <c r="X140" i="72" s="1"/>
  <c r="X210" i="72" s="1"/>
  <c r="X240" i="72" s="1"/>
  <c r="U225" i="83"/>
  <c r="U99" i="71" s="1"/>
  <c r="U204" i="71" s="1"/>
  <c r="AL196" i="83"/>
  <c r="AL69" i="71" s="1"/>
  <c r="AL174" i="71" s="1"/>
  <c r="AJ225" i="83"/>
  <c r="AJ99" i="71" s="1"/>
  <c r="AJ204" i="71" s="1"/>
  <c r="K225" i="83"/>
  <c r="K99" i="71" s="1"/>
  <c r="K204" i="71" s="1"/>
  <c r="Z196" i="83"/>
  <c r="Z69" i="71" s="1"/>
  <c r="Z174" i="71" s="1"/>
  <c r="O138" i="83"/>
  <c r="O140" i="72" s="1"/>
  <c r="O210" i="72" s="1"/>
  <c r="O240" i="72" s="1"/>
  <c r="AM225" i="83"/>
  <c r="AM99" i="71" s="1"/>
  <c r="AM204" i="71" s="1"/>
  <c r="AF225" i="83"/>
  <c r="AF99" i="71" s="1"/>
  <c r="AF204" i="71" s="1"/>
  <c r="AD195" i="83"/>
  <c r="AD68" i="71" s="1"/>
  <c r="AD173" i="71" s="1"/>
  <c r="AK137" i="83"/>
  <c r="U224" i="83"/>
  <c r="U98" i="71" s="1"/>
  <c r="U203" i="71" s="1"/>
  <c r="S195" i="83"/>
  <c r="S68" i="71" s="1"/>
  <c r="S173" i="71" s="1"/>
  <c r="O195" i="83"/>
  <c r="O68" i="71" s="1"/>
  <c r="O173" i="71" s="1"/>
  <c r="M224" i="83"/>
  <c r="M98" i="71" s="1"/>
  <c r="M203" i="71" s="1"/>
  <c r="J166" i="83"/>
  <c r="J38" i="71" s="1"/>
  <c r="J143" i="71" s="1"/>
  <c r="AM224" i="83"/>
  <c r="AM98" i="71" s="1"/>
  <c r="AM203" i="71" s="1"/>
  <c r="AK166" i="83"/>
  <c r="AK38" i="71" s="1"/>
  <c r="AK143" i="71" s="1"/>
  <c r="AN224" i="83"/>
  <c r="AN98" i="71" s="1"/>
  <c r="AN203" i="71" s="1"/>
  <c r="AJ166" i="83"/>
  <c r="AJ38" i="71" s="1"/>
  <c r="AJ143" i="71" s="1"/>
  <c r="AL166" i="83"/>
  <c r="AL38" i="71" s="1"/>
  <c r="AL143" i="71" s="1"/>
  <c r="K166" i="83"/>
  <c r="K38" i="71" s="1"/>
  <c r="K143" i="71" s="1"/>
  <c r="AL137" i="83"/>
  <c r="T166" i="83"/>
  <c r="T38" i="71" s="1"/>
  <c r="T143" i="71" s="1"/>
  <c r="AB166" i="83"/>
  <c r="AB38" i="71" s="1"/>
  <c r="AB143" i="71" s="1"/>
  <c r="AA224" i="83"/>
  <c r="AA98" i="71" s="1"/>
  <c r="AA203" i="71" s="1"/>
  <c r="M137" i="83"/>
  <c r="M139" i="72" s="1"/>
  <c r="M209" i="72" s="1"/>
  <c r="M239" i="72" s="1"/>
  <c r="W166" i="83"/>
  <c r="W38" i="71" s="1"/>
  <c r="W143" i="71" s="1"/>
  <c r="AE137" i="83"/>
  <c r="AE195" i="83"/>
  <c r="AE68" i="71" s="1"/>
  <c r="AE173" i="71" s="1"/>
  <c r="AM166" i="83"/>
  <c r="AM38" i="71" s="1"/>
  <c r="AM143" i="71" s="1"/>
  <c r="Y166" i="83"/>
  <c r="Y38" i="71" s="1"/>
  <c r="Y143" i="71" s="1"/>
  <c r="AG224" i="83"/>
  <c r="AG98" i="71" s="1"/>
  <c r="AG203" i="71" s="1"/>
  <c r="L166" i="83"/>
  <c r="L38" i="71" s="1"/>
  <c r="L143" i="71" s="1"/>
  <c r="AI195" i="83"/>
  <c r="AI68" i="71" s="1"/>
  <c r="AI173" i="71" s="1"/>
  <c r="N137" i="83"/>
  <c r="N139" i="72" s="1"/>
  <c r="N209" i="72" s="1"/>
  <c r="N239" i="72" s="1"/>
  <c r="AB195" i="83"/>
  <c r="AB68" i="71" s="1"/>
  <c r="AB173" i="71" s="1"/>
  <c r="O137" i="83"/>
  <c r="O139" i="72" s="1"/>
  <c r="O209" i="72" s="1"/>
  <c r="O239" i="72" s="1"/>
  <c r="T195" i="83"/>
  <c r="T68" i="71" s="1"/>
  <c r="T173" i="71" s="1"/>
  <c r="AA166" i="83"/>
  <c r="AA38" i="71" s="1"/>
  <c r="AA143" i="71" s="1"/>
  <c r="T137" i="83"/>
  <c r="T139" i="72" s="1"/>
  <c r="T209" i="72" s="1"/>
  <c r="T239" i="72" s="1"/>
  <c r="X166" i="83"/>
  <c r="X38" i="71" s="1"/>
  <c r="X143" i="71" s="1"/>
  <c r="P195" i="83"/>
  <c r="P68" i="71" s="1"/>
  <c r="P173" i="71" s="1"/>
  <c r="AI224" i="83"/>
  <c r="AI98" i="71" s="1"/>
  <c r="AI203" i="71" s="1"/>
  <c r="AD166" i="83"/>
  <c r="AD38" i="71" s="1"/>
  <c r="AD143" i="71" s="1"/>
  <c r="S137" i="83"/>
  <c r="S139" i="72" s="1"/>
  <c r="S209" i="72" s="1"/>
  <c r="S239" i="72" s="1"/>
  <c r="X195" i="83"/>
  <c r="X68" i="71" s="1"/>
  <c r="X173" i="71" s="1"/>
  <c r="P137" i="83"/>
  <c r="P139" i="72" s="1"/>
  <c r="P209" i="72" s="1"/>
  <c r="P239" i="72" s="1"/>
  <c r="P166" i="83"/>
  <c r="P38" i="71" s="1"/>
  <c r="P143" i="71" s="1"/>
  <c r="AP166" i="83"/>
  <c r="AP38" i="71" s="1"/>
  <c r="AP143" i="71" s="1"/>
  <c r="J224" i="83"/>
  <c r="J98" i="71" s="1"/>
  <c r="J203" i="71" s="1"/>
  <c r="U137" i="83"/>
  <c r="U139" i="72" s="1"/>
  <c r="U209" i="72" s="1"/>
  <c r="U239" i="72" s="1"/>
  <c r="AG195" i="83"/>
  <c r="AG68" i="71" s="1"/>
  <c r="AG173" i="71" s="1"/>
  <c r="AP224" i="83"/>
  <c r="AP98" i="71" s="1"/>
  <c r="AP203" i="71" s="1"/>
  <c r="AH224" i="83"/>
  <c r="AH98" i="71" s="1"/>
  <c r="AH203" i="71" s="1"/>
  <c r="U195" i="83"/>
  <c r="U68" i="71" s="1"/>
  <c r="U173" i="71" s="1"/>
  <c r="Q166" i="83"/>
  <c r="Q38" i="71" s="1"/>
  <c r="Q143" i="71" s="1"/>
  <c r="Q224" i="83"/>
  <c r="Q98" i="71" s="1"/>
  <c r="Q203" i="71" s="1"/>
  <c r="L195" i="83"/>
  <c r="L68" i="71" s="1"/>
  <c r="L173" i="71" s="1"/>
  <c r="AD224" i="83"/>
  <c r="AD98" i="71" s="1"/>
  <c r="AD203" i="71" s="1"/>
  <c r="AL195" i="83"/>
  <c r="AL68" i="71" s="1"/>
  <c r="AL173" i="71" s="1"/>
  <c r="R224" i="83"/>
  <c r="R98" i="71" s="1"/>
  <c r="R203" i="71" s="1"/>
  <c r="K195" i="83"/>
  <c r="K68" i="71" s="1"/>
  <c r="K173" i="71" s="1"/>
  <c r="AO224" i="83"/>
  <c r="AO98" i="71" s="1"/>
  <c r="AO203" i="71" s="1"/>
  <c r="AO166" i="83"/>
  <c r="AO38" i="71" s="1"/>
  <c r="AO143" i="71" s="1"/>
  <c r="AF166" i="83"/>
  <c r="AF38" i="71" s="1"/>
  <c r="AF143" i="71" s="1"/>
  <c r="AP137" i="83"/>
  <c r="V137" i="83"/>
  <c r="V139" i="72" s="1"/>
  <c r="V209" i="72" s="1"/>
  <c r="V239" i="72" s="1"/>
  <c r="S166" i="83"/>
  <c r="S38" i="71" s="1"/>
  <c r="S143" i="71" s="1"/>
  <c r="V224" i="83"/>
  <c r="V98" i="71" s="1"/>
  <c r="V203" i="71" s="1"/>
  <c r="V195" i="83"/>
  <c r="V68" i="71" s="1"/>
  <c r="V173" i="71" s="1"/>
  <c r="U166" i="83"/>
  <c r="U38" i="71" s="1"/>
  <c r="U143" i="71" s="1"/>
  <c r="Z224" i="83"/>
  <c r="Z98" i="71" s="1"/>
  <c r="Z203" i="71" s="1"/>
  <c r="AO195" i="83"/>
  <c r="AO68" i="71" s="1"/>
  <c r="AO173" i="71" s="1"/>
  <c r="AN195" i="83"/>
  <c r="AN68" i="71" s="1"/>
  <c r="AN173" i="71" s="1"/>
  <c r="AG137" i="83"/>
  <c r="AJ195" i="83"/>
  <c r="AJ68" i="71" s="1"/>
  <c r="AJ173" i="71" s="1"/>
  <c r="AB224" i="83"/>
  <c r="AB98" i="71" s="1"/>
  <c r="AB203" i="71" s="1"/>
  <c r="L137" i="83"/>
  <c r="L139" i="72" s="1"/>
  <c r="L209" i="72" s="1"/>
  <c r="L239" i="72" s="1"/>
  <c r="AF195" i="83"/>
  <c r="AF68" i="71" s="1"/>
  <c r="AF173" i="71" s="1"/>
  <c r="N166" i="83"/>
  <c r="N38" i="71" s="1"/>
  <c r="N143" i="71" s="1"/>
  <c r="AC137" i="83"/>
  <c r="R166" i="83"/>
  <c r="R38" i="71" s="1"/>
  <c r="R143" i="71" s="1"/>
  <c r="AH166" i="83"/>
  <c r="AH38" i="71" s="1"/>
  <c r="AH143" i="71" s="1"/>
  <c r="S224" i="83"/>
  <c r="S98" i="71" s="1"/>
  <c r="S203" i="71" s="1"/>
  <c r="Y137" i="83"/>
  <c r="Y139" i="72" s="1"/>
  <c r="Y209" i="72" s="1"/>
  <c r="Y239" i="72" s="1"/>
  <c r="J137" i="83"/>
  <c r="J139" i="72" s="1"/>
  <c r="J209" i="72" s="1"/>
  <c r="J239" i="72" s="1"/>
  <c r="M195" i="83"/>
  <c r="M68" i="71" s="1"/>
  <c r="M173" i="71" s="1"/>
  <c r="X224" i="83"/>
  <c r="X98" i="71" s="1"/>
  <c r="X203" i="71" s="1"/>
  <c r="AM195" i="83"/>
  <c r="AM68" i="71" s="1"/>
  <c r="AM173" i="71" s="1"/>
  <c r="K224" i="83"/>
  <c r="K98" i="71" s="1"/>
  <c r="K203" i="71" s="1"/>
  <c r="AL224" i="83"/>
  <c r="AL98" i="71" s="1"/>
  <c r="AL203" i="71" s="1"/>
  <c r="O166" i="83"/>
  <c r="O38" i="71" s="1"/>
  <c r="O143" i="71" s="1"/>
  <c r="X137" i="83"/>
  <c r="X139" i="72" s="1"/>
  <c r="X209" i="72" s="1"/>
  <c r="X239" i="72" s="1"/>
  <c r="AK195" i="83"/>
  <c r="AK68" i="71" s="1"/>
  <c r="AK173" i="71" s="1"/>
  <c r="AJ137" i="83"/>
  <c r="AI137" i="83"/>
  <c r="AC224" i="83"/>
  <c r="AC98" i="71" s="1"/>
  <c r="AC203" i="71" s="1"/>
  <c r="Y224" i="83"/>
  <c r="Y98" i="71" s="1"/>
  <c r="Y203" i="71" s="1"/>
  <c r="AK224" i="83"/>
  <c r="AK98" i="71" s="1"/>
  <c r="AK203" i="71" s="1"/>
  <c r="AH195" i="83"/>
  <c r="AH68" i="71" s="1"/>
  <c r="AH173" i="71" s="1"/>
  <c r="AO137" i="83"/>
  <c r="AC166" i="83"/>
  <c r="AC38" i="71" s="1"/>
  <c r="AC143" i="71" s="1"/>
  <c r="AI166" i="83"/>
  <c r="AI38" i="71" s="1"/>
  <c r="AI143" i="71" s="1"/>
  <c r="Q137" i="83"/>
  <c r="Q139" i="72" s="1"/>
  <c r="Q209" i="72" s="1"/>
  <c r="Q239" i="72" s="1"/>
  <c r="W224" i="83"/>
  <c r="W98" i="71" s="1"/>
  <c r="W203" i="71" s="1"/>
  <c r="T224" i="83"/>
  <c r="T98" i="71" s="1"/>
  <c r="T203" i="71" s="1"/>
  <c r="L224" i="83"/>
  <c r="L98" i="71" s="1"/>
  <c r="L203" i="71" s="1"/>
  <c r="O224" i="83"/>
  <c r="O98" i="71" s="1"/>
  <c r="O203" i="71" s="1"/>
  <c r="AE224" i="83"/>
  <c r="AE98" i="71" s="1"/>
  <c r="AE203" i="71" s="1"/>
  <c r="K137" i="83"/>
  <c r="K139" i="72" s="1"/>
  <c r="K209" i="72" s="1"/>
  <c r="K239" i="72" s="1"/>
  <c r="AJ224" i="83"/>
  <c r="AJ98" i="71" s="1"/>
  <c r="AJ203" i="71" s="1"/>
  <c r="R137" i="83"/>
  <c r="R139" i="72" s="1"/>
  <c r="R209" i="72" s="1"/>
  <c r="R239" i="72" s="1"/>
  <c r="AD137" i="83"/>
  <c r="P224" i="83"/>
  <c r="P98" i="71" s="1"/>
  <c r="P203" i="71" s="1"/>
  <c r="Q195" i="83"/>
  <c r="Q68" i="71" s="1"/>
  <c r="Q173" i="71" s="1"/>
  <c r="J195" i="83"/>
  <c r="J68" i="71" s="1"/>
  <c r="J173" i="71" s="1"/>
  <c r="AA137" i="83"/>
  <c r="AA139" i="72" s="1"/>
  <c r="AA209" i="72" s="1"/>
  <c r="AA239" i="72" s="1"/>
  <c r="AH137" i="83"/>
  <c r="M166" i="83"/>
  <c r="M38" i="71" s="1"/>
  <c r="M143" i="71" s="1"/>
  <c r="AA195" i="83"/>
  <c r="AA68" i="71" s="1"/>
  <c r="AA173" i="71" s="1"/>
  <c r="N195" i="83"/>
  <c r="N68" i="71" s="1"/>
  <c r="N173" i="71" s="1"/>
  <c r="AF137" i="83"/>
  <c r="N224" i="83"/>
  <c r="N98" i="71" s="1"/>
  <c r="N203" i="71" s="1"/>
  <c r="AC195" i="83"/>
  <c r="AC68" i="71" s="1"/>
  <c r="AC173" i="71" s="1"/>
  <c r="AF224" i="83"/>
  <c r="AF98" i="71" s="1"/>
  <c r="AF203" i="71" s="1"/>
  <c r="Z195" i="83"/>
  <c r="Z68" i="71" s="1"/>
  <c r="Z173" i="71" s="1"/>
  <c r="R195" i="83"/>
  <c r="R68" i="71" s="1"/>
  <c r="R173" i="71" s="1"/>
  <c r="AN137" i="83"/>
  <c r="AP195" i="83"/>
  <c r="AP68" i="71" s="1"/>
  <c r="AP173" i="71" s="1"/>
  <c r="AB137" i="83"/>
  <c r="AB139" i="72" s="1"/>
  <c r="AB209" i="72" s="1"/>
  <c r="AB239" i="72" s="1"/>
  <c r="Y195" i="83"/>
  <c r="Y68" i="71" s="1"/>
  <c r="Y173" i="71" s="1"/>
  <c r="AN166" i="83"/>
  <c r="AN38" i="71" s="1"/>
  <c r="AN143" i="71" s="1"/>
  <c r="W137" i="83"/>
  <c r="W139" i="72" s="1"/>
  <c r="W209" i="72" s="1"/>
  <c r="W239" i="72" s="1"/>
  <c r="AM137" i="83"/>
  <c r="Z166" i="83"/>
  <c r="Z38" i="71" s="1"/>
  <c r="Z143" i="71" s="1"/>
  <c r="AG166" i="83"/>
  <c r="AG38" i="71" s="1"/>
  <c r="AG143" i="71" s="1"/>
  <c r="W195" i="83"/>
  <c r="W68" i="71" s="1"/>
  <c r="W173" i="71" s="1"/>
  <c r="Z137" i="83"/>
  <c r="Z139" i="72" s="1"/>
  <c r="Z209" i="72" s="1"/>
  <c r="Z239" i="72" s="1"/>
  <c r="AE166" i="83"/>
  <c r="AE38" i="71" s="1"/>
  <c r="AE143" i="71" s="1"/>
  <c r="V166" i="83"/>
  <c r="V38" i="71" s="1"/>
  <c r="V143" i="71" s="1"/>
  <c r="Q48" i="41"/>
  <c r="Q23" i="65"/>
  <c r="Q81" i="65" s="1"/>
  <c r="Q92" i="65" s="1"/>
  <c r="Q48" i="105" s="1"/>
  <c r="Q85" i="105" s="1"/>
  <c r="Q147" i="41"/>
  <c r="J185" i="73"/>
  <c r="J245" i="73" s="1"/>
  <c r="K155" i="73"/>
  <c r="N185" i="73"/>
  <c r="N245" i="73" s="1"/>
  <c r="K185" i="73"/>
  <c r="K245" i="73" s="1"/>
  <c r="M185" i="73"/>
  <c r="M245" i="73" s="1"/>
  <c r="S155" i="73"/>
  <c r="V185" i="73"/>
  <c r="V245" i="73" s="1"/>
  <c r="L185" i="73"/>
  <c r="L245" i="73" s="1"/>
  <c r="V155" i="73"/>
  <c r="U185" i="73"/>
  <c r="U245" i="73" s="1"/>
  <c r="T185" i="73"/>
  <c r="T245" i="73" s="1"/>
  <c r="U155" i="73"/>
  <c r="O185" i="73"/>
  <c r="O245" i="73" s="1"/>
  <c r="Y185" i="73"/>
  <c r="Y245" i="73" s="1"/>
  <c r="T155" i="73"/>
  <c r="P155" i="73"/>
  <c r="L155" i="73"/>
  <c r="AB155" i="73"/>
  <c r="X185" i="73"/>
  <c r="X245" i="73" s="1"/>
  <c r="P185" i="73"/>
  <c r="P245" i="73" s="1"/>
  <c r="AA185" i="73"/>
  <c r="AA245" i="73" s="1"/>
  <c r="W155" i="73"/>
  <c r="Z185" i="73"/>
  <c r="Z245" i="73" s="1"/>
  <c r="Q155" i="73"/>
  <c r="X155" i="73"/>
  <c r="Y155" i="73"/>
  <c r="AA155" i="73"/>
  <c r="Q185" i="73"/>
  <c r="Q245" i="73" s="1"/>
  <c r="J155" i="73"/>
  <c r="W185" i="73"/>
  <c r="W245" i="73" s="1"/>
  <c r="AB185" i="73"/>
  <c r="AB245" i="73" s="1"/>
  <c r="R155" i="73"/>
  <c r="S185" i="73"/>
  <c r="S245" i="73" s="1"/>
  <c r="N155" i="73"/>
  <c r="R185" i="73"/>
  <c r="R245" i="73" s="1"/>
  <c r="O155" i="73"/>
  <c r="Z155" i="73"/>
  <c r="M155" i="73"/>
  <c r="AE193" i="83"/>
  <c r="AE66" i="71" s="1"/>
  <c r="AE171" i="71" s="1"/>
  <c r="W135" i="83"/>
  <c r="W137" i="72" s="1"/>
  <c r="W207" i="72" s="1"/>
  <c r="W237" i="72" s="1"/>
  <c r="O135" i="83"/>
  <c r="O137" i="72" s="1"/>
  <c r="O207" i="72" s="1"/>
  <c r="O237" i="72" s="1"/>
  <c r="AC193" i="83"/>
  <c r="AC66" i="71" s="1"/>
  <c r="AC171" i="71" s="1"/>
  <c r="AI193" i="83"/>
  <c r="AI66" i="71" s="1"/>
  <c r="AI171" i="71" s="1"/>
  <c r="R135" i="83"/>
  <c r="R137" i="72" s="1"/>
  <c r="R207" i="72" s="1"/>
  <c r="R237" i="72" s="1"/>
  <c r="V164" i="83"/>
  <c r="T135" i="83"/>
  <c r="T137" i="72" s="1"/>
  <c r="T207" i="72" s="1"/>
  <c r="T237" i="72" s="1"/>
  <c r="AI164" i="83"/>
  <c r="O164" i="83"/>
  <c r="AP164" i="83"/>
  <c r="R193" i="83"/>
  <c r="R66" i="71" s="1"/>
  <c r="R171" i="71" s="1"/>
  <c r="AB135" i="83"/>
  <c r="AB137" i="72" s="1"/>
  <c r="AB207" i="72" s="1"/>
  <c r="AB237" i="72" s="1"/>
  <c r="Q135" i="83"/>
  <c r="Q137" i="72" s="1"/>
  <c r="Q207" i="72" s="1"/>
  <c r="Q237" i="72" s="1"/>
  <c r="AK135" i="83"/>
  <c r="AP193" i="83"/>
  <c r="AP66" i="71" s="1"/>
  <c r="AP171" i="71" s="1"/>
  <c r="K222" i="83"/>
  <c r="Q222" i="83"/>
  <c r="Q96" i="71" s="1"/>
  <c r="Q201" i="71" s="1"/>
  <c r="AD193" i="83"/>
  <c r="AD66" i="71" s="1"/>
  <c r="AD171" i="71" s="1"/>
  <c r="K193" i="83"/>
  <c r="P135" i="83"/>
  <c r="P137" i="72" s="1"/>
  <c r="P207" i="72" s="1"/>
  <c r="P237" i="72" s="1"/>
  <c r="AL193" i="83"/>
  <c r="AL66" i="71" s="1"/>
  <c r="AL171" i="71" s="1"/>
  <c r="AL164" i="83"/>
  <c r="V222" i="83"/>
  <c r="V96" i="71" s="1"/>
  <c r="V201" i="71" s="1"/>
  <c r="AB193" i="83"/>
  <c r="AB66" i="71" s="1"/>
  <c r="AB171" i="71" s="1"/>
  <c r="AM193" i="83"/>
  <c r="AM66" i="71" s="1"/>
  <c r="AM171" i="71" s="1"/>
  <c r="AM164" i="83"/>
  <c r="P222" i="83"/>
  <c r="P96" i="71" s="1"/>
  <c r="P201" i="71" s="1"/>
  <c r="AI222" i="83"/>
  <c r="AI96" i="71" s="1"/>
  <c r="AI201" i="71" s="1"/>
  <c r="AF193" i="83"/>
  <c r="AF66" i="71" s="1"/>
  <c r="AF171" i="71" s="1"/>
  <c r="O222" i="83"/>
  <c r="R164" i="83"/>
  <c r="L135" i="83"/>
  <c r="L137" i="72" s="1"/>
  <c r="L207" i="72" s="1"/>
  <c r="L237" i="72" s="1"/>
  <c r="AH222" i="83"/>
  <c r="AH96" i="71" s="1"/>
  <c r="AH201" i="71" s="1"/>
  <c r="AN135" i="83"/>
  <c r="X222" i="83"/>
  <c r="X96" i="71" s="1"/>
  <c r="X201" i="71" s="1"/>
  <c r="AE164" i="83"/>
  <c r="J193" i="83"/>
  <c r="U222" i="83"/>
  <c r="U96" i="71" s="1"/>
  <c r="U201" i="71" s="1"/>
  <c r="AD222" i="83"/>
  <c r="AD96" i="71" s="1"/>
  <c r="AD201" i="71" s="1"/>
  <c r="AG135" i="83"/>
  <c r="Q164" i="83"/>
  <c r="Z164" i="83"/>
  <c r="AM135" i="83"/>
  <c r="Q193" i="83"/>
  <c r="Q66" i="71" s="1"/>
  <c r="Q171" i="71" s="1"/>
  <c r="AP222" i="83"/>
  <c r="AP96" i="71" s="1"/>
  <c r="AP201" i="71" s="1"/>
  <c r="AN164" i="83"/>
  <c r="J135" i="83"/>
  <c r="J137" i="72" s="1"/>
  <c r="J207" i="72" s="1"/>
  <c r="J237" i="72" s="1"/>
  <c r="AF222" i="83"/>
  <c r="AF96" i="71" s="1"/>
  <c r="AF201" i="71" s="1"/>
  <c r="AJ164" i="83"/>
  <c r="V193" i="83"/>
  <c r="V66" i="71" s="1"/>
  <c r="V171" i="71" s="1"/>
  <c r="AB164" i="83"/>
  <c r="Y135" i="83"/>
  <c r="Y137" i="72" s="1"/>
  <c r="Y207" i="72" s="1"/>
  <c r="Y237" i="72" s="1"/>
  <c r="AN193" i="83"/>
  <c r="AN66" i="71" s="1"/>
  <c r="AN171" i="71" s="1"/>
  <c r="R222" i="83"/>
  <c r="R96" i="71" s="1"/>
  <c r="R201" i="71" s="1"/>
  <c r="AL222" i="83"/>
  <c r="AL96" i="71" s="1"/>
  <c r="AL201" i="71" s="1"/>
  <c r="AL135" i="83"/>
  <c r="AO193" i="83"/>
  <c r="AO66" i="71" s="1"/>
  <c r="AO171" i="71" s="1"/>
  <c r="Z222" i="83"/>
  <c r="Z96" i="71" s="1"/>
  <c r="Z201" i="71" s="1"/>
  <c r="P164" i="83"/>
  <c r="AB222" i="83"/>
  <c r="AB96" i="71" s="1"/>
  <c r="AB201" i="71" s="1"/>
  <c r="L193" i="83"/>
  <c r="S164" i="83"/>
  <c r="AF164" i="83"/>
  <c r="V135" i="83"/>
  <c r="V137" i="72" s="1"/>
  <c r="V207" i="72" s="1"/>
  <c r="V237" i="72" s="1"/>
  <c r="O193" i="83"/>
  <c r="W193" i="83"/>
  <c r="W66" i="71" s="1"/>
  <c r="W171" i="71" s="1"/>
  <c r="AH135" i="83"/>
  <c r="AH193" i="83"/>
  <c r="AH66" i="71" s="1"/>
  <c r="AH171" i="71" s="1"/>
  <c r="Z135" i="83"/>
  <c r="Z137" i="72" s="1"/>
  <c r="Z207" i="72" s="1"/>
  <c r="Z237" i="72" s="1"/>
  <c r="AK164" i="83"/>
  <c r="AO135" i="83"/>
  <c r="AA164" i="83"/>
  <c r="AA193" i="83"/>
  <c r="AA66" i="71" s="1"/>
  <c r="AA171" i="71" s="1"/>
  <c r="J222" i="83"/>
  <c r="AN222" i="83"/>
  <c r="AN96" i="71" s="1"/>
  <c r="AN201" i="71" s="1"/>
  <c r="X135" i="83"/>
  <c r="X137" i="72" s="1"/>
  <c r="X207" i="72" s="1"/>
  <c r="X237" i="72" s="1"/>
  <c r="Z193" i="83"/>
  <c r="Z66" i="71" s="1"/>
  <c r="Z171" i="71" s="1"/>
  <c r="S222" i="83"/>
  <c r="AA222" i="83"/>
  <c r="AA96" i="71" s="1"/>
  <c r="AA201" i="71" s="1"/>
  <c r="M135" i="83"/>
  <c r="M137" i="72" s="1"/>
  <c r="M207" i="72" s="1"/>
  <c r="M237" i="72" s="1"/>
  <c r="U164" i="83"/>
  <c r="AD164" i="83"/>
  <c r="U135" i="83"/>
  <c r="U137" i="72" s="1"/>
  <c r="U207" i="72" s="1"/>
  <c r="U237" i="72" s="1"/>
  <c r="X193" i="83"/>
  <c r="X66" i="71" s="1"/>
  <c r="X171" i="71" s="1"/>
  <c r="AH164" i="83"/>
  <c r="AI135" i="83"/>
  <c r="AJ193" i="83"/>
  <c r="AJ66" i="71" s="1"/>
  <c r="AJ171" i="71" s="1"/>
  <c r="AK222" i="83"/>
  <c r="AK96" i="71" s="1"/>
  <c r="AK201" i="71" s="1"/>
  <c r="AO222" i="83"/>
  <c r="AO96" i="71" s="1"/>
  <c r="AO201" i="71" s="1"/>
  <c r="J164" i="83"/>
  <c r="L164" i="83"/>
  <c r="AP135" i="83"/>
  <c r="AG193" i="83"/>
  <c r="AG66" i="71" s="1"/>
  <c r="AG171" i="71" s="1"/>
  <c r="AC135" i="83"/>
  <c r="Y164" i="83"/>
  <c r="T222" i="83"/>
  <c r="AD135" i="83"/>
  <c r="X164" i="83"/>
  <c r="AC222" i="83"/>
  <c r="AC96" i="71" s="1"/>
  <c r="AC201" i="71" s="1"/>
  <c r="AK193" i="83"/>
  <c r="AK66" i="71" s="1"/>
  <c r="AK171" i="71" s="1"/>
  <c r="S193" i="83"/>
  <c r="AO164" i="83"/>
  <c r="K164" i="83"/>
  <c r="Y222" i="83"/>
  <c r="Y96" i="71" s="1"/>
  <c r="Y201" i="71" s="1"/>
  <c r="N135" i="83"/>
  <c r="N137" i="72" s="1"/>
  <c r="N207" i="72" s="1"/>
  <c r="N237" i="72" s="1"/>
  <c r="AG222" i="83"/>
  <c r="AG96" i="71" s="1"/>
  <c r="AG201" i="71" s="1"/>
  <c r="AC164" i="83"/>
  <c r="AM222" i="83"/>
  <c r="AM96" i="71" s="1"/>
  <c r="AM201" i="71" s="1"/>
  <c r="AG164" i="83"/>
  <c r="AF135" i="83"/>
  <c r="S135" i="83"/>
  <c r="S137" i="72" s="1"/>
  <c r="S207" i="72" s="1"/>
  <c r="S237" i="72" s="1"/>
  <c r="P193" i="83"/>
  <c r="P66" i="71" s="1"/>
  <c r="P171" i="71" s="1"/>
  <c r="N222" i="83"/>
  <c r="W164" i="83"/>
  <c r="T193" i="83"/>
  <c r="AA135" i="83"/>
  <c r="AA137" i="72" s="1"/>
  <c r="AA207" i="72" s="1"/>
  <c r="AA237" i="72" s="1"/>
  <c r="U193" i="83"/>
  <c r="U66" i="71" s="1"/>
  <c r="U171" i="71" s="1"/>
  <c r="AJ135" i="83"/>
  <c r="T164" i="83"/>
  <c r="N193" i="83"/>
  <c r="Y193" i="83"/>
  <c r="Y66" i="71" s="1"/>
  <c r="Y171" i="71" s="1"/>
  <c r="L222" i="83"/>
  <c r="M164" i="83"/>
  <c r="M222" i="83"/>
  <c r="AE222" i="83"/>
  <c r="AE96" i="71" s="1"/>
  <c r="AE201" i="71" s="1"/>
  <c r="M193" i="83"/>
  <c r="W222" i="83"/>
  <c r="W96" i="71" s="1"/>
  <c r="W201" i="71" s="1"/>
  <c r="AJ222" i="83"/>
  <c r="AJ96" i="71" s="1"/>
  <c r="AJ201" i="71" s="1"/>
  <c r="AE135" i="83"/>
  <c r="K135" i="83"/>
  <c r="K137" i="72" s="1"/>
  <c r="K207" i="72" s="1"/>
  <c r="K237" i="72" s="1"/>
  <c r="N164" i="83"/>
  <c r="AJ173" i="72"/>
  <c r="AJ208" i="72" s="1"/>
  <c r="AJ238" i="72" s="1"/>
  <c r="AK173" i="72"/>
  <c r="AK208" i="72" s="1"/>
  <c r="AK238" i="72" s="1"/>
  <c r="AH173" i="72"/>
  <c r="AH208" i="72" s="1"/>
  <c r="AH238" i="72" s="1"/>
  <c r="AE173" i="72"/>
  <c r="AE208" i="72" s="1"/>
  <c r="AE238" i="72" s="1"/>
  <c r="AC173" i="72"/>
  <c r="AC208" i="72" s="1"/>
  <c r="AC238" i="72" s="1"/>
  <c r="AM173" i="72"/>
  <c r="AM208" i="72" s="1"/>
  <c r="AM238" i="72" s="1"/>
  <c r="AL173" i="72"/>
  <c r="AL208" i="72" s="1"/>
  <c r="AL238" i="72" s="1"/>
  <c r="AP173" i="72"/>
  <c r="AP208" i="72" s="1"/>
  <c r="AP238" i="72" s="1"/>
  <c r="AO173" i="72"/>
  <c r="AO208" i="72" s="1"/>
  <c r="AO238" i="72" s="1"/>
  <c r="AG173" i="72"/>
  <c r="AG208" i="72" s="1"/>
  <c r="AG238" i="72" s="1"/>
  <c r="AI173" i="72"/>
  <c r="AI208" i="72" s="1"/>
  <c r="AI238" i="72" s="1"/>
  <c r="AD173" i="72"/>
  <c r="AD208" i="72" s="1"/>
  <c r="AD238" i="72" s="1"/>
  <c r="AF173" i="72"/>
  <c r="AF208" i="72" s="1"/>
  <c r="AF238" i="72" s="1"/>
  <c r="AN173" i="72"/>
  <c r="AN208" i="72" s="1"/>
  <c r="AN238" i="72" s="1"/>
  <c r="R171" i="83"/>
  <c r="R43" i="71" s="1"/>
  <c r="R148" i="71" s="1"/>
  <c r="AL142" i="83"/>
  <c r="S142" i="83"/>
  <c r="S144" i="72" s="1"/>
  <c r="S214" i="72" s="1"/>
  <c r="S244" i="72" s="1"/>
  <c r="AP171" i="83"/>
  <c r="AP43" i="71" s="1"/>
  <c r="AP148" i="71" s="1"/>
  <c r="L171" i="83"/>
  <c r="L43" i="71" s="1"/>
  <c r="L148" i="71" s="1"/>
  <c r="Z229" i="83"/>
  <c r="Z103" i="71" s="1"/>
  <c r="Z208" i="71" s="1"/>
  <c r="AN200" i="83"/>
  <c r="AN73" i="71" s="1"/>
  <c r="AN178" i="71" s="1"/>
  <c r="W171" i="83"/>
  <c r="W43" i="71" s="1"/>
  <c r="W148" i="71" s="1"/>
  <c r="AI229" i="83"/>
  <c r="AI103" i="71" s="1"/>
  <c r="AI208" i="71" s="1"/>
  <c r="O200" i="83"/>
  <c r="O73" i="71" s="1"/>
  <c r="O178" i="71" s="1"/>
  <c r="X200" i="83"/>
  <c r="X73" i="71" s="1"/>
  <c r="X178" i="71" s="1"/>
  <c r="AD171" i="83"/>
  <c r="AD43" i="71" s="1"/>
  <c r="AD148" i="71" s="1"/>
  <c r="S229" i="83"/>
  <c r="S103" i="71" s="1"/>
  <c r="S208" i="71" s="1"/>
  <c r="L200" i="83"/>
  <c r="L73" i="71" s="1"/>
  <c r="L178" i="71" s="1"/>
  <c r="AG200" i="83"/>
  <c r="AG73" i="71" s="1"/>
  <c r="AG178" i="71" s="1"/>
  <c r="AC171" i="83"/>
  <c r="AC43" i="71" s="1"/>
  <c r="AC148" i="71" s="1"/>
  <c r="AI142" i="83"/>
  <c r="AF200" i="83"/>
  <c r="AF73" i="71" s="1"/>
  <c r="AF178" i="71" s="1"/>
  <c r="O171" i="83"/>
  <c r="O43" i="71" s="1"/>
  <c r="O148" i="71" s="1"/>
  <c r="AH200" i="83"/>
  <c r="AH73" i="71" s="1"/>
  <c r="AH178" i="71" s="1"/>
  <c r="P200" i="83"/>
  <c r="P73" i="71" s="1"/>
  <c r="P178" i="71" s="1"/>
  <c r="AF229" i="83"/>
  <c r="AF103" i="71" s="1"/>
  <c r="AF208" i="71" s="1"/>
  <c r="AH171" i="83"/>
  <c r="AH43" i="71" s="1"/>
  <c r="AH148" i="71" s="1"/>
  <c r="AE200" i="83"/>
  <c r="AE73" i="71" s="1"/>
  <c r="AE178" i="71" s="1"/>
  <c r="L142" i="83"/>
  <c r="L144" i="72" s="1"/>
  <c r="L214" i="72" s="1"/>
  <c r="L244" i="72" s="1"/>
  <c r="AL171" i="83"/>
  <c r="AL43" i="71" s="1"/>
  <c r="AL148" i="71" s="1"/>
  <c r="Q142" i="83"/>
  <c r="Q144" i="72" s="1"/>
  <c r="Q214" i="72" s="1"/>
  <c r="Q244" i="72" s="1"/>
  <c r="AE142" i="83"/>
  <c r="X171" i="83"/>
  <c r="X43" i="71" s="1"/>
  <c r="X148" i="71" s="1"/>
  <c r="R142" i="83"/>
  <c r="R144" i="72" s="1"/>
  <c r="R214" i="72" s="1"/>
  <c r="R244" i="72" s="1"/>
  <c r="V229" i="83"/>
  <c r="V103" i="71" s="1"/>
  <c r="V208" i="71" s="1"/>
  <c r="M171" i="83"/>
  <c r="M43" i="71" s="1"/>
  <c r="M148" i="71" s="1"/>
  <c r="W200" i="83"/>
  <c r="W73" i="71" s="1"/>
  <c r="W178" i="71" s="1"/>
  <c r="AP229" i="83"/>
  <c r="AP103" i="71" s="1"/>
  <c r="AP208" i="71" s="1"/>
  <c r="AO171" i="83"/>
  <c r="AO43" i="71" s="1"/>
  <c r="AO148" i="71" s="1"/>
  <c r="V171" i="83"/>
  <c r="V43" i="71" s="1"/>
  <c r="V148" i="71" s="1"/>
  <c r="AD200" i="83"/>
  <c r="AD73" i="71" s="1"/>
  <c r="AD178" i="71" s="1"/>
  <c r="AD142" i="83"/>
  <c r="L229" i="83"/>
  <c r="L103" i="71" s="1"/>
  <c r="L208" i="71" s="1"/>
  <c r="AA142" i="83"/>
  <c r="AA144" i="72" s="1"/>
  <c r="AA214" i="72" s="1"/>
  <c r="AA244" i="72" s="1"/>
  <c r="K200" i="83"/>
  <c r="K73" i="71" s="1"/>
  <c r="K178" i="71" s="1"/>
  <c r="K229" i="83"/>
  <c r="K103" i="71" s="1"/>
  <c r="K208" i="71" s="1"/>
  <c r="AN229" i="83"/>
  <c r="AN103" i="71" s="1"/>
  <c r="AN208" i="71" s="1"/>
  <c r="J229" i="83"/>
  <c r="J103" i="71" s="1"/>
  <c r="J208" i="71" s="1"/>
  <c r="AC229" i="83"/>
  <c r="AC103" i="71" s="1"/>
  <c r="AC208" i="71" s="1"/>
  <c r="O229" i="83"/>
  <c r="O103" i="71" s="1"/>
  <c r="O208" i="71" s="1"/>
  <c r="S171" i="83"/>
  <c r="S43" i="71" s="1"/>
  <c r="S148" i="71" s="1"/>
  <c r="M142" i="83"/>
  <c r="M144" i="72" s="1"/>
  <c r="M214" i="72" s="1"/>
  <c r="M244" i="72" s="1"/>
  <c r="AO200" i="83"/>
  <c r="AO73" i="71" s="1"/>
  <c r="AO178" i="71" s="1"/>
  <c r="AC200" i="83"/>
  <c r="AC73" i="71" s="1"/>
  <c r="AC178" i="71" s="1"/>
  <c r="J142" i="83"/>
  <c r="J144" i="72" s="1"/>
  <c r="J214" i="72" s="1"/>
  <c r="J244" i="72" s="1"/>
  <c r="AD229" i="83"/>
  <c r="AD103" i="71" s="1"/>
  <c r="AD208" i="71" s="1"/>
  <c r="U229" i="83"/>
  <c r="U103" i="71" s="1"/>
  <c r="U208" i="71" s="1"/>
  <c r="S200" i="83"/>
  <c r="S73" i="71" s="1"/>
  <c r="S178" i="71" s="1"/>
  <c r="AK142" i="83"/>
  <c r="AK229" i="83"/>
  <c r="AK103" i="71" s="1"/>
  <c r="AK208" i="71" s="1"/>
  <c r="AA229" i="83"/>
  <c r="AA103" i="71" s="1"/>
  <c r="AA208" i="71" s="1"/>
  <c r="AE229" i="83"/>
  <c r="AE103" i="71" s="1"/>
  <c r="AE208" i="71" s="1"/>
  <c r="Z142" i="83"/>
  <c r="Z144" i="72" s="1"/>
  <c r="Z214" i="72" s="1"/>
  <c r="Z244" i="72" s="1"/>
  <c r="AA200" i="83"/>
  <c r="AA73" i="71" s="1"/>
  <c r="AA178" i="71" s="1"/>
  <c r="AE171" i="83"/>
  <c r="AE43" i="71" s="1"/>
  <c r="AE148" i="71" s="1"/>
  <c r="AN171" i="83"/>
  <c r="AN43" i="71" s="1"/>
  <c r="AN148" i="71" s="1"/>
  <c r="V200" i="83"/>
  <c r="V73" i="71" s="1"/>
  <c r="V178" i="71" s="1"/>
  <c r="AF171" i="83"/>
  <c r="AF43" i="71" s="1"/>
  <c r="AF148" i="71" s="1"/>
  <c r="N200" i="83"/>
  <c r="N73" i="71" s="1"/>
  <c r="N178" i="71" s="1"/>
  <c r="AC142" i="83"/>
  <c r="W229" i="83"/>
  <c r="W103" i="71" s="1"/>
  <c r="W208" i="71" s="1"/>
  <c r="Y142" i="83"/>
  <c r="Y144" i="72" s="1"/>
  <c r="Y214" i="72" s="1"/>
  <c r="Y244" i="72" s="1"/>
  <c r="AG142" i="83"/>
  <c r="V142" i="83"/>
  <c r="V144" i="72" s="1"/>
  <c r="V214" i="72" s="1"/>
  <c r="V244" i="72" s="1"/>
  <c r="O142" i="83"/>
  <c r="O144" i="72" s="1"/>
  <c r="O214" i="72" s="1"/>
  <c r="O244" i="72" s="1"/>
  <c r="AN142" i="83"/>
  <c r="AJ142" i="83"/>
  <c r="AH229" i="83"/>
  <c r="AH103" i="71" s="1"/>
  <c r="AH208" i="71" s="1"/>
  <c r="P229" i="83"/>
  <c r="P103" i="71" s="1"/>
  <c r="P208" i="71" s="1"/>
  <c r="AO142" i="83"/>
  <c r="AJ229" i="83"/>
  <c r="AJ103" i="71" s="1"/>
  <c r="AJ208" i="71" s="1"/>
  <c r="P171" i="83"/>
  <c r="P43" i="71" s="1"/>
  <c r="P148" i="71" s="1"/>
  <c r="X229" i="83"/>
  <c r="X103" i="71" s="1"/>
  <c r="X208" i="71" s="1"/>
  <c r="Q171" i="83"/>
  <c r="Q43" i="71" s="1"/>
  <c r="Q148" i="71" s="1"/>
  <c r="Q229" i="83"/>
  <c r="Q103" i="71" s="1"/>
  <c r="Q208" i="71" s="1"/>
  <c r="AF142" i="83"/>
  <c r="K142" i="83"/>
  <c r="K144" i="72" s="1"/>
  <c r="K214" i="72" s="1"/>
  <c r="K244" i="72" s="1"/>
  <c r="AB171" i="83"/>
  <c r="AB43" i="71" s="1"/>
  <c r="AB148" i="71" s="1"/>
  <c r="X142" i="83"/>
  <c r="X144" i="72" s="1"/>
  <c r="X214" i="72" s="1"/>
  <c r="X244" i="72" s="1"/>
  <c r="AP200" i="83"/>
  <c r="AP73" i="71" s="1"/>
  <c r="AP178" i="71" s="1"/>
  <c r="AO229" i="83"/>
  <c r="AO103" i="71" s="1"/>
  <c r="AO208" i="71" s="1"/>
  <c r="U200" i="83"/>
  <c r="U73" i="71" s="1"/>
  <c r="U178" i="71" s="1"/>
  <c r="J200" i="83"/>
  <c r="J73" i="71" s="1"/>
  <c r="J178" i="71" s="1"/>
  <c r="AM200" i="83"/>
  <c r="AM73" i="71" s="1"/>
  <c r="AM178" i="71" s="1"/>
  <c r="W142" i="83"/>
  <c r="W144" i="72" s="1"/>
  <c r="W214" i="72" s="1"/>
  <c r="W244" i="72" s="1"/>
  <c r="T142" i="83"/>
  <c r="T144" i="72" s="1"/>
  <c r="T214" i="72" s="1"/>
  <c r="T244" i="72" s="1"/>
  <c r="AI171" i="83"/>
  <c r="AI43" i="71" s="1"/>
  <c r="AI148" i="71" s="1"/>
  <c r="AH142" i="83"/>
  <c r="AM229" i="83"/>
  <c r="AM103" i="71" s="1"/>
  <c r="AM208" i="71" s="1"/>
  <c r="J171" i="83"/>
  <c r="J43" i="71" s="1"/>
  <c r="J148" i="71" s="1"/>
  <c r="M229" i="83"/>
  <c r="M103" i="71" s="1"/>
  <c r="M208" i="71" s="1"/>
  <c r="AP142" i="83"/>
  <c r="R229" i="83"/>
  <c r="R103" i="71" s="1"/>
  <c r="R208" i="71" s="1"/>
  <c r="Q200" i="83"/>
  <c r="Q73" i="71" s="1"/>
  <c r="Q178" i="71" s="1"/>
  <c r="N142" i="83"/>
  <c r="N144" i="72" s="1"/>
  <c r="N214" i="72" s="1"/>
  <c r="N244" i="72" s="1"/>
  <c r="AG171" i="83"/>
  <c r="AG43" i="71" s="1"/>
  <c r="AG148" i="71" s="1"/>
  <c r="AM171" i="83"/>
  <c r="AM43" i="71" s="1"/>
  <c r="AM148" i="71" s="1"/>
  <c r="U142" i="83"/>
  <c r="U144" i="72" s="1"/>
  <c r="U214" i="72" s="1"/>
  <c r="U244" i="72" s="1"/>
  <c r="AL229" i="83"/>
  <c r="AL103" i="71" s="1"/>
  <c r="AL208" i="71" s="1"/>
  <c r="AG229" i="83"/>
  <c r="AG103" i="71" s="1"/>
  <c r="AG208" i="71" s="1"/>
  <c r="U171" i="83"/>
  <c r="U43" i="71" s="1"/>
  <c r="U148" i="71" s="1"/>
  <c r="P142" i="83"/>
  <c r="P144" i="72" s="1"/>
  <c r="P214" i="72" s="1"/>
  <c r="P244" i="72" s="1"/>
  <c r="AJ171" i="83"/>
  <c r="AJ43" i="71" s="1"/>
  <c r="AJ148" i="71" s="1"/>
  <c r="Z200" i="83"/>
  <c r="Z73" i="71" s="1"/>
  <c r="Z178" i="71" s="1"/>
  <c r="AK171" i="83"/>
  <c r="AK43" i="71" s="1"/>
  <c r="AK148" i="71" s="1"/>
  <c r="AK200" i="83"/>
  <c r="AK73" i="71" s="1"/>
  <c r="AK178" i="71" s="1"/>
  <c r="AL200" i="83"/>
  <c r="AL73" i="71" s="1"/>
  <c r="AL178" i="71" s="1"/>
  <c r="N229" i="83"/>
  <c r="N103" i="71" s="1"/>
  <c r="N208" i="71" s="1"/>
  <c r="N171" i="83"/>
  <c r="N43" i="71" s="1"/>
  <c r="N148" i="71" s="1"/>
  <c r="Z171" i="83"/>
  <c r="Z43" i="71" s="1"/>
  <c r="Z148" i="71" s="1"/>
  <c r="Y200" i="83"/>
  <c r="Y73" i="71" s="1"/>
  <c r="Y178" i="71" s="1"/>
  <c r="T229" i="83"/>
  <c r="T103" i="71" s="1"/>
  <c r="T208" i="71" s="1"/>
  <c r="Y229" i="83"/>
  <c r="Y103" i="71" s="1"/>
  <c r="Y208" i="71" s="1"/>
  <c r="T171" i="83"/>
  <c r="T43" i="71" s="1"/>
  <c r="T148" i="71" s="1"/>
  <c r="AB142" i="83"/>
  <c r="AB144" i="72" s="1"/>
  <c r="AB214" i="72" s="1"/>
  <c r="AB244" i="72" s="1"/>
  <c r="AB229" i="83"/>
  <c r="AB103" i="71" s="1"/>
  <c r="AB208" i="71" s="1"/>
  <c r="T200" i="83"/>
  <c r="T73" i="71" s="1"/>
  <c r="T178" i="71" s="1"/>
  <c r="AB200" i="83"/>
  <c r="AB73" i="71" s="1"/>
  <c r="AB178" i="71" s="1"/>
  <c r="AJ200" i="83"/>
  <c r="AJ73" i="71" s="1"/>
  <c r="AJ178" i="71" s="1"/>
  <c r="AI200" i="83"/>
  <c r="AI73" i="71" s="1"/>
  <c r="AI178" i="71" s="1"/>
  <c r="M200" i="83"/>
  <c r="M73" i="71" s="1"/>
  <c r="M178" i="71" s="1"/>
  <c r="Y171" i="83"/>
  <c r="Y43" i="71" s="1"/>
  <c r="Y148" i="71" s="1"/>
  <c r="K171" i="83"/>
  <c r="K43" i="71" s="1"/>
  <c r="K148" i="71" s="1"/>
  <c r="R200" i="83"/>
  <c r="R73" i="71" s="1"/>
  <c r="R178" i="71" s="1"/>
  <c r="AA171" i="83"/>
  <c r="AA43" i="71" s="1"/>
  <c r="AA148" i="71" s="1"/>
  <c r="AM142" i="83"/>
  <c r="AD227" i="83"/>
  <c r="AD101" i="71" s="1"/>
  <c r="AD206" i="71" s="1"/>
  <c r="AK198" i="83"/>
  <c r="AK71" i="71" s="1"/>
  <c r="AK176" i="71" s="1"/>
  <c r="O140" i="83"/>
  <c r="O142" i="72" s="1"/>
  <c r="O212" i="72" s="1"/>
  <c r="O242" i="72" s="1"/>
  <c r="N140" i="83"/>
  <c r="N142" i="72" s="1"/>
  <c r="N212" i="72" s="1"/>
  <c r="N242" i="72" s="1"/>
  <c r="AG198" i="83"/>
  <c r="AG71" i="71" s="1"/>
  <c r="AG176" i="71" s="1"/>
  <c r="R169" i="83"/>
  <c r="R41" i="71" s="1"/>
  <c r="R146" i="71" s="1"/>
  <c r="AM227" i="83"/>
  <c r="AM101" i="71" s="1"/>
  <c r="AM206" i="71" s="1"/>
  <c r="AI198" i="83"/>
  <c r="AI71" i="71" s="1"/>
  <c r="AI176" i="71" s="1"/>
  <c r="N169" i="83"/>
  <c r="N41" i="71" s="1"/>
  <c r="N146" i="71" s="1"/>
  <c r="AG169" i="83"/>
  <c r="AG41" i="71" s="1"/>
  <c r="AG146" i="71" s="1"/>
  <c r="AE227" i="83"/>
  <c r="AE101" i="71" s="1"/>
  <c r="AE206" i="71" s="1"/>
  <c r="AF140" i="83"/>
  <c r="S169" i="83"/>
  <c r="S41" i="71" s="1"/>
  <c r="S146" i="71" s="1"/>
  <c r="AL140" i="83"/>
  <c r="X169" i="83"/>
  <c r="X41" i="71" s="1"/>
  <c r="X146" i="71" s="1"/>
  <c r="J140" i="83"/>
  <c r="J142" i="72" s="1"/>
  <c r="J212" i="72" s="1"/>
  <c r="J242" i="72" s="1"/>
  <c r="AA140" i="83"/>
  <c r="AA142" i="72" s="1"/>
  <c r="AA212" i="72" s="1"/>
  <c r="AA242" i="72" s="1"/>
  <c r="P169" i="83"/>
  <c r="P41" i="71" s="1"/>
  <c r="P146" i="71" s="1"/>
  <c r="P198" i="83"/>
  <c r="P71" i="71" s="1"/>
  <c r="P176" i="71" s="1"/>
  <c r="AM169" i="83"/>
  <c r="AM41" i="71" s="1"/>
  <c r="AM146" i="71" s="1"/>
  <c r="W227" i="83"/>
  <c r="W101" i="71" s="1"/>
  <c r="W206" i="71" s="1"/>
  <c r="W140" i="83"/>
  <c r="W142" i="72" s="1"/>
  <c r="W212" i="72" s="1"/>
  <c r="W242" i="72" s="1"/>
  <c r="Y227" i="83"/>
  <c r="Y101" i="71" s="1"/>
  <c r="Y206" i="71" s="1"/>
  <c r="Z227" i="83"/>
  <c r="Z101" i="71" s="1"/>
  <c r="Z206" i="71" s="1"/>
  <c r="W169" i="83"/>
  <c r="W41" i="71" s="1"/>
  <c r="W146" i="71" s="1"/>
  <c r="AB227" i="83"/>
  <c r="AB101" i="71" s="1"/>
  <c r="AB206" i="71" s="1"/>
  <c r="M227" i="83"/>
  <c r="M101" i="71" s="1"/>
  <c r="M206" i="71" s="1"/>
  <c r="AL227" i="83"/>
  <c r="AL101" i="71" s="1"/>
  <c r="AL206" i="71" s="1"/>
  <c r="N227" i="83"/>
  <c r="N101" i="71" s="1"/>
  <c r="N206" i="71" s="1"/>
  <c r="U198" i="83"/>
  <c r="U71" i="71" s="1"/>
  <c r="U176" i="71" s="1"/>
  <c r="Q198" i="83"/>
  <c r="Q71" i="71" s="1"/>
  <c r="Q176" i="71" s="1"/>
  <c r="O169" i="83"/>
  <c r="O41" i="71" s="1"/>
  <c r="O146" i="71" s="1"/>
  <c r="AJ169" i="83"/>
  <c r="AJ41" i="71" s="1"/>
  <c r="AJ146" i="71" s="1"/>
  <c r="V198" i="83"/>
  <c r="V71" i="71" s="1"/>
  <c r="V176" i="71" s="1"/>
  <c r="AK169" i="83"/>
  <c r="AK41" i="71" s="1"/>
  <c r="AK146" i="71" s="1"/>
  <c r="X198" i="83"/>
  <c r="X71" i="71" s="1"/>
  <c r="X176" i="71" s="1"/>
  <c r="AD169" i="83"/>
  <c r="AD41" i="71" s="1"/>
  <c r="AD146" i="71" s="1"/>
  <c r="Q140" i="83"/>
  <c r="Q142" i="72" s="1"/>
  <c r="Q212" i="72" s="1"/>
  <c r="Q242" i="72" s="1"/>
  <c r="U169" i="83"/>
  <c r="U41" i="71" s="1"/>
  <c r="U146" i="71" s="1"/>
  <c r="T198" i="83"/>
  <c r="T71" i="71" s="1"/>
  <c r="T176" i="71" s="1"/>
  <c r="AA227" i="83"/>
  <c r="AA101" i="71" s="1"/>
  <c r="AA206" i="71" s="1"/>
  <c r="AN198" i="83"/>
  <c r="AN71" i="71" s="1"/>
  <c r="AN176" i="71" s="1"/>
  <c r="AH169" i="83"/>
  <c r="AH41" i="71" s="1"/>
  <c r="AH146" i="71" s="1"/>
  <c r="K198" i="83"/>
  <c r="K71" i="71" s="1"/>
  <c r="K176" i="71" s="1"/>
  <c r="AB140" i="83"/>
  <c r="AB142" i="72" s="1"/>
  <c r="AB212" i="72" s="1"/>
  <c r="AB242" i="72" s="1"/>
  <c r="V169" i="83"/>
  <c r="V41" i="71" s="1"/>
  <c r="V146" i="71" s="1"/>
  <c r="W198" i="83"/>
  <c r="W71" i="71" s="1"/>
  <c r="W176" i="71" s="1"/>
  <c r="P227" i="83"/>
  <c r="P101" i="71" s="1"/>
  <c r="P206" i="71" s="1"/>
  <c r="M140" i="83"/>
  <c r="M142" i="72" s="1"/>
  <c r="M212" i="72" s="1"/>
  <c r="M242" i="72" s="1"/>
  <c r="K227" i="83"/>
  <c r="K101" i="71" s="1"/>
  <c r="K206" i="71" s="1"/>
  <c r="AI227" i="83"/>
  <c r="AI101" i="71" s="1"/>
  <c r="AI206" i="71" s="1"/>
  <c r="AE198" i="83"/>
  <c r="AE71" i="71" s="1"/>
  <c r="AE176" i="71" s="1"/>
  <c r="AN169" i="83"/>
  <c r="AN41" i="71" s="1"/>
  <c r="AN146" i="71" s="1"/>
  <c r="AF198" i="83"/>
  <c r="AF71" i="71" s="1"/>
  <c r="AF176" i="71" s="1"/>
  <c r="AE140" i="83"/>
  <c r="AG140" i="83"/>
  <c r="V140" i="83"/>
  <c r="V142" i="72" s="1"/>
  <c r="V212" i="72" s="1"/>
  <c r="V242" i="72" s="1"/>
  <c r="J227" i="83"/>
  <c r="J101" i="71" s="1"/>
  <c r="J206" i="71" s="1"/>
  <c r="AP169" i="83"/>
  <c r="AP41" i="71" s="1"/>
  <c r="AP146" i="71" s="1"/>
  <c r="Y169" i="83"/>
  <c r="Y41" i="71" s="1"/>
  <c r="Y146" i="71" s="1"/>
  <c r="Q169" i="83"/>
  <c r="Q41" i="71" s="1"/>
  <c r="Q146" i="71" s="1"/>
  <c r="AJ198" i="83"/>
  <c r="AJ71" i="71" s="1"/>
  <c r="AJ176" i="71" s="1"/>
  <c r="L227" i="83"/>
  <c r="L101" i="71" s="1"/>
  <c r="L206" i="71" s="1"/>
  <c r="AO227" i="83"/>
  <c r="AO101" i="71" s="1"/>
  <c r="AO206" i="71" s="1"/>
  <c r="R140" i="83"/>
  <c r="R142" i="72" s="1"/>
  <c r="R212" i="72" s="1"/>
  <c r="R242" i="72" s="1"/>
  <c r="O227" i="83"/>
  <c r="O101" i="71" s="1"/>
  <c r="O206" i="71" s="1"/>
  <c r="S227" i="83"/>
  <c r="S101" i="71" s="1"/>
  <c r="S206" i="71" s="1"/>
  <c r="AC198" i="83"/>
  <c r="AC71" i="71" s="1"/>
  <c r="AC176" i="71" s="1"/>
  <c r="U140" i="83"/>
  <c r="U142" i="72" s="1"/>
  <c r="U212" i="72" s="1"/>
  <c r="U242" i="72" s="1"/>
  <c r="AP227" i="83"/>
  <c r="AP101" i="71" s="1"/>
  <c r="AP206" i="71" s="1"/>
  <c r="Z169" i="83"/>
  <c r="Z41" i="71" s="1"/>
  <c r="Z146" i="71" s="1"/>
  <c r="AA169" i="83"/>
  <c r="AA41" i="71" s="1"/>
  <c r="AA146" i="71" s="1"/>
  <c r="R227" i="83"/>
  <c r="R101" i="71" s="1"/>
  <c r="R206" i="71" s="1"/>
  <c r="Y140" i="83"/>
  <c r="Y142" i="72" s="1"/>
  <c r="Y212" i="72" s="1"/>
  <c r="Y242" i="72" s="1"/>
  <c r="AO140" i="83"/>
  <c r="J169" i="83"/>
  <c r="J41" i="71" s="1"/>
  <c r="J146" i="71" s="1"/>
  <c r="AK140" i="83"/>
  <c r="Z140" i="83"/>
  <c r="Z142" i="72" s="1"/>
  <c r="Z212" i="72" s="1"/>
  <c r="Z242" i="72" s="1"/>
  <c r="K169" i="83"/>
  <c r="K41" i="71" s="1"/>
  <c r="K146" i="71" s="1"/>
  <c r="T169" i="83"/>
  <c r="T41" i="71" s="1"/>
  <c r="T146" i="71" s="1"/>
  <c r="P140" i="83"/>
  <c r="P142" i="72" s="1"/>
  <c r="P212" i="72" s="1"/>
  <c r="P242" i="72" s="1"/>
  <c r="AF227" i="83"/>
  <c r="AF101" i="71" s="1"/>
  <c r="AF206" i="71" s="1"/>
  <c r="V227" i="83"/>
  <c r="V101" i="71" s="1"/>
  <c r="V206" i="71" s="1"/>
  <c r="AM198" i="83"/>
  <c r="AM71" i="71" s="1"/>
  <c r="AM176" i="71" s="1"/>
  <c r="AL198" i="83"/>
  <c r="AL71" i="71" s="1"/>
  <c r="AL176" i="71" s="1"/>
  <c r="U227" i="83"/>
  <c r="U101" i="71" s="1"/>
  <c r="U206" i="71" s="1"/>
  <c r="Z198" i="83"/>
  <c r="Z71" i="71" s="1"/>
  <c r="Z176" i="71" s="1"/>
  <c r="AE169" i="83"/>
  <c r="AE41" i="71" s="1"/>
  <c r="AE146" i="71" s="1"/>
  <c r="X140" i="83"/>
  <c r="X142" i="72" s="1"/>
  <c r="X212" i="72" s="1"/>
  <c r="X242" i="72" s="1"/>
  <c r="AO198" i="83"/>
  <c r="AO71" i="71" s="1"/>
  <c r="AO176" i="71" s="1"/>
  <c r="AA198" i="83"/>
  <c r="AA71" i="71" s="1"/>
  <c r="AA176" i="71" s="1"/>
  <c r="AK227" i="83"/>
  <c r="AK101" i="71" s="1"/>
  <c r="AK206" i="71" s="1"/>
  <c r="L140" i="83"/>
  <c r="L142" i="72" s="1"/>
  <c r="L212" i="72" s="1"/>
  <c r="L242" i="72" s="1"/>
  <c r="M198" i="83"/>
  <c r="M71" i="71" s="1"/>
  <c r="M176" i="71" s="1"/>
  <c r="K140" i="83"/>
  <c r="K142" i="72" s="1"/>
  <c r="K212" i="72" s="1"/>
  <c r="K242" i="72" s="1"/>
  <c r="AJ227" i="83"/>
  <c r="AJ101" i="71" s="1"/>
  <c r="AJ206" i="71" s="1"/>
  <c r="AH140" i="83"/>
  <c r="AN227" i="83"/>
  <c r="AN101" i="71" s="1"/>
  <c r="AN206" i="71" s="1"/>
  <c r="J198" i="83"/>
  <c r="J71" i="71" s="1"/>
  <c r="J176" i="71" s="1"/>
  <c r="AJ140" i="83"/>
  <c r="AF169" i="83"/>
  <c r="AF41" i="71" s="1"/>
  <c r="AF146" i="71" s="1"/>
  <c r="AN140" i="83"/>
  <c r="T140" i="83"/>
  <c r="T142" i="72" s="1"/>
  <c r="T212" i="72" s="1"/>
  <c r="T242" i="72" s="1"/>
  <c r="AP198" i="83"/>
  <c r="AP71" i="71" s="1"/>
  <c r="AP176" i="71" s="1"/>
  <c r="X227" i="83"/>
  <c r="X101" i="71" s="1"/>
  <c r="X206" i="71" s="1"/>
  <c r="AD198" i="83"/>
  <c r="AD71" i="71" s="1"/>
  <c r="AD176" i="71" s="1"/>
  <c r="AC227" i="83"/>
  <c r="AC101" i="71" s="1"/>
  <c r="AC206" i="71" s="1"/>
  <c r="O198" i="83"/>
  <c r="O71" i="71" s="1"/>
  <c r="O176" i="71" s="1"/>
  <c r="AD140" i="83"/>
  <c r="S198" i="83"/>
  <c r="S71" i="71" s="1"/>
  <c r="S176" i="71" s="1"/>
  <c r="AB198" i="83"/>
  <c r="AB71" i="71" s="1"/>
  <c r="AB176" i="71" s="1"/>
  <c r="AP140" i="83"/>
  <c r="L169" i="83"/>
  <c r="L41" i="71" s="1"/>
  <c r="L146" i="71" s="1"/>
  <c r="AC140" i="83"/>
  <c r="AH198" i="83"/>
  <c r="AH71" i="71" s="1"/>
  <c r="AH176" i="71" s="1"/>
  <c r="AH227" i="83"/>
  <c r="AH101" i="71" s="1"/>
  <c r="AH206" i="71" s="1"/>
  <c r="Y198" i="83"/>
  <c r="Y71" i="71" s="1"/>
  <c r="Y176" i="71" s="1"/>
  <c r="AO169" i="83"/>
  <c r="AO41" i="71" s="1"/>
  <c r="AO146" i="71" s="1"/>
  <c r="AM140" i="83"/>
  <c r="L198" i="83"/>
  <c r="L71" i="71" s="1"/>
  <c r="L176" i="71" s="1"/>
  <c r="AI169" i="83"/>
  <c r="AI41" i="71" s="1"/>
  <c r="AI146" i="71" s="1"/>
  <c r="R198" i="83"/>
  <c r="R71" i="71" s="1"/>
  <c r="R176" i="71" s="1"/>
  <c r="AL169" i="83"/>
  <c r="AL41" i="71" s="1"/>
  <c r="AL146" i="71" s="1"/>
  <c r="Q227" i="83"/>
  <c r="Q101" i="71" s="1"/>
  <c r="Q206" i="71" s="1"/>
  <c r="M169" i="83"/>
  <c r="M41" i="71" s="1"/>
  <c r="M146" i="71" s="1"/>
  <c r="T227" i="83"/>
  <c r="T101" i="71" s="1"/>
  <c r="T206" i="71" s="1"/>
  <c r="AC169" i="83"/>
  <c r="AC41" i="71" s="1"/>
  <c r="AC146" i="71" s="1"/>
  <c r="AB169" i="83"/>
  <c r="AB41" i="71" s="1"/>
  <c r="AB146" i="71" s="1"/>
  <c r="N198" i="83"/>
  <c r="N71" i="71" s="1"/>
  <c r="N176" i="71" s="1"/>
  <c r="S140" i="83"/>
  <c r="S142" i="72" s="1"/>
  <c r="S212" i="72" s="1"/>
  <c r="S242" i="72" s="1"/>
  <c r="AG227" i="83"/>
  <c r="AG101" i="71" s="1"/>
  <c r="AG206" i="71" s="1"/>
  <c r="AI140" i="83"/>
  <c r="AP176" i="72"/>
  <c r="AP211" i="72" s="1"/>
  <c r="AP241" i="72" s="1"/>
  <c r="AN176" i="72"/>
  <c r="AN211" i="72" s="1"/>
  <c r="AN241" i="72" s="1"/>
  <c r="AI176" i="72"/>
  <c r="AI211" i="72" s="1"/>
  <c r="AI241" i="72" s="1"/>
  <c r="AL176" i="72"/>
  <c r="AL211" i="72" s="1"/>
  <c r="AL241" i="72" s="1"/>
  <c r="AM176" i="72"/>
  <c r="AM211" i="72" s="1"/>
  <c r="AM241" i="72" s="1"/>
  <c r="AH176" i="72"/>
  <c r="AH211" i="72" s="1"/>
  <c r="AH241" i="72" s="1"/>
  <c r="AC176" i="72"/>
  <c r="AC211" i="72" s="1"/>
  <c r="AC241" i="72" s="1"/>
  <c r="AK176" i="72"/>
  <c r="AK211" i="72" s="1"/>
  <c r="AK241" i="72" s="1"/>
  <c r="AJ176" i="72"/>
  <c r="AJ211" i="72" s="1"/>
  <c r="AJ241" i="72" s="1"/>
  <c r="AE176" i="72"/>
  <c r="AE211" i="72" s="1"/>
  <c r="AE241" i="72" s="1"/>
  <c r="AF176" i="72"/>
  <c r="AF211" i="72" s="1"/>
  <c r="AF241" i="72" s="1"/>
  <c r="AO176" i="72"/>
  <c r="AO211" i="72" s="1"/>
  <c r="AO241" i="72" s="1"/>
  <c r="AD176" i="72"/>
  <c r="AD211" i="72" s="1"/>
  <c r="AD241" i="72" s="1"/>
  <c r="AG176" i="72"/>
  <c r="AG211" i="72" s="1"/>
  <c r="AG241" i="72" s="1"/>
  <c r="AG181" i="72"/>
  <c r="AG216" i="72" s="1"/>
  <c r="AG246" i="72" s="1"/>
  <c r="AK181" i="72"/>
  <c r="AK216" i="72" s="1"/>
  <c r="AK246" i="72" s="1"/>
  <c r="AJ181" i="72"/>
  <c r="AJ216" i="72" s="1"/>
  <c r="AJ246" i="72" s="1"/>
  <c r="AM181" i="72"/>
  <c r="AM216" i="72" s="1"/>
  <c r="AM246" i="72" s="1"/>
  <c r="AH181" i="72"/>
  <c r="AH216" i="72" s="1"/>
  <c r="AH246" i="72" s="1"/>
  <c r="AL181" i="72"/>
  <c r="AL216" i="72" s="1"/>
  <c r="AL246" i="72" s="1"/>
  <c r="AF181" i="72"/>
  <c r="AF216" i="72" s="1"/>
  <c r="AF246" i="72" s="1"/>
  <c r="AP181" i="72"/>
  <c r="AP216" i="72" s="1"/>
  <c r="AP246" i="72" s="1"/>
  <c r="AC181" i="72"/>
  <c r="AC216" i="72" s="1"/>
  <c r="AC246" i="72" s="1"/>
  <c r="AE181" i="72"/>
  <c r="AE216" i="72" s="1"/>
  <c r="AE246" i="72" s="1"/>
  <c r="AI181" i="72"/>
  <c r="AI216" i="72" s="1"/>
  <c r="AI246" i="72" s="1"/>
  <c r="AO181" i="72"/>
  <c r="AO216" i="72" s="1"/>
  <c r="AO246" i="72" s="1"/>
  <c r="AD181" i="72"/>
  <c r="AD216" i="72" s="1"/>
  <c r="AD246" i="72" s="1"/>
  <c r="AN181" i="72"/>
  <c r="AN216" i="72" s="1"/>
  <c r="AN246" i="72" s="1"/>
  <c r="T146" i="73"/>
  <c r="J176" i="73"/>
  <c r="J236" i="73" s="1"/>
  <c r="P146" i="73"/>
  <c r="R146" i="73"/>
  <c r="J146" i="73"/>
  <c r="K146" i="73"/>
  <c r="W146" i="73"/>
  <c r="M146" i="73"/>
  <c r="V176" i="73"/>
  <c r="V236" i="73" s="1"/>
  <c r="U146" i="73"/>
  <c r="Q146" i="73"/>
  <c r="L176" i="73"/>
  <c r="L236" i="73" s="1"/>
  <c r="L146" i="73"/>
  <c r="O176" i="73"/>
  <c r="O236" i="73" s="1"/>
  <c r="X146" i="73"/>
  <c r="AA146" i="73"/>
  <c r="Q176" i="73"/>
  <c r="Q236" i="73" s="1"/>
  <c r="V146" i="73"/>
  <c r="S146" i="73"/>
  <c r="O146" i="73"/>
  <c r="Z176" i="73"/>
  <c r="Z236" i="73" s="1"/>
  <c r="Y146" i="73"/>
  <c r="T176" i="73"/>
  <c r="T236" i="73" s="1"/>
  <c r="X176" i="73"/>
  <c r="X236" i="73" s="1"/>
  <c r="P176" i="73"/>
  <c r="P236" i="73" s="1"/>
  <c r="N146" i="73"/>
  <c r="M176" i="73"/>
  <c r="M236" i="73" s="1"/>
  <c r="K176" i="73"/>
  <c r="K236" i="73" s="1"/>
  <c r="R176" i="73"/>
  <c r="R236" i="73" s="1"/>
  <c r="AB176" i="73"/>
  <c r="AB236" i="73" s="1"/>
  <c r="Z146" i="73"/>
  <c r="N176" i="73"/>
  <c r="N236" i="73" s="1"/>
  <c r="AB146" i="73"/>
  <c r="Y176" i="73"/>
  <c r="Y236" i="73" s="1"/>
  <c r="W176" i="73"/>
  <c r="W236" i="73" s="1"/>
  <c r="AA176" i="73"/>
  <c r="AA236" i="73" s="1"/>
  <c r="S176" i="73"/>
  <c r="S236" i="73" s="1"/>
  <c r="U176" i="73"/>
  <c r="U236" i="73" s="1"/>
  <c r="AN172" i="72"/>
  <c r="AN207" i="72" s="1"/>
  <c r="AN237" i="72" s="1"/>
  <c r="AO172" i="72"/>
  <c r="AO207" i="72" s="1"/>
  <c r="AO237" i="72" s="1"/>
  <c r="AJ172" i="72"/>
  <c r="AJ207" i="72" s="1"/>
  <c r="AJ237" i="72" s="1"/>
  <c r="AH172" i="72"/>
  <c r="AH207" i="72" s="1"/>
  <c r="AH237" i="72" s="1"/>
  <c r="AP172" i="72"/>
  <c r="AP207" i="72" s="1"/>
  <c r="AP237" i="72" s="1"/>
  <c r="AD172" i="72"/>
  <c r="AD207" i="72" s="1"/>
  <c r="AD237" i="72" s="1"/>
  <c r="AE172" i="72"/>
  <c r="AE207" i="72" s="1"/>
  <c r="AE237" i="72" s="1"/>
  <c r="AF172" i="72"/>
  <c r="AF207" i="72" s="1"/>
  <c r="AF237" i="72" s="1"/>
  <c r="AI172" i="72"/>
  <c r="AI207" i="72" s="1"/>
  <c r="AI237" i="72" s="1"/>
  <c r="AC172" i="72"/>
  <c r="AC207" i="72" s="1"/>
  <c r="AC237" i="72" s="1"/>
  <c r="AL172" i="72"/>
  <c r="AL207" i="72" s="1"/>
  <c r="AL237" i="72" s="1"/>
  <c r="AM172" i="72"/>
  <c r="AM207" i="72" s="1"/>
  <c r="AM237" i="72" s="1"/>
  <c r="AG172" i="72"/>
  <c r="AG207" i="72" s="1"/>
  <c r="AG237" i="72" s="1"/>
  <c r="AK172" i="72"/>
  <c r="AK207" i="72" s="1"/>
  <c r="AK237" i="72" s="1"/>
  <c r="Z177" i="73"/>
  <c r="Z237" i="73" s="1"/>
  <c r="S177" i="73"/>
  <c r="S237" i="73" s="1"/>
  <c r="R177" i="73"/>
  <c r="R237" i="73" s="1"/>
  <c r="AB177" i="73"/>
  <c r="AB237" i="73" s="1"/>
  <c r="L147" i="73"/>
  <c r="K147" i="73"/>
  <c r="Q177" i="73"/>
  <c r="Q237" i="73" s="1"/>
  <c r="N177" i="73"/>
  <c r="N237" i="73" s="1"/>
  <c r="AB147" i="73"/>
  <c r="P147" i="73"/>
  <c r="U177" i="73"/>
  <c r="U237" i="73" s="1"/>
  <c r="V177" i="73"/>
  <c r="V237" i="73" s="1"/>
  <c r="O177" i="73"/>
  <c r="O237" i="73" s="1"/>
  <c r="W147" i="73"/>
  <c r="R147" i="73"/>
  <c r="X177" i="73"/>
  <c r="X237" i="73" s="1"/>
  <c r="L177" i="73"/>
  <c r="L237" i="73" s="1"/>
  <c r="AA177" i="73"/>
  <c r="AA237" i="73" s="1"/>
  <c r="M177" i="73"/>
  <c r="M237" i="73" s="1"/>
  <c r="W177" i="73"/>
  <c r="W237" i="73" s="1"/>
  <c r="X147" i="73"/>
  <c r="M147" i="73"/>
  <c r="O147" i="73"/>
  <c r="AA147" i="73"/>
  <c r="P177" i="73"/>
  <c r="P237" i="73" s="1"/>
  <c r="Y177" i="73"/>
  <c r="Y237" i="73" s="1"/>
  <c r="T147" i="73"/>
  <c r="N147" i="73"/>
  <c r="J147" i="73"/>
  <c r="Y147" i="73"/>
  <c r="K177" i="73"/>
  <c r="K237" i="73" s="1"/>
  <c r="T177" i="73"/>
  <c r="T237" i="73" s="1"/>
  <c r="V147" i="73"/>
  <c r="Z147" i="73"/>
  <c r="J177" i="73"/>
  <c r="J237" i="73" s="1"/>
  <c r="S147" i="73"/>
  <c r="Q147" i="73"/>
  <c r="U147" i="73"/>
  <c r="AG179" i="72"/>
  <c r="AG214" i="72" s="1"/>
  <c r="AG244" i="72" s="1"/>
  <c r="AI179" i="72"/>
  <c r="AI214" i="72" s="1"/>
  <c r="AI244" i="72" s="1"/>
  <c r="AN179" i="72"/>
  <c r="AN214" i="72" s="1"/>
  <c r="AN244" i="72" s="1"/>
  <c r="AM179" i="72"/>
  <c r="AM214" i="72" s="1"/>
  <c r="AM244" i="72" s="1"/>
  <c r="AC179" i="72"/>
  <c r="AC214" i="72" s="1"/>
  <c r="AC244" i="72" s="1"/>
  <c r="AJ179" i="72"/>
  <c r="AJ214" i="72" s="1"/>
  <c r="AJ244" i="72" s="1"/>
  <c r="AP179" i="72"/>
  <c r="AP214" i="72" s="1"/>
  <c r="AP244" i="72" s="1"/>
  <c r="AF179" i="72"/>
  <c r="AF214" i="72" s="1"/>
  <c r="AF244" i="72" s="1"/>
  <c r="AH179" i="72"/>
  <c r="AH214" i="72" s="1"/>
  <c r="AH244" i="72" s="1"/>
  <c r="AK179" i="72"/>
  <c r="AK214" i="72" s="1"/>
  <c r="AK244" i="72" s="1"/>
  <c r="AL179" i="72"/>
  <c r="AL214" i="72" s="1"/>
  <c r="AL244" i="72" s="1"/>
  <c r="AO179" i="72"/>
  <c r="AO214" i="72" s="1"/>
  <c r="AO244" i="72" s="1"/>
  <c r="AE179" i="72"/>
  <c r="AE214" i="72" s="1"/>
  <c r="AE244" i="72" s="1"/>
  <c r="AD179" i="72"/>
  <c r="AD214" i="72" s="1"/>
  <c r="AD244" i="72" s="1"/>
  <c r="R182" i="73"/>
  <c r="R242" i="73" s="1"/>
  <c r="U182" i="73"/>
  <c r="U242" i="73" s="1"/>
  <c r="AB152" i="73"/>
  <c r="M182" i="73"/>
  <c r="M242" i="73" s="1"/>
  <c r="X182" i="73"/>
  <c r="X242" i="73" s="1"/>
  <c r="Q152" i="73"/>
  <c r="N182" i="73"/>
  <c r="N242" i="73" s="1"/>
  <c r="S152" i="73"/>
  <c r="Z182" i="73"/>
  <c r="Z242" i="73" s="1"/>
  <c r="AB182" i="73"/>
  <c r="AB242" i="73" s="1"/>
  <c r="J182" i="73"/>
  <c r="J242" i="73" s="1"/>
  <c r="X152" i="73"/>
  <c r="P152" i="73"/>
  <c r="M152" i="73"/>
  <c r="T182" i="73"/>
  <c r="T242" i="73" s="1"/>
  <c r="W182" i="73"/>
  <c r="W242" i="73" s="1"/>
  <c r="U152" i="73"/>
  <c r="R152" i="73"/>
  <c r="Q182" i="73"/>
  <c r="Q242" i="73" s="1"/>
  <c r="O182" i="73"/>
  <c r="O242" i="73" s="1"/>
  <c r="Y152" i="73"/>
  <c r="T152" i="73"/>
  <c r="K182" i="73"/>
  <c r="K242" i="73" s="1"/>
  <c r="P182" i="73"/>
  <c r="P242" i="73" s="1"/>
  <c r="L182" i="73"/>
  <c r="L242" i="73" s="1"/>
  <c r="N152" i="73"/>
  <c r="AA152" i="73"/>
  <c r="V152" i="73"/>
  <c r="S182" i="73"/>
  <c r="S242" i="73" s="1"/>
  <c r="W152" i="73"/>
  <c r="V182" i="73"/>
  <c r="V242" i="73" s="1"/>
  <c r="J152" i="73"/>
  <c r="Y182" i="73"/>
  <c r="Y242" i="73" s="1"/>
  <c r="O152" i="73"/>
  <c r="Z152" i="73"/>
  <c r="K152" i="73"/>
  <c r="L152" i="73"/>
  <c r="AA182" i="73"/>
  <c r="AA242" i="73" s="1"/>
  <c r="AF175" i="72"/>
  <c r="AF210" i="72" s="1"/>
  <c r="AF240" i="72" s="1"/>
  <c r="AE175" i="72"/>
  <c r="AE210" i="72" s="1"/>
  <c r="AE240" i="72" s="1"/>
  <c r="AL175" i="72"/>
  <c r="AL210" i="72" s="1"/>
  <c r="AL240" i="72" s="1"/>
  <c r="AN175" i="72"/>
  <c r="AN210" i="72" s="1"/>
  <c r="AN240" i="72" s="1"/>
  <c r="AD175" i="72"/>
  <c r="AD210" i="72" s="1"/>
  <c r="AD240" i="72" s="1"/>
  <c r="AP175" i="72"/>
  <c r="AP210" i="72" s="1"/>
  <c r="AP240" i="72" s="1"/>
  <c r="AH175" i="72"/>
  <c r="AH210" i="72" s="1"/>
  <c r="AH240" i="72" s="1"/>
  <c r="AC175" i="72"/>
  <c r="AC210" i="72" s="1"/>
  <c r="AC240" i="72" s="1"/>
  <c r="AO175" i="72"/>
  <c r="AO210" i="72" s="1"/>
  <c r="AO240" i="72" s="1"/>
  <c r="AI175" i="72"/>
  <c r="AI210" i="72" s="1"/>
  <c r="AI240" i="72" s="1"/>
  <c r="AM175" i="72"/>
  <c r="AM210" i="72" s="1"/>
  <c r="AM240" i="72" s="1"/>
  <c r="AG175" i="72"/>
  <c r="AG210" i="72" s="1"/>
  <c r="AG240" i="72" s="1"/>
  <c r="AK175" i="72"/>
  <c r="AK210" i="72" s="1"/>
  <c r="AK240" i="72" s="1"/>
  <c r="AJ175" i="72"/>
  <c r="AJ210" i="72" s="1"/>
  <c r="AJ240" i="72" s="1"/>
  <c r="N150" i="73"/>
  <c r="T180" i="73"/>
  <c r="T240" i="73" s="1"/>
  <c r="Q180" i="73"/>
  <c r="Q240" i="73" s="1"/>
  <c r="R180" i="73"/>
  <c r="R240" i="73" s="1"/>
  <c r="S150" i="73"/>
  <c r="O180" i="73"/>
  <c r="O240" i="73" s="1"/>
  <c r="N180" i="73"/>
  <c r="N240" i="73" s="1"/>
  <c r="L180" i="73"/>
  <c r="L240" i="73" s="1"/>
  <c r="M150" i="73"/>
  <c r="T150" i="73"/>
  <c r="Z180" i="73"/>
  <c r="Z240" i="73" s="1"/>
  <c r="K180" i="73"/>
  <c r="K240" i="73" s="1"/>
  <c r="U180" i="73"/>
  <c r="U240" i="73" s="1"/>
  <c r="AB150" i="73"/>
  <c r="Y150" i="73"/>
  <c r="V180" i="73"/>
  <c r="V240" i="73" s="1"/>
  <c r="M180" i="73"/>
  <c r="M240" i="73" s="1"/>
  <c r="X150" i="73"/>
  <c r="AA150" i="73"/>
  <c r="V150" i="73"/>
  <c r="P150" i="73"/>
  <c r="R150" i="73"/>
  <c r="L150" i="73"/>
  <c r="AB180" i="73"/>
  <c r="AB240" i="73" s="1"/>
  <c r="X180" i="73"/>
  <c r="X240" i="73" s="1"/>
  <c r="AA180" i="73"/>
  <c r="AA240" i="73" s="1"/>
  <c r="U150" i="73"/>
  <c r="Z150" i="73"/>
  <c r="Q150" i="73"/>
  <c r="J150" i="73"/>
  <c r="J180" i="73"/>
  <c r="J240" i="73" s="1"/>
  <c r="S180" i="73"/>
  <c r="S240" i="73" s="1"/>
  <c r="K150" i="73"/>
  <c r="Y180" i="73"/>
  <c r="Y240" i="73" s="1"/>
  <c r="W180" i="73"/>
  <c r="W240" i="73" s="1"/>
  <c r="O150" i="73"/>
  <c r="W150" i="73"/>
  <c r="P180" i="73"/>
  <c r="P240" i="73" s="1"/>
  <c r="Q219" i="71" l="1"/>
  <c r="Q22" i="41" s="1"/>
  <c r="Q70" i="41" s="1"/>
  <c r="CE96" i="41" s="1"/>
  <c r="W218" i="71"/>
  <c r="W21" i="41" s="1"/>
  <c r="W69" i="41" s="1"/>
  <c r="BD96" i="41" s="1"/>
  <c r="AO219" i="71"/>
  <c r="AO22" i="41" s="1"/>
  <c r="AO22" i="65" s="1"/>
  <c r="AO80" i="65" s="1"/>
  <c r="AO91" i="65" s="1"/>
  <c r="Z257" i="73"/>
  <c r="Z25" i="41" s="1"/>
  <c r="Z149" i="41" s="1"/>
  <c r="Q218" i="71"/>
  <c r="Q21" i="41" s="1"/>
  <c r="Q21" i="65" s="1"/>
  <c r="AD218" i="71"/>
  <c r="AD21" i="41" s="1"/>
  <c r="AD46" i="41" s="1"/>
  <c r="Q257" i="73"/>
  <c r="Q25" i="41" s="1"/>
  <c r="Q25" i="65" s="1"/>
  <c r="Q83" i="65" s="1"/>
  <c r="Q94" i="65" s="1"/>
  <c r="Q50" i="105" s="1"/>
  <c r="Q87" i="105" s="1"/>
  <c r="Q250" i="72"/>
  <c r="Q26" i="41" s="1"/>
  <c r="Q150" i="41" s="1"/>
  <c r="S257" i="73"/>
  <c r="S25" i="41" s="1"/>
  <c r="S149" i="41" s="1"/>
  <c r="AA257" i="73"/>
  <c r="AA25" i="41" s="1"/>
  <c r="AA50" i="41" s="1"/>
  <c r="H290" i="83" a="1"/>
  <c r="H290" i="83" s="1"/>
  <c r="Z36" i="71"/>
  <c r="Z141" i="71" s="1"/>
  <c r="Z217" i="71" s="1"/>
  <c r="Z20" i="41" s="1"/>
  <c r="Z292" i="83"/>
  <c r="N96" i="71"/>
  <c r="N201" i="71" s="1"/>
  <c r="N219" i="71" s="1"/>
  <c r="N22" i="41" s="1"/>
  <c r="N275" i="83"/>
  <c r="AA282" i="73"/>
  <c r="AA45" i="74" s="1"/>
  <c r="AA90" i="74" s="1"/>
  <c r="AA212" i="73"/>
  <c r="Q277" i="73"/>
  <c r="Q40" i="74" s="1"/>
  <c r="Q85" i="74" s="1"/>
  <c r="Q115" i="74" s="1"/>
  <c r="Q207" i="73"/>
  <c r="P280" i="73"/>
  <c r="P43" i="74" s="1"/>
  <c r="P88" i="74" s="1"/>
  <c r="P118" i="74" s="1"/>
  <c r="P150" i="74" s="1"/>
  <c r="P210" i="73"/>
  <c r="O276" i="73"/>
  <c r="O39" i="74" s="1"/>
  <c r="O84" i="74" s="1"/>
  <c r="O206" i="73"/>
  <c r="V210" i="73"/>
  <c r="V280" i="73"/>
  <c r="V43" i="74" s="1"/>
  <c r="V88" i="74" s="1"/>
  <c r="Z277" i="73"/>
  <c r="Z40" i="74" s="1"/>
  <c r="Z85" i="74" s="1"/>
  <c r="Z207" i="73"/>
  <c r="P207" i="73"/>
  <c r="P277" i="73"/>
  <c r="P40" i="74" s="1"/>
  <c r="P85" i="74" s="1"/>
  <c r="P115" i="74" s="1"/>
  <c r="P147" i="74" s="1"/>
  <c r="AN250" i="72"/>
  <c r="AN26" i="41" s="1"/>
  <c r="S206" i="73"/>
  <c r="S276" i="73"/>
  <c r="S39" i="74" s="1"/>
  <c r="S84" i="74" s="1"/>
  <c r="T274" i="83"/>
  <c r="T66" i="71"/>
  <c r="T171" i="71" s="1"/>
  <c r="T218" i="71" s="1"/>
  <c r="T21" i="41" s="1"/>
  <c r="L36" i="71"/>
  <c r="L141" i="71" s="1"/>
  <c r="L217" i="71" s="1"/>
  <c r="L20" i="41" s="1"/>
  <c r="L273" i="83"/>
  <c r="L292" i="83"/>
  <c r="K274" i="83"/>
  <c r="K66" i="71"/>
  <c r="K171" i="71" s="1"/>
  <c r="K218" i="71" s="1"/>
  <c r="K21" i="41" s="1"/>
  <c r="Z285" i="73"/>
  <c r="Z48" i="74" s="1"/>
  <c r="Z93" i="74" s="1"/>
  <c r="Z215" i="73"/>
  <c r="V208" i="73"/>
  <c r="V278" i="73"/>
  <c r="V41" i="74" s="1"/>
  <c r="V86" i="74" s="1"/>
  <c r="X209" i="73"/>
  <c r="X279" i="73"/>
  <c r="X42" i="74" s="1"/>
  <c r="X87" i="74" s="1"/>
  <c r="L283" i="73"/>
  <c r="L46" i="74" s="1"/>
  <c r="L91" i="74" s="1"/>
  <c r="L213" i="73"/>
  <c r="L284" i="73"/>
  <c r="L47" i="74" s="1"/>
  <c r="L92" i="74" s="1"/>
  <c r="L214" i="73"/>
  <c r="M214" i="73"/>
  <c r="M284" i="73"/>
  <c r="M47" i="74" s="1"/>
  <c r="M92" i="74" s="1"/>
  <c r="O66" i="71"/>
  <c r="O171" i="71" s="1"/>
  <c r="O218" i="71" s="1"/>
  <c r="O21" i="41" s="1"/>
  <c r="O274" i="83"/>
  <c r="P218" i="71"/>
  <c r="P21" i="41" s="1"/>
  <c r="AK219" i="71"/>
  <c r="AK22" i="41" s="1"/>
  <c r="V250" i="72"/>
  <c r="V26" i="41" s="1"/>
  <c r="K96" i="71"/>
  <c r="K201" i="71" s="1"/>
  <c r="K219" i="71" s="1"/>
  <c r="K22" i="41" s="1"/>
  <c r="K275" i="83"/>
  <c r="N215" i="73"/>
  <c r="N285" i="73"/>
  <c r="N48" i="74" s="1"/>
  <c r="N93" i="74" s="1"/>
  <c r="K279" i="73"/>
  <c r="K42" i="74" s="1"/>
  <c r="K87" i="74" s="1"/>
  <c r="K209" i="73"/>
  <c r="S284" i="73"/>
  <c r="S47" i="74" s="1"/>
  <c r="S92" i="74" s="1"/>
  <c r="S214" i="73"/>
  <c r="S250" i="72"/>
  <c r="S26" i="41" s="1"/>
  <c r="AJ218" i="71"/>
  <c r="AJ21" i="41" s="1"/>
  <c r="AF36" i="71"/>
  <c r="AF141" i="71" s="1"/>
  <c r="AF217" i="71" s="1"/>
  <c r="AF20" i="41" s="1"/>
  <c r="AF292" i="83"/>
  <c r="AD219" i="71"/>
  <c r="AD22" i="41" s="1"/>
  <c r="AP218" i="71"/>
  <c r="AP21" i="41" s="1"/>
  <c r="V215" i="73"/>
  <c r="V285" i="73"/>
  <c r="V48" i="74" s="1"/>
  <c r="V93" i="74" s="1"/>
  <c r="Z281" i="73"/>
  <c r="Z44" i="74" s="1"/>
  <c r="Z89" i="74" s="1"/>
  <c r="Z211" i="73"/>
  <c r="Z209" i="73"/>
  <c r="Z279" i="73"/>
  <c r="Z42" i="74" s="1"/>
  <c r="Z87" i="74" s="1"/>
  <c r="T283" i="73"/>
  <c r="T46" i="74" s="1"/>
  <c r="T91" i="74" s="1"/>
  <c r="T213" i="73"/>
  <c r="P214" i="73"/>
  <c r="P284" i="73"/>
  <c r="P47" i="74" s="1"/>
  <c r="P92" i="74" s="1"/>
  <c r="P122" i="74" s="1"/>
  <c r="P154" i="74" s="1"/>
  <c r="V207" i="73"/>
  <c r="V277" i="73"/>
  <c r="V40" i="74" s="1"/>
  <c r="V85" i="74" s="1"/>
  <c r="L278" i="73"/>
  <c r="L41" i="74" s="1"/>
  <c r="L86" i="74" s="1"/>
  <c r="L208" i="73"/>
  <c r="AA206" i="73"/>
  <c r="AA276" i="73"/>
  <c r="AA39" i="74" s="1"/>
  <c r="AA84" i="74" s="1"/>
  <c r="Y277" i="73"/>
  <c r="Y40" i="74" s="1"/>
  <c r="Y85" i="74" s="1"/>
  <c r="Y207" i="73"/>
  <c r="K277" i="73"/>
  <c r="K40" i="74" s="1"/>
  <c r="K85" i="74" s="1"/>
  <c r="K207" i="73"/>
  <c r="X276" i="73"/>
  <c r="X39" i="74" s="1"/>
  <c r="X84" i="74" s="1"/>
  <c r="X206" i="73"/>
  <c r="Y210" i="73"/>
  <c r="Y280" i="73"/>
  <c r="Y43" i="74" s="1"/>
  <c r="Y88" i="74" s="1"/>
  <c r="J277" i="73"/>
  <c r="J40" i="74" s="1"/>
  <c r="J85" i="74" s="1"/>
  <c r="J207" i="73"/>
  <c r="L277" i="73"/>
  <c r="L40" i="74" s="1"/>
  <c r="L85" i="74" s="1"/>
  <c r="L207" i="73"/>
  <c r="U257" i="73"/>
  <c r="U25" i="41" s="1"/>
  <c r="O257" i="73"/>
  <c r="O25" i="41" s="1"/>
  <c r="S36" i="71"/>
  <c r="S141" i="71" s="1"/>
  <c r="S217" i="71" s="1"/>
  <c r="S20" i="41" s="1"/>
  <c r="S273" i="83"/>
  <c r="S292" i="83"/>
  <c r="U219" i="71"/>
  <c r="U22" i="41" s="1"/>
  <c r="R215" i="73"/>
  <c r="R285" i="73"/>
  <c r="R48" i="74" s="1"/>
  <c r="R93" i="74" s="1"/>
  <c r="R123" i="74" s="1"/>
  <c r="R155" i="74" s="1"/>
  <c r="S283" i="73"/>
  <c r="S46" i="74" s="1"/>
  <c r="S91" i="74" s="1"/>
  <c r="S213" i="73"/>
  <c r="J213" i="73"/>
  <c r="J283" i="73"/>
  <c r="J46" i="74" s="1"/>
  <c r="J91" i="74" s="1"/>
  <c r="AM219" i="71"/>
  <c r="AM22" i="41" s="1"/>
  <c r="X218" i="71"/>
  <c r="X21" i="41" s="1"/>
  <c r="AB219" i="71"/>
  <c r="AB22" i="41" s="1"/>
  <c r="AE292" i="83"/>
  <c r="AE36" i="71"/>
  <c r="AE141" i="71" s="1"/>
  <c r="AE217" i="71" s="1"/>
  <c r="AE20" i="41" s="1"/>
  <c r="AB250" i="72"/>
  <c r="AB26" i="41" s="1"/>
  <c r="S285" i="73"/>
  <c r="S48" i="74" s="1"/>
  <c r="S93" i="74" s="1"/>
  <c r="S215" i="73"/>
  <c r="O278" i="73"/>
  <c r="O41" i="74" s="1"/>
  <c r="O86" i="74" s="1"/>
  <c r="O208" i="73"/>
  <c r="Y211" i="73"/>
  <c r="Y281" i="73"/>
  <c r="Y44" i="74" s="1"/>
  <c r="Y89" i="74" s="1"/>
  <c r="V209" i="73"/>
  <c r="V279" i="73"/>
  <c r="V42" i="74" s="1"/>
  <c r="V87" i="74" s="1"/>
  <c r="N277" i="73"/>
  <c r="N40" i="74" s="1"/>
  <c r="N85" i="74" s="1"/>
  <c r="N207" i="73"/>
  <c r="U212" i="73"/>
  <c r="U282" i="73"/>
  <c r="U45" i="74" s="1"/>
  <c r="U90" i="74" s="1"/>
  <c r="O210" i="73"/>
  <c r="O280" i="73"/>
  <c r="O43" i="74" s="1"/>
  <c r="O88" i="74" s="1"/>
  <c r="W257" i="73"/>
  <c r="W25" i="41" s="1"/>
  <c r="Q276" i="73"/>
  <c r="Q39" i="74" s="1"/>
  <c r="Q84" i="74" s="1"/>
  <c r="Q114" i="74" s="1"/>
  <c r="Q206" i="73"/>
  <c r="N36" i="71"/>
  <c r="N141" i="71" s="1"/>
  <c r="N217" i="71" s="1"/>
  <c r="N20" i="41" s="1"/>
  <c r="N292" i="83"/>
  <c r="N273" i="83"/>
  <c r="AC36" i="71"/>
  <c r="AC141" i="71" s="1"/>
  <c r="AC217" i="71" s="1"/>
  <c r="AC20" i="41" s="1"/>
  <c r="AC292" i="83"/>
  <c r="U250" i="72"/>
  <c r="U26" i="41" s="1"/>
  <c r="P36" i="71"/>
  <c r="P141" i="71" s="1"/>
  <c r="P217" i="71" s="1"/>
  <c r="P20" i="41" s="1"/>
  <c r="P292" i="83"/>
  <c r="X219" i="71"/>
  <c r="X22" i="41" s="1"/>
  <c r="R218" i="71"/>
  <c r="R21" i="41" s="1"/>
  <c r="J215" i="73"/>
  <c r="J285" i="73"/>
  <c r="J48" i="74" s="1"/>
  <c r="J93" i="74" s="1"/>
  <c r="R211" i="73"/>
  <c r="R281" i="73"/>
  <c r="R44" i="74" s="1"/>
  <c r="R89" i="74" s="1"/>
  <c r="R119" i="74" s="1"/>
  <c r="R151" i="74" s="1"/>
  <c r="AA209" i="73"/>
  <c r="AA279" i="73"/>
  <c r="AA42" i="74" s="1"/>
  <c r="AA87" i="74" s="1"/>
  <c r="W36" i="71"/>
  <c r="W141" i="71" s="1"/>
  <c r="W217" i="71" s="1"/>
  <c r="W20" i="41" s="1"/>
  <c r="W292" i="83"/>
  <c r="AA208" i="73"/>
  <c r="AA278" i="73"/>
  <c r="AA41" i="74" s="1"/>
  <c r="AA86" i="74" s="1"/>
  <c r="AB213" i="73"/>
  <c r="AB283" i="73"/>
  <c r="AB46" i="74" s="1"/>
  <c r="AB91" i="74" s="1"/>
  <c r="Y279" i="73"/>
  <c r="Y42" i="74" s="1"/>
  <c r="Y87" i="74" s="1"/>
  <c r="Y209" i="73"/>
  <c r="J66" i="71"/>
  <c r="J171" i="71" s="1"/>
  <c r="J218" i="71" s="1"/>
  <c r="J21" i="41" s="1"/>
  <c r="J274" i="83"/>
  <c r="W210" i="73"/>
  <c r="W280" i="73"/>
  <c r="W43" i="74" s="1"/>
  <c r="W88" i="74" s="1"/>
  <c r="T207" i="73"/>
  <c r="T277" i="73"/>
  <c r="T40" i="74" s="1"/>
  <c r="T85" i="74" s="1"/>
  <c r="Y257" i="73"/>
  <c r="Y25" i="41" s="1"/>
  <c r="U206" i="73"/>
  <c r="U276" i="73"/>
  <c r="U39" i="74" s="1"/>
  <c r="U84" i="74" s="1"/>
  <c r="K250" i="72"/>
  <c r="K26" i="41" s="1"/>
  <c r="AG219" i="71"/>
  <c r="AG22" i="41" s="1"/>
  <c r="AD36" i="71"/>
  <c r="AD141" i="71" s="1"/>
  <c r="AD217" i="71" s="1"/>
  <c r="AD20" i="41" s="1"/>
  <c r="AD292" i="83"/>
  <c r="Z219" i="71"/>
  <c r="Z22" i="41" s="1"/>
  <c r="AP36" i="71"/>
  <c r="AP141" i="71" s="1"/>
  <c r="AP217" i="71" s="1"/>
  <c r="AP20" i="41" s="1"/>
  <c r="AP292" i="83"/>
  <c r="K208" i="73"/>
  <c r="K278" i="73"/>
  <c r="K41" i="74" s="1"/>
  <c r="K86" i="74" s="1"/>
  <c r="T281" i="73"/>
  <c r="T44" i="74" s="1"/>
  <c r="T89" i="74" s="1"/>
  <c r="T211" i="73"/>
  <c r="Z214" i="73"/>
  <c r="Z284" i="73"/>
  <c r="Z47" i="74" s="1"/>
  <c r="Z92" i="74" s="1"/>
  <c r="AB276" i="73"/>
  <c r="AB39" i="74" s="1"/>
  <c r="AB84" i="74" s="1"/>
  <c r="AB206" i="73"/>
  <c r="V257" i="73"/>
  <c r="V25" i="41" s="1"/>
  <c r="N250" i="72"/>
  <c r="N26" i="41" s="1"/>
  <c r="U36" i="71"/>
  <c r="U141" i="71" s="1"/>
  <c r="U217" i="71" s="1"/>
  <c r="U20" i="41" s="1"/>
  <c r="U292" i="83"/>
  <c r="AO218" i="71"/>
  <c r="AO21" i="41" s="1"/>
  <c r="AH219" i="71"/>
  <c r="AH22" i="41" s="1"/>
  <c r="O36" i="71"/>
  <c r="O141" i="71" s="1"/>
  <c r="O217" i="71" s="1"/>
  <c r="O20" i="41" s="1"/>
  <c r="O292" i="83"/>
  <c r="O273" i="83"/>
  <c r="AA215" i="73"/>
  <c r="AA285" i="73"/>
  <c r="AA48" i="74" s="1"/>
  <c r="AA93" i="74" s="1"/>
  <c r="S281" i="73"/>
  <c r="S44" i="74" s="1"/>
  <c r="S89" i="74" s="1"/>
  <c r="S211" i="73"/>
  <c r="O279" i="73"/>
  <c r="O42" i="74" s="1"/>
  <c r="O87" i="74" s="1"/>
  <c r="O209" i="73"/>
  <c r="R279" i="73"/>
  <c r="R42" i="74" s="1"/>
  <c r="R87" i="74" s="1"/>
  <c r="R117" i="74" s="1"/>
  <c r="R149" i="74" s="1"/>
  <c r="R209" i="73"/>
  <c r="O213" i="73"/>
  <c r="O283" i="73"/>
  <c r="O46" i="74" s="1"/>
  <c r="O91" i="74" s="1"/>
  <c r="W214" i="73"/>
  <c r="W284" i="73"/>
  <c r="W47" i="74" s="1"/>
  <c r="W92" i="74" s="1"/>
  <c r="AO47" i="41"/>
  <c r="AH36" i="71"/>
  <c r="AH141" i="71" s="1"/>
  <c r="AH217" i="71" s="1"/>
  <c r="AH20" i="41" s="1"/>
  <c r="AH292" i="83"/>
  <c r="M212" i="73"/>
  <c r="M282" i="73"/>
  <c r="M45" i="74" s="1"/>
  <c r="M90" i="74" s="1"/>
  <c r="AA277" i="73"/>
  <c r="AA40" i="74" s="1"/>
  <c r="AA85" i="74" s="1"/>
  <c r="AA207" i="73"/>
  <c r="K210" i="73"/>
  <c r="K280" i="73"/>
  <c r="K43" i="74" s="1"/>
  <c r="K88" i="74" s="1"/>
  <c r="M280" i="73"/>
  <c r="M43" i="74" s="1"/>
  <c r="M88" i="74" s="1"/>
  <c r="M210" i="73"/>
  <c r="L282" i="73"/>
  <c r="L45" i="74" s="1"/>
  <c r="L90" i="74" s="1"/>
  <c r="L212" i="73"/>
  <c r="P282" i="73"/>
  <c r="P45" i="74" s="1"/>
  <c r="P90" i="74" s="1"/>
  <c r="P120" i="74" s="1"/>
  <c r="P152" i="74" s="1"/>
  <c r="P212" i="73"/>
  <c r="O277" i="73"/>
  <c r="O40" i="74" s="1"/>
  <c r="O85" i="74" s="1"/>
  <c r="O207" i="73"/>
  <c r="AK250" i="72"/>
  <c r="AK26" i="41" s="1"/>
  <c r="N257" i="73"/>
  <c r="N25" i="41" s="1"/>
  <c r="M206" i="73"/>
  <c r="M276" i="73"/>
  <c r="M39" i="74" s="1"/>
  <c r="M84" i="74" s="1"/>
  <c r="AJ219" i="71"/>
  <c r="AJ22" i="41" s="1"/>
  <c r="Y219" i="71"/>
  <c r="Y22" i="41" s="1"/>
  <c r="M250" i="72"/>
  <c r="M26" i="41" s="1"/>
  <c r="L250" i="72"/>
  <c r="L26" i="41" s="1"/>
  <c r="AI36" i="71"/>
  <c r="AI141" i="71" s="1"/>
  <c r="AI217" i="71" s="1"/>
  <c r="AI20" i="41" s="1"/>
  <c r="AI292" i="83"/>
  <c r="Y285" i="73"/>
  <c r="Y48" i="74" s="1"/>
  <c r="Y93" i="74" s="1"/>
  <c r="Y215" i="73"/>
  <c r="K285" i="73"/>
  <c r="K48" i="74" s="1"/>
  <c r="K93" i="74" s="1"/>
  <c r="K215" i="73"/>
  <c r="X278" i="73"/>
  <c r="X41" i="74" s="1"/>
  <c r="X86" i="74" s="1"/>
  <c r="X208" i="73"/>
  <c r="P281" i="73"/>
  <c r="P44" i="74" s="1"/>
  <c r="P89" i="74" s="1"/>
  <c r="P119" i="74" s="1"/>
  <c r="P151" i="74" s="1"/>
  <c r="P211" i="73"/>
  <c r="P279" i="73"/>
  <c r="P42" i="74" s="1"/>
  <c r="P87" i="74" s="1"/>
  <c r="P117" i="74" s="1"/>
  <c r="P149" i="74" s="1"/>
  <c r="P209" i="73"/>
  <c r="AA284" i="73"/>
  <c r="AA47" i="74" s="1"/>
  <c r="AA92" i="74" s="1"/>
  <c r="AA214" i="73"/>
  <c r="U215" i="73"/>
  <c r="U285" i="73"/>
  <c r="U48" i="74" s="1"/>
  <c r="U93" i="74" s="1"/>
  <c r="U283" i="73"/>
  <c r="U46" i="74" s="1"/>
  <c r="U91" i="74" s="1"/>
  <c r="U213" i="73"/>
  <c r="R282" i="73"/>
  <c r="R45" i="74" s="1"/>
  <c r="R90" i="74" s="1"/>
  <c r="R120" i="74" s="1"/>
  <c r="R152" i="74" s="1"/>
  <c r="R212" i="73"/>
  <c r="T280" i="73"/>
  <c r="T43" i="74" s="1"/>
  <c r="T88" i="74" s="1"/>
  <c r="T210" i="73"/>
  <c r="K212" i="73"/>
  <c r="K282" i="73"/>
  <c r="K45" i="74" s="1"/>
  <c r="K90" i="74" s="1"/>
  <c r="X282" i="73"/>
  <c r="X45" i="74" s="1"/>
  <c r="X90" i="74" s="1"/>
  <c r="X212" i="73"/>
  <c r="M207" i="73"/>
  <c r="M277" i="73"/>
  <c r="M40" i="74" s="1"/>
  <c r="M85" i="74" s="1"/>
  <c r="AG250" i="72"/>
  <c r="AG26" i="41" s="1"/>
  <c r="Z206" i="73"/>
  <c r="Z276" i="73"/>
  <c r="Z39" i="74" s="1"/>
  <c r="Z84" i="74" s="1"/>
  <c r="W276" i="73"/>
  <c r="W39" i="74" s="1"/>
  <c r="W84" i="74" s="1"/>
  <c r="W206" i="73"/>
  <c r="W219" i="71"/>
  <c r="W22" i="41" s="1"/>
  <c r="K36" i="71"/>
  <c r="K141" i="71" s="1"/>
  <c r="K217" i="71" s="1"/>
  <c r="K20" i="41" s="1"/>
  <c r="K292" i="83"/>
  <c r="K273" i="83"/>
  <c r="AA219" i="71"/>
  <c r="AA22" i="41" s="1"/>
  <c r="AL219" i="71"/>
  <c r="AL22" i="41" s="1"/>
  <c r="R36" i="71"/>
  <c r="R141" i="71" s="1"/>
  <c r="R217" i="71" s="1"/>
  <c r="R20" i="41" s="1"/>
  <c r="R292" i="83"/>
  <c r="T250" i="72"/>
  <c r="T26" i="41" s="1"/>
  <c r="X215" i="73"/>
  <c r="X285" i="73"/>
  <c r="X48" i="74" s="1"/>
  <c r="X93" i="74" s="1"/>
  <c r="AA281" i="73"/>
  <c r="AA44" i="74" s="1"/>
  <c r="AA89" i="74" s="1"/>
  <c r="AA211" i="73"/>
  <c r="M279" i="73"/>
  <c r="M42" i="74" s="1"/>
  <c r="M87" i="74" s="1"/>
  <c r="M209" i="73"/>
  <c r="L209" i="73"/>
  <c r="L279" i="73"/>
  <c r="L42" i="74" s="1"/>
  <c r="L87" i="74" s="1"/>
  <c r="O214" i="73"/>
  <c r="O284" i="73"/>
  <c r="O47" i="74" s="1"/>
  <c r="O92" i="74" s="1"/>
  <c r="T282" i="73"/>
  <c r="T45" i="74" s="1"/>
  <c r="T90" i="74" s="1"/>
  <c r="T212" i="73"/>
  <c r="L66" i="71"/>
  <c r="L171" i="71" s="1"/>
  <c r="L218" i="71" s="1"/>
  <c r="L21" i="41" s="1"/>
  <c r="L274" i="83"/>
  <c r="Z282" i="73"/>
  <c r="Z45" i="74" s="1"/>
  <c r="Z90" i="74" s="1"/>
  <c r="Z212" i="73"/>
  <c r="AB257" i="73"/>
  <c r="AB25" i="41" s="1"/>
  <c r="M274" i="83"/>
  <c r="M66" i="71"/>
  <c r="M171" i="71" s="1"/>
  <c r="M218" i="71" s="1"/>
  <c r="M21" i="41" s="1"/>
  <c r="AO36" i="71"/>
  <c r="AO141" i="71" s="1"/>
  <c r="AO217" i="71" s="1"/>
  <c r="AO20" i="41" s="1"/>
  <c r="AO292" i="83"/>
  <c r="S275" i="83"/>
  <c r="S96" i="71"/>
  <c r="S201" i="71" s="1"/>
  <c r="S219" i="71" s="1"/>
  <c r="S22" i="41" s="1"/>
  <c r="R219" i="71"/>
  <c r="R22" i="41" s="1"/>
  <c r="O96" i="71"/>
  <c r="O201" i="71" s="1"/>
  <c r="O219" i="71" s="1"/>
  <c r="O22" i="41" s="1"/>
  <c r="O275" i="83"/>
  <c r="V36" i="71"/>
  <c r="V141" i="71" s="1"/>
  <c r="V217" i="71" s="1"/>
  <c r="V20" i="41" s="1"/>
  <c r="V292" i="83"/>
  <c r="Q285" i="73"/>
  <c r="Q48" i="74" s="1"/>
  <c r="Q93" i="74" s="1"/>
  <c r="Q123" i="74" s="1"/>
  <c r="Q215" i="73"/>
  <c r="Q278" i="73"/>
  <c r="Q41" i="74" s="1"/>
  <c r="Q86" i="74" s="1"/>
  <c r="Q116" i="74" s="1"/>
  <c r="Q208" i="73"/>
  <c r="T279" i="73"/>
  <c r="T42" i="74" s="1"/>
  <c r="T87" i="74" s="1"/>
  <c r="T209" i="73"/>
  <c r="R213" i="73"/>
  <c r="R283" i="73"/>
  <c r="R46" i="74" s="1"/>
  <c r="R91" i="74" s="1"/>
  <c r="R121" i="74" s="1"/>
  <c r="R153" i="74" s="1"/>
  <c r="X284" i="73"/>
  <c r="X47" i="74" s="1"/>
  <c r="X92" i="74" s="1"/>
  <c r="X214" i="73"/>
  <c r="Q26" i="65"/>
  <c r="Q84" i="65" s="1"/>
  <c r="Q95" i="65" s="1"/>
  <c r="Q51" i="105" s="1"/>
  <c r="Q88" i="105" s="1"/>
  <c r="AM250" i="72"/>
  <c r="AM26" i="41" s="1"/>
  <c r="J280" i="73"/>
  <c r="J43" i="74" s="1"/>
  <c r="J88" i="74" s="1"/>
  <c r="J210" i="73"/>
  <c r="O282" i="73"/>
  <c r="O45" i="74" s="1"/>
  <c r="O90" i="74" s="1"/>
  <c r="O212" i="73"/>
  <c r="AL250" i="72"/>
  <c r="AL26" i="41" s="1"/>
  <c r="R257" i="73"/>
  <c r="R25" i="41" s="1"/>
  <c r="J206" i="73"/>
  <c r="J276" i="73"/>
  <c r="J39" i="74" s="1"/>
  <c r="AE219" i="71"/>
  <c r="AE22" i="41" s="1"/>
  <c r="S66" i="71"/>
  <c r="S171" i="71" s="1"/>
  <c r="S218" i="71" s="1"/>
  <c r="S21" i="41" s="1"/>
  <c r="S274" i="83"/>
  <c r="Z218" i="71"/>
  <c r="Z21" i="41" s="1"/>
  <c r="AN218" i="71"/>
  <c r="AN21" i="41" s="1"/>
  <c r="AF218" i="71"/>
  <c r="AF21" i="41" s="1"/>
  <c r="R250" i="72"/>
  <c r="R26" i="41" s="1"/>
  <c r="U208" i="73"/>
  <c r="U278" i="73"/>
  <c r="U41" i="74" s="1"/>
  <c r="U86" i="74" s="1"/>
  <c r="W211" i="73"/>
  <c r="W281" i="73"/>
  <c r="W44" i="74" s="1"/>
  <c r="W89" i="74" s="1"/>
  <c r="K211" i="73"/>
  <c r="K281" i="73"/>
  <c r="K44" i="74" s="1"/>
  <c r="K89" i="74" s="1"/>
  <c r="U279" i="73"/>
  <c r="U42" i="74" s="1"/>
  <c r="U87" i="74" s="1"/>
  <c r="U209" i="73"/>
  <c r="W283" i="73"/>
  <c r="W46" i="74" s="1"/>
  <c r="W91" i="74" s="1"/>
  <c r="W213" i="73"/>
  <c r="X281" i="73"/>
  <c r="X44" i="74" s="1"/>
  <c r="X89" i="74" s="1"/>
  <c r="X211" i="73"/>
  <c r="Y212" i="73"/>
  <c r="Y282" i="73"/>
  <c r="Y45" i="74" s="1"/>
  <c r="Y90" i="74" s="1"/>
  <c r="L206" i="73"/>
  <c r="L276" i="73"/>
  <c r="L39" i="74" s="1"/>
  <c r="L84" i="74" s="1"/>
  <c r="L257" i="73"/>
  <c r="L25" i="41" s="1"/>
  <c r="X277" i="73"/>
  <c r="X40" i="74" s="1"/>
  <c r="X85" i="74" s="1"/>
  <c r="X207" i="73"/>
  <c r="K276" i="73"/>
  <c r="K39" i="74" s="1"/>
  <c r="K84" i="74" s="1"/>
  <c r="K206" i="73"/>
  <c r="Q280" i="73"/>
  <c r="Q43" i="74" s="1"/>
  <c r="Q88" i="74" s="1"/>
  <c r="Q118" i="74" s="1"/>
  <c r="Q210" i="73"/>
  <c r="S280" i="73"/>
  <c r="S43" i="74" s="1"/>
  <c r="S88" i="74" s="1"/>
  <c r="S210" i="73"/>
  <c r="AC250" i="72"/>
  <c r="AC26" i="41" s="1"/>
  <c r="K257" i="73"/>
  <c r="K25" i="41" s="1"/>
  <c r="R276" i="73"/>
  <c r="R39" i="74" s="1"/>
  <c r="R84" i="74" s="1"/>
  <c r="R114" i="74" s="1"/>
  <c r="R146" i="74" s="1"/>
  <c r="R206" i="73"/>
  <c r="M96" i="71"/>
  <c r="M201" i="71" s="1"/>
  <c r="M219" i="71" s="1"/>
  <c r="M22" i="41" s="1"/>
  <c r="M275" i="83"/>
  <c r="AK218" i="71"/>
  <c r="AK21" i="41" s="1"/>
  <c r="X250" i="72"/>
  <c r="X26" i="41" s="1"/>
  <c r="Y250" i="72"/>
  <c r="Y26" i="41" s="1"/>
  <c r="AI219" i="71"/>
  <c r="AI22" i="41" s="1"/>
  <c r="AI218" i="71"/>
  <c r="AI21" i="41" s="1"/>
  <c r="W215" i="73"/>
  <c r="W285" i="73"/>
  <c r="W48" i="74" s="1"/>
  <c r="W93" i="74" s="1"/>
  <c r="R278" i="73"/>
  <c r="R41" i="74" s="1"/>
  <c r="R86" i="74" s="1"/>
  <c r="R116" i="74" s="1"/>
  <c r="R148" i="74" s="1"/>
  <c r="R208" i="73"/>
  <c r="V281" i="73"/>
  <c r="V44" i="74" s="1"/>
  <c r="V89" i="74" s="1"/>
  <c r="V211" i="73"/>
  <c r="J209" i="73"/>
  <c r="J279" i="73"/>
  <c r="J42" i="74" s="1"/>
  <c r="J87" i="74" s="1"/>
  <c r="K283" i="73"/>
  <c r="K46" i="74" s="1"/>
  <c r="K91" i="74" s="1"/>
  <c r="K213" i="73"/>
  <c r="AB284" i="73"/>
  <c r="AB47" i="74" s="1"/>
  <c r="AB92" i="74" s="1"/>
  <c r="AB214" i="73"/>
  <c r="O285" i="73"/>
  <c r="O48" i="74" s="1"/>
  <c r="O93" i="74" s="1"/>
  <c r="O215" i="73"/>
  <c r="Z210" i="73"/>
  <c r="Z280" i="73"/>
  <c r="Z43" i="74" s="1"/>
  <c r="Z88" i="74" s="1"/>
  <c r="J282" i="73"/>
  <c r="J45" i="74" s="1"/>
  <c r="J90" i="74" s="1"/>
  <c r="J212" i="73"/>
  <c r="S212" i="73"/>
  <c r="S282" i="73"/>
  <c r="S45" i="74" s="1"/>
  <c r="S90" i="74" s="1"/>
  <c r="AI250" i="72"/>
  <c r="AI26" i="41" s="1"/>
  <c r="M257" i="73"/>
  <c r="M25" i="41" s="1"/>
  <c r="P276" i="73"/>
  <c r="P39" i="74" s="1"/>
  <c r="P84" i="74" s="1"/>
  <c r="P114" i="74" s="1"/>
  <c r="P146" i="74" s="1"/>
  <c r="P206" i="73"/>
  <c r="M292" i="83"/>
  <c r="M273" i="83"/>
  <c r="M36" i="71"/>
  <c r="M141" i="71" s="1"/>
  <c r="M217" i="71" s="1"/>
  <c r="M20" i="41" s="1"/>
  <c r="AC219" i="71"/>
  <c r="AC22" i="41" s="1"/>
  <c r="AN219" i="71"/>
  <c r="AN22" i="41" s="1"/>
  <c r="AB36" i="71"/>
  <c r="AB141" i="71" s="1"/>
  <c r="AB217" i="71" s="1"/>
  <c r="AB20" i="41" s="1"/>
  <c r="AB292" i="83"/>
  <c r="P219" i="71"/>
  <c r="P22" i="41" s="1"/>
  <c r="AC218" i="71"/>
  <c r="AC21" i="41" s="1"/>
  <c r="T208" i="73"/>
  <c r="T278" i="73"/>
  <c r="T41" i="74" s="1"/>
  <c r="T86" i="74" s="1"/>
  <c r="Q281" i="73"/>
  <c r="Q44" i="74" s="1"/>
  <c r="Q89" i="74" s="1"/>
  <c r="Q119" i="74" s="1"/>
  <c r="Q211" i="73"/>
  <c r="W279" i="73"/>
  <c r="W42" i="74" s="1"/>
  <c r="W87" i="74" s="1"/>
  <c r="W209" i="73"/>
  <c r="Z283" i="73"/>
  <c r="Z46" i="74" s="1"/>
  <c r="Z91" i="74" s="1"/>
  <c r="Z213" i="73"/>
  <c r="Q283" i="73"/>
  <c r="Q46" i="74" s="1"/>
  <c r="Q91" i="74" s="1"/>
  <c r="Q121" i="74" s="1"/>
  <c r="Q213" i="73"/>
  <c r="J284" i="73"/>
  <c r="J47" i="74" s="1"/>
  <c r="J92" i="74" s="1"/>
  <c r="J214" i="73"/>
  <c r="P208" i="73"/>
  <c r="P278" i="73"/>
  <c r="P41" i="74" s="1"/>
  <c r="P86" i="74" s="1"/>
  <c r="P116" i="74" s="1"/>
  <c r="P148" i="74" s="1"/>
  <c r="M213" i="73"/>
  <c r="M283" i="73"/>
  <c r="M46" i="74" s="1"/>
  <c r="M91" i="74" s="1"/>
  <c r="AG36" i="71"/>
  <c r="AG141" i="71" s="1"/>
  <c r="AG217" i="71" s="1"/>
  <c r="AG20" i="41" s="1"/>
  <c r="AG292" i="83"/>
  <c r="AF250" i="72"/>
  <c r="AF26" i="41" s="1"/>
  <c r="L275" i="83"/>
  <c r="L96" i="71"/>
  <c r="L201" i="71" s="1"/>
  <c r="L219" i="71" s="1"/>
  <c r="L22" i="41" s="1"/>
  <c r="X36" i="71"/>
  <c r="X141" i="71" s="1"/>
  <c r="X217" i="71" s="1"/>
  <c r="X20" i="41" s="1"/>
  <c r="X292" i="83"/>
  <c r="J96" i="71"/>
  <c r="J201" i="71" s="1"/>
  <c r="J219" i="71" s="1"/>
  <c r="J22" i="41" s="1"/>
  <c r="J275" i="83"/>
  <c r="V218" i="71"/>
  <c r="V21" i="41" s="1"/>
  <c r="AM36" i="71"/>
  <c r="AM141" i="71" s="1"/>
  <c r="AM217" i="71" s="1"/>
  <c r="AM20" i="41" s="1"/>
  <c r="AM292" i="83"/>
  <c r="O250" i="72"/>
  <c r="O26" i="41" s="1"/>
  <c r="S208" i="73"/>
  <c r="S278" i="73"/>
  <c r="S41" i="74" s="1"/>
  <c r="S86" i="74" s="1"/>
  <c r="O281" i="73"/>
  <c r="O44" i="74" s="1"/>
  <c r="O89" i="74" s="1"/>
  <c r="O211" i="73"/>
  <c r="V206" i="73"/>
  <c r="V276" i="73"/>
  <c r="V39" i="74" s="1"/>
  <c r="V84" i="74" s="1"/>
  <c r="K284" i="73"/>
  <c r="K47" i="74" s="1"/>
  <c r="K92" i="74" s="1"/>
  <c r="K214" i="73"/>
  <c r="AB280" i="73"/>
  <c r="AB43" i="74" s="1"/>
  <c r="AB88" i="74" s="1"/>
  <c r="AB210" i="73"/>
  <c r="N276" i="73"/>
  <c r="N39" i="74" s="1"/>
  <c r="N84" i="74" s="1"/>
  <c r="N206" i="73"/>
  <c r="W212" i="73"/>
  <c r="W282" i="73"/>
  <c r="W45" i="74" s="1"/>
  <c r="W90" i="74" s="1"/>
  <c r="Q282" i="73"/>
  <c r="Q45" i="74" s="1"/>
  <c r="Q90" i="74" s="1"/>
  <c r="Q120" i="74" s="1"/>
  <c r="Q212" i="73"/>
  <c r="AE250" i="72"/>
  <c r="AE26" i="41" s="1"/>
  <c r="P257" i="73"/>
  <c r="P25" i="41" s="1"/>
  <c r="T206" i="73"/>
  <c r="T276" i="73"/>
  <c r="T39" i="74" s="1"/>
  <c r="T84" i="74" s="1"/>
  <c r="Y218" i="71"/>
  <c r="Y21" i="41" s="1"/>
  <c r="AA218" i="71"/>
  <c r="AA21" i="41" s="1"/>
  <c r="AJ36" i="71"/>
  <c r="AJ141" i="71" s="1"/>
  <c r="AJ217" i="71" s="1"/>
  <c r="AJ20" i="41" s="1"/>
  <c r="AJ292" i="83"/>
  <c r="AM218" i="71"/>
  <c r="AM21" i="41" s="1"/>
  <c r="W250" i="72"/>
  <c r="W26" i="41" s="1"/>
  <c r="M278" i="73"/>
  <c r="M41" i="74" s="1"/>
  <c r="M86" i="74" s="1"/>
  <c r="M208" i="73"/>
  <c r="N278" i="73"/>
  <c r="N41" i="74" s="1"/>
  <c r="N86" i="74" s="1"/>
  <c r="N208" i="73"/>
  <c r="L281" i="73"/>
  <c r="L44" i="74" s="1"/>
  <c r="L89" i="74" s="1"/>
  <c r="L211" i="73"/>
  <c r="AA213" i="73"/>
  <c r="AA283" i="73"/>
  <c r="AA46" i="74" s="1"/>
  <c r="AA91" i="74" s="1"/>
  <c r="Q22" i="65"/>
  <c r="Q80" i="65" s="1"/>
  <c r="Q91" i="65" s="1"/>
  <c r="Q47" i="105" s="1"/>
  <c r="Q84" i="105" s="1"/>
  <c r="R207" i="73"/>
  <c r="R277" i="73"/>
  <c r="R40" i="74" s="1"/>
  <c r="R85" i="74" s="1"/>
  <c r="R115" i="74" s="1"/>
  <c r="R147" i="74" s="1"/>
  <c r="X257" i="73"/>
  <c r="X25" i="41" s="1"/>
  <c r="N66" i="71"/>
  <c r="N171" i="71" s="1"/>
  <c r="N218" i="71" s="1"/>
  <c r="N21" i="41" s="1"/>
  <c r="N274" i="83"/>
  <c r="T275" i="83"/>
  <c r="T96" i="71"/>
  <c r="T201" i="71" s="1"/>
  <c r="T219" i="71" s="1"/>
  <c r="T22" i="41" s="1"/>
  <c r="AA36" i="71"/>
  <c r="AA141" i="71" s="1"/>
  <c r="AA217" i="71" s="1"/>
  <c r="AA20" i="41" s="1"/>
  <c r="AA292" i="83"/>
  <c r="AF219" i="71"/>
  <c r="AF22" i="41" s="1"/>
  <c r="AB218" i="71"/>
  <c r="AB21" i="41" s="1"/>
  <c r="AE218" i="71"/>
  <c r="AE21" i="41" s="1"/>
  <c r="AB215" i="73"/>
  <c r="AB285" i="73"/>
  <c r="AB48" i="74" s="1"/>
  <c r="AB93" i="74" s="1"/>
  <c r="W278" i="73"/>
  <c r="W41" i="74" s="1"/>
  <c r="W86" i="74" s="1"/>
  <c r="W208" i="73"/>
  <c r="AB281" i="73"/>
  <c r="AB44" i="74" s="1"/>
  <c r="AB89" i="74" s="1"/>
  <c r="AB211" i="73"/>
  <c r="S209" i="73"/>
  <c r="S279" i="73"/>
  <c r="S42" i="74" s="1"/>
  <c r="S87" i="74" s="1"/>
  <c r="AB207" i="73"/>
  <c r="AB277" i="73"/>
  <c r="AB40" i="74" s="1"/>
  <c r="AB85" i="74" s="1"/>
  <c r="Q36" i="71"/>
  <c r="Q141" i="71" s="1"/>
  <c r="Q217" i="71" s="1"/>
  <c r="Q20" i="41" s="1"/>
  <c r="Q292" i="83"/>
  <c r="Y214" i="73"/>
  <c r="Y284" i="73"/>
  <c r="Y47" i="74" s="1"/>
  <c r="Y92" i="74" s="1"/>
  <c r="U280" i="73"/>
  <c r="U43" i="74" s="1"/>
  <c r="U88" i="74" s="1"/>
  <c r="U210" i="73"/>
  <c r="J257" i="73"/>
  <c r="J25" i="41" s="1"/>
  <c r="N280" i="73"/>
  <c r="N43" i="74" s="1"/>
  <c r="N88" i="74" s="1"/>
  <c r="N210" i="73"/>
  <c r="AD250" i="72"/>
  <c r="AD26" i="41" s="1"/>
  <c r="V212" i="73"/>
  <c r="V282" i="73"/>
  <c r="V45" i="74" s="1"/>
  <c r="V90" i="74" s="1"/>
  <c r="U207" i="73"/>
  <c r="U277" i="73"/>
  <c r="U40" i="74" s="1"/>
  <c r="U85" i="74" s="1"/>
  <c r="W207" i="73"/>
  <c r="W277" i="73"/>
  <c r="W40" i="74" s="1"/>
  <c r="W85" i="74" s="1"/>
  <c r="AP250" i="72"/>
  <c r="AP26" i="41" s="1"/>
  <c r="T257" i="73"/>
  <c r="T25" i="41" s="1"/>
  <c r="T292" i="83"/>
  <c r="T273" i="83"/>
  <c r="T36" i="71"/>
  <c r="T141" i="71" s="1"/>
  <c r="T217" i="71" s="1"/>
  <c r="T20" i="41" s="1"/>
  <c r="Y36" i="71"/>
  <c r="Y141" i="71" s="1"/>
  <c r="Y217" i="71" s="1"/>
  <c r="Y20" i="41" s="1"/>
  <c r="Y292" i="83"/>
  <c r="J250" i="72"/>
  <c r="J26" i="41" s="1"/>
  <c r="V219" i="71"/>
  <c r="V22" i="41" s="1"/>
  <c r="L285" i="73"/>
  <c r="L48" i="74" s="1"/>
  <c r="L93" i="74" s="1"/>
  <c r="L215" i="73"/>
  <c r="Z208" i="73"/>
  <c r="Z278" i="73"/>
  <c r="Z41" i="74" s="1"/>
  <c r="Z86" i="74" s="1"/>
  <c r="N209" i="73"/>
  <c r="N279" i="73"/>
  <c r="N42" i="74" s="1"/>
  <c r="N87" i="74" s="1"/>
  <c r="P213" i="73"/>
  <c r="P283" i="73"/>
  <c r="P46" i="74" s="1"/>
  <c r="P91" i="74" s="1"/>
  <c r="P121" i="74" s="1"/>
  <c r="P153" i="74" s="1"/>
  <c r="R214" i="73"/>
  <c r="R284" i="73"/>
  <c r="R47" i="74" s="1"/>
  <c r="R92" i="74" s="1"/>
  <c r="R122" i="74" s="1"/>
  <c r="R154" i="74" s="1"/>
  <c r="AA280" i="73"/>
  <c r="AA43" i="74" s="1"/>
  <c r="AA88" i="74" s="1"/>
  <c r="AA210" i="73"/>
  <c r="X210" i="73"/>
  <c r="X280" i="73"/>
  <c r="X43" i="74" s="1"/>
  <c r="X88" i="74" s="1"/>
  <c r="L280" i="73"/>
  <c r="L43" i="74" s="1"/>
  <c r="L88" i="74" s="1"/>
  <c r="L210" i="73"/>
  <c r="AK36" i="71"/>
  <c r="AK141" i="71" s="1"/>
  <c r="AK217" i="71" s="1"/>
  <c r="AK20" i="41" s="1"/>
  <c r="AK292" i="83"/>
  <c r="AN36" i="71"/>
  <c r="AN141" i="71" s="1"/>
  <c r="AN217" i="71" s="1"/>
  <c r="AN20" i="41" s="1"/>
  <c r="AN292" i="83"/>
  <c r="AL36" i="71"/>
  <c r="AL141" i="71" s="1"/>
  <c r="AL217" i="71" s="1"/>
  <c r="AL20" i="41" s="1"/>
  <c r="AL292" i="83"/>
  <c r="P215" i="73"/>
  <c r="P285" i="73"/>
  <c r="P48" i="74" s="1"/>
  <c r="P93" i="74" s="1"/>
  <c r="P123" i="74" s="1"/>
  <c r="P155" i="74" s="1"/>
  <c r="AB278" i="73"/>
  <c r="AB41" i="74" s="1"/>
  <c r="AB86" i="74" s="1"/>
  <c r="AB208" i="73"/>
  <c r="J281" i="73"/>
  <c r="J44" i="74" s="1"/>
  <c r="J89" i="74" s="1"/>
  <c r="J211" i="73"/>
  <c r="AB279" i="73"/>
  <c r="AB42" i="74" s="1"/>
  <c r="AB87" i="74" s="1"/>
  <c r="AB209" i="73"/>
  <c r="V213" i="73"/>
  <c r="V283" i="73"/>
  <c r="V46" i="74" s="1"/>
  <c r="V91" i="74" s="1"/>
  <c r="N213" i="73"/>
  <c r="N283" i="73"/>
  <c r="N46" i="74" s="1"/>
  <c r="N91" i="74" s="1"/>
  <c r="V284" i="73"/>
  <c r="V47" i="74" s="1"/>
  <c r="V92" i="74" s="1"/>
  <c r="V214" i="73"/>
  <c r="J36" i="71"/>
  <c r="J292" i="83"/>
  <c r="J273" i="83"/>
  <c r="T284" i="73"/>
  <c r="T47" i="74" s="1"/>
  <c r="T92" i="74" s="1"/>
  <c r="T214" i="73"/>
  <c r="AH250" i="72"/>
  <c r="AH26" i="41" s="1"/>
  <c r="R210" i="73"/>
  <c r="R280" i="73"/>
  <c r="R43" i="74" s="1"/>
  <c r="R88" i="74" s="1"/>
  <c r="R118" i="74" s="1"/>
  <c r="R150" i="74" s="1"/>
  <c r="N282" i="73"/>
  <c r="N45" i="74" s="1"/>
  <c r="N90" i="74" s="1"/>
  <c r="N212" i="73"/>
  <c r="S207" i="73"/>
  <c r="S277" i="73"/>
  <c r="S40" i="74" s="1"/>
  <c r="S85" i="74" s="1"/>
  <c r="AJ250" i="72"/>
  <c r="AJ26" i="41" s="1"/>
  <c r="U218" i="71"/>
  <c r="U21" i="41" s="1"/>
  <c r="AG218" i="71"/>
  <c r="AG21" i="41" s="1"/>
  <c r="Z250" i="72"/>
  <c r="Z26" i="41" s="1"/>
  <c r="AP219" i="71"/>
  <c r="AP22" i="41" s="1"/>
  <c r="AL218" i="71"/>
  <c r="AL21" i="41" s="1"/>
  <c r="T285" i="73"/>
  <c r="T48" i="74" s="1"/>
  <c r="T93" i="74" s="1"/>
  <c r="T215" i="73"/>
  <c r="N211" i="73"/>
  <c r="N281" i="73"/>
  <c r="N44" i="74" s="1"/>
  <c r="N89" i="74" s="1"/>
  <c r="X213" i="73"/>
  <c r="X283" i="73"/>
  <c r="X46" i="74" s="1"/>
  <c r="X91" i="74" s="1"/>
  <c r="Q214" i="73"/>
  <c r="Q284" i="73"/>
  <c r="Q47" i="74" s="1"/>
  <c r="Q92" i="74" s="1"/>
  <c r="Q122" i="74" s="1"/>
  <c r="U284" i="73"/>
  <c r="U47" i="74" s="1"/>
  <c r="U92" i="74" s="1"/>
  <c r="U214" i="73"/>
  <c r="Y208" i="73"/>
  <c r="Y278" i="73"/>
  <c r="Y41" i="74" s="1"/>
  <c r="Y86" i="74" s="1"/>
  <c r="AB282" i="73"/>
  <c r="AB45" i="74" s="1"/>
  <c r="AB90" i="74" s="1"/>
  <c r="AB212" i="73"/>
  <c r="Y206" i="73"/>
  <c r="Y276" i="73"/>
  <c r="Y39" i="74" s="1"/>
  <c r="Y84" i="74" s="1"/>
  <c r="AO250" i="72"/>
  <c r="AO26" i="41" s="1"/>
  <c r="AA250" i="72"/>
  <c r="AA26" i="41" s="1"/>
  <c r="AH218" i="71"/>
  <c r="AH21" i="41" s="1"/>
  <c r="P250" i="72"/>
  <c r="P26" i="41" s="1"/>
  <c r="M215" i="73"/>
  <c r="M285" i="73"/>
  <c r="M48" i="74" s="1"/>
  <c r="M93" i="74" s="1"/>
  <c r="J208" i="73"/>
  <c r="J278" i="73"/>
  <c r="J41" i="74" s="1"/>
  <c r="J86" i="74" s="1"/>
  <c r="M281" i="73"/>
  <c r="M44" i="74" s="1"/>
  <c r="M89" i="74" s="1"/>
  <c r="M211" i="73"/>
  <c r="U211" i="73"/>
  <c r="U281" i="73"/>
  <c r="U44" i="74" s="1"/>
  <c r="U89" i="74" s="1"/>
  <c r="Q279" i="73"/>
  <c r="Q42" i="74" s="1"/>
  <c r="Q87" i="74" s="1"/>
  <c r="Q117" i="74" s="1"/>
  <c r="Q209" i="73"/>
  <c r="Y213" i="73"/>
  <c r="Y283" i="73"/>
  <c r="Y46" i="74" s="1"/>
  <c r="Y91" i="74" s="1"/>
  <c r="N214" i="73"/>
  <c r="N284" i="73"/>
  <c r="N47" i="74" s="1"/>
  <c r="N92" i="74" s="1"/>
  <c r="S50" i="41" l="1"/>
  <c r="AO146" i="41"/>
  <c r="Q69" i="41"/>
  <c r="AX96" i="41" s="1"/>
  <c r="AA25" i="65"/>
  <c r="AA83" i="65" s="1"/>
  <c r="AA94" i="65" s="1"/>
  <c r="AA50" i="105" s="1"/>
  <c r="AA87" i="105" s="1"/>
  <c r="AO70" i="41"/>
  <c r="DC96" i="41" s="1"/>
  <c r="S25" i="65"/>
  <c r="S83" i="65" s="1"/>
  <c r="S94" i="65" s="1"/>
  <c r="S103" i="65" s="1"/>
  <c r="S59" i="105" s="1"/>
  <c r="AA149" i="41"/>
  <c r="Q46" i="41"/>
  <c r="Q47" i="41"/>
  <c r="Q51" i="41"/>
  <c r="Q146" i="41"/>
  <c r="AD145" i="41"/>
  <c r="Z50" i="41"/>
  <c r="Z25" i="65"/>
  <c r="Z83" i="65" s="1"/>
  <c r="Z94" i="65" s="1"/>
  <c r="Z103" i="65" s="1"/>
  <c r="Z59" i="105" s="1"/>
  <c r="AD21" i="65"/>
  <c r="AD79" i="65" s="1"/>
  <c r="AD90" i="65" s="1"/>
  <c r="AD108" i="65" s="1"/>
  <c r="AD64" i="105" s="1"/>
  <c r="AD103" i="105" s="1"/>
  <c r="H254" i="72" a="1"/>
  <c r="H254" i="72" s="1"/>
  <c r="A4" i="72" s="1"/>
  <c r="W21" i="65"/>
  <c r="K276" i="83"/>
  <c r="R161" i="74"/>
  <c r="R23" i="41" s="1"/>
  <c r="P161" i="74"/>
  <c r="P23" i="41" s="1"/>
  <c r="W46" i="41"/>
  <c r="Q50" i="41"/>
  <c r="Q149" i="41"/>
  <c r="J276" i="83"/>
  <c r="T276" i="83"/>
  <c r="H285" i="83" s="1"/>
  <c r="Y256" i="73"/>
  <c r="Y24" i="41" s="1"/>
  <c r="Y49" i="41" s="1"/>
  <c r="R256" i="73"/>
  <c r="R24" i="41" s="1"/>
  <c r="R148" i="41" s="1"/>
  <c r="AD69" i="41"/>
  <c r="BK96" i="41" s="1"/>
  <c r="AB256" i="73"/>
  <c r="AB24" i="41" s="1"/>
  <c r="AB148" i="41" s="1"/>
  <c r="X256" i="73"/>
  <c r="X24" i="41" s="1"/>
  <c r="X24" i="65" s="1"/>
  <c r="X82" i="65" s="1"/>
  <c r="X93" i="65" s="1"/>
  <c r="Z150" i="41"/>
  <c r="Z51" i="41"/>
  <c r="Z26" i="65"/>
  <c r="Z84" i="65" s="1"/>
  <c r="Z95" i="65" s="1"/>
  <c r="M149" i="41"/>
  <c r="M50" i="41"/>
  <c r="M25" i="65"/>
  <c r="M83" i="65" s="1"/>
  <c r="M94" i="65" s="1"/>
  <c r="AI69" i="41"/>
  <c r="BP96" i="41" s="1"/>
  <c r="AI46" i="41"/>
  <c r="AI21" i="65"/>
  <c r="AI79" i="65" s="1"/>
  <c r="AI90" i="65" s="1"/>
  <c r="AI145" i="41"/>
  <c r="R25" i="65"/>
  <c r="R83" i="65" s="1"/>
  <c r="R94" i="65" s="1"/>
  <c r="R50" i="105" s="1"/>
  <c r="R87" i="105" s="1"/>
  <c r="R50" i="41"/>
  <c r="R149" i="41"/>
  <c r="R22" i="65"/>
  <c r="R80" i="65" s="1"/>
  <c r="R91" i="65" s="1"/>
  <c r="R47" i="105" s="1"/>
  <c r="R84" i="105" s="1"/>
  <c r="R70" i="41"/>
  <c r="CF96" i="41" s="1"/>
  <c r="R47" i="41"/>
  <c r="R146" i="41"/>
  <c r="M51" i="41"/>
  <c r="M150" i="41"/>
  <c r="M26" i="65"/>
  <c r="M84" i="65" s="1"/>
  <c r="M95" i="65" s="1"/>
  <c r="O20" i="65"/>
  <c r="O45" i="41"/>
  <c r="O68" i="41"/>
  <c r="O96" i="41" s="1"/>
  <c r="AG70" i="41"/>
  <c r="CU96" i="41" s="1"/>
  <c r="AG47" i="41"/>
  <c r="AG146" i="41"/>
  <c r="AG22" i="65"/>
  <c r="AG80" i="65" s="1"/>
  <c r="AG91" i="65" s="1"/>
  <c r="U50" i="41"/>
  <c r="U149" i="41"/>
  <c r="U25" i="65"/>
  <c r="U83" i="65" s="1"/>
  <c r="U94" i="65" s="1"/>
  <c r="AG46" i="41"/>
  <c r="AG21" i="65"/>
  <c r="AG79" i="65" s="1"/>
  <c r="AG90" i="65" s="1"/>
  <c r="AG145" i="41"/>
  <c r="AG69" i="41"/>
  <c r="BN96" i="41" s="1"/>
  <c r="AD26" i="65"/>
  <c r="AD84" i="65" s="1"/>
  <c r="AD95" i="65" s="1"/>
  <c r="AD150" i="41"/>
  <c r="AD51" i="41"/>
  <c r="X119" i="74"/>
  <c r="X151" i="74" s="1"/>
  <c r="AH119" i="74"/>
  <c r="AH151" i="74" s="1"/>
  <c r="L119" i="74"/>
  <c r="L151" i="74" s="1"/>
  <c r="AD119" i="74"/>
  <c r="AD151" i="74" s="1"/>
  <c r="Y119" i="74"/>
  <c r="Y151" i="74" s="1"/>
  <c r="AG119" i="74"/>
  <c r="AG151" i="74" s="1"/>
  <c r="AA119" i="74"/>
  <c r="AA151" i="74" s="1"/>
  <c r="AJ119" i="74"/>
  <c r="AJ151" i="74" s="1"/>
  <c r="AC119" i="74"/>
  <c r="AC151" i="74" s="1"/>
  <c r="W119" i="74"/>
  <c r="W151" i="74" s="1"/>
  <c r="AO119" i="74"/>
  <c r="AO151" i="74" s="1"/>
  <c r="V119" i="74"/>
  <c r="V151" i="74" s="1"/>
  <c r="O119" i="74"/>
  <c r="O151" i="74" s="1"/>
  <c r="AE119" i="74"/>
  <c r="AE151" i="74" s="1"/>
  <c r="U119" i="74"/>
  <c r="U151" i="74" s="1"/>
  <c r="AM119" i="74"/>
  <c r="AM151" i="74" s="1"/>
  <c r="AK119" i="74"/>
  <c r="AK151" i="74" s="1"/>
  <c r="AI119" i="74"/>
  <c r="AI151" i="74" s="1"/>
  <c r="AP119" i="74"/>
  <c r="AP151" i="74" s="1"/>
  <c r="AF119" i="74"/>
  <c r="AF151" i="74" s="1"/>
  <c r="AN119" i="74"/>
  <c r="AN151" i="74" s="1"/>
  <c r="AL119" i="74"/>
  <c r="AL151" i="74" s="1"/>
  <c r="Z119" i="74"/>
  <c r="Z151" i="74" s="1"/>
  <c r="AB119" i="74"/>
  <c r="AB151" i="74" s="1"/>
  <c r="AI51" i="41"/>
  <c r="AI26" i="65"/>
  <c r="AI84" i="65" s="1"/>
  <c r="AI95" i="65" s="1"/>
  <c r="AI150" i="41"/>
  <c r="AI70" i="41"/>
  <c r="CW96" i="41" s="1"/>
  <c r="AI47" i="41"/>
  <c r="AI146" i="41"/>
  <c r="AI22" i="65"/>
  <c r="AI80" i="65" s="1"/>
  <c r="AI91" i="65" s="1"/>
  <c r="AL26" i="65"/>
  <c r="AL84" i="65" s="1"/>
  <c r="AL95" i="65" s="1"/>
  <c r="AL51" i="105" s="1"/>
  <c r="AL88" i="105" s="1"/>
  <c r="AL51" i="41"/>
  <c r="AL150" i="41"/>
  <c r="S22" i="65"/>
  <c r="S70" i="41"/>
  <c r="CG96" i="41" s="1"/>
  <c r="S47" i="41"/>
  <c r="Y47" i="41"/>
  <c r="Y146" i="41"/>
  <c r="Y22" i="65"/>
  <c r="Y80" i="65" s="1"/>
  <c r="Y91" i="65" s="1"/>
  <c r="Y70" i="41"/>
  <c r="CM96" i="41" s="1"/>
  <c r="AH144" i="41"/>
  <c r="AH68" i="41"/>
  <c r="AH96" i="41" s="1"/>
  <c r="AH45" i="41"/>
  <c r="AH20" i="65"/>
  <c r="AH78" i="65" s="1"/>
  <c r="AH89" i="65" s="1"/>
  <c r="AH45" i="105" s="1"/>
  <c r="AH82" i="105" s="1"/>
  <c r="AH70" i="41"/>
  <c r="CV96" i="41" s="1"/>
  <c r="AH146" i="41"/>
  <c r="AH47" i="41"/>
  <c r="AH22" i="65"/>
  <c r="AH80" i="65" s="1"/>
  <c r="AH91" i="65" s="1"/>
  <c r="AH47" i="105" s="1"/>
  <c r="AH84" i="105" s="1"/>
  <c r="K26" i="65"/>
  <c r="K84" i="65" s="1"/>
  <c r="K95" i="65" s="1"/>
  <c r="K51" i="41"/>
  <c r="K150" i="41"/>
  <c r="R69" i="41"/>
  <c r="AY96" i="41" s="1"/>
  <c r="R21" i="65"/>
  <c r="R46" i="41"/>
  <c r="O145" i="41"/>
  <c r="O21" i="65"/>
  <c r="O79" i="65" s="1"/>
  <c r="O90" i="65" s="1"/>
  <c r="O69" i="41"/>
  <c r="AV96" i="41" s="1"/>
  <c r="O46" i="41"/>
  <c r="S256" i="73"/>
  <c r="S24" i="41" s="1"/>
  <c r="U21" i="65"/>
  <c r="U69" i="41"/>
  <c r="BB96" i="41" s="1"/>
  <c r="U46" i="41"/>
  <c r="N122" i="74"/>
  <c r="N154" i="74" s="1"/>
  <c r="S122" i="74"/>
  <c r="S154" i="74" s="1"/>
  <c r="T122" i="74"/>
  <c r="T154" i="74" s="1"/>
  <c r="M122" i="74"/>
  <c r="M154" i="74" s="1"/>
  <c r="J122" i="74"/>
  <c r="J154" i="74" s="1"/>
  <c r="K122" i="74"/>
  <c r="K154" i="74" s="1"/>
  <c r="T26" i="65"/>
  <c r="T84" i="65" s="1"/>
  <c r="T95" i="65" s="1"/>
  <c r="T150" i="41"/>
  <c r="T51" i="41"/>
  <c r="AJ146" i="41"/>
  <c r="AJ70" i="41"/>
  <c r="CX96" i="41" s="1"/>
  <c r="AJ22" i="65"/>
  <c r="AJ80" i="65" s="1"/>
  <c r="AJ91" i="65" s="1"/>
  <c r="AJ47" i="105" s="1"/>
  <c r="AJ84" i="105" s="1"/>
  <c r="AJ47" i="41"/>
  <c r="AO46" i="41"/>
  <c r="AO69" i="41"/>
  <c r="BV96" i="41" s="1"/>
  <c r="AO21" i="65"/>
  <c r="AO79" i="65" s="1"/>
  <c r="AO90" i="65" s="1"/>
  <c r="AO145" i="41"/>
  <c r="X70" i="41"/>
  <c r="CL96" i="41" s="1"/>
  <c r="X146" i="41"/>
  <c r="X22" i="65"/>
  <c r="X80" i="65" s="1"/>
  <c r="X91" i="65" s="1"/>
  <c r="X47" i="41"/>
  <c r="AF115" i="74"/>
  <c r="AF147" i="74" s="1"/>
  <c r="X115" i="74"/>
  <c r="X147" i="74" s="1"/>
  <c r="W115" i="74"/>
  <c r="W147" i="74" s="1"/>
  <c r="AL115" i="74"/>
  <c r="AL147" i="74" s="1"/>
  <c r="AC115" i="74"/>
  <c r="AC147" i="74" s="1"/>
  <c r="V115" i="74"/>
  <c r="V147" i="74" s="1"/>
  <c r="AO115" i="74"/>
  <c r="AO147" i="74" s="1"/>
  <c r="AG115" i="74"/>
  <c r="AG147" i="74" s="1"/>
  <c r="AM115" i="74"/>
  <c r="AM147" i="74" s="1"/>
  <c r="AK115" i="74"/>
  <c r="AK147" i="74" s="1"/>
  <c r="AH115" i="74"/>
  <c r="AH147" i="74" s="1"/>
  <c r="L115" i="74"/>
  <c r="L147" i="74" s="1"/>
  <c r="Y115" i="74"/>
  <c r="Y147" i="74" s="1"/>
  <c r="AP115" i="74"/>
  <c r="AP147" i="74" s="1"/>
  <c r="AE115" i="74"/>
  <c r="AE147" i="74" s="1"/>
  <c r="U115" i="74"/>
  <c r="U147" i="74" s="1"/>
  <c r="AN115" i="74"/>
  <c r="AN147" i="74" s="1"/>
  <c r="AA115" i="74"/>
  <c r="AA147" i="74" s="1"/>
  <c r="AB115" i="74"/>
  <c r="AB147" i="74" s="1"/>
  <c r="O115" i="74"/>
  <c r="O147" i="74" s="1"/>
  <c r="Z115" i="74"/>
  <c r="Z147" i="74" s="1"/>
  <c r="AJ115" i="74"/>
  <c r="AJ147" i="74" s="1"/>
  <c r="AD115" i="74"/>
  <c r="AD147" i="74" s="1"/>
  <c r="AI115" i="74"/>
  <c r="AI147" i="74" s="1"/>
  <c r="AN51" i="41"/>
  <c r="AN150" i="41"/>
  <c r="AN26" i="65"/>
  <c r="AN84" i="65" s="1"/>
  <c r="AN95" i="65" s="1"/>
  <c r="AN51" i="105" s="1"/>
  <c r="AN88" i="105" s="1"/>
  <c r="Y150" i="41"/>
  <c r="Y26" i="65"/>
  <c r="Y84" i="65" s="1"/>
  <c r="Y95" i="65" s="1"/>
  <c r="Y51" i="41"/>
  <c r="AH145" i="41"/>
  <c r="AH46" i="41"/>
  <c r="AH69" i="41"/>
  <c r="BO96" i="41" s="1"/>
  <c r="AH21" i="65"/>
  <c r="AH79" i="65" s="1"/>
  <c r="AH90" i="65" s="1"/>
  <c r="AH46" i="105" s="1"/>
  <c r="AH83" i="105" s="1"/>
  <c r="V256" i="73"/>
  <c r="V24" i="41" s="1"/>
  <c r="X26" i="65"/>
  <c r="X84" i="65" s="1"/>
  <c r="X95" i="65" s="1"/>
  <c r="X150" i="41"/>
  <c r="X51" i="41"/>
  <c r="U256" i="73"/>
  <c r="U24" i="41" s="1"/>
  <c r="S119" i="74"/>
  <c r="S151" i="74" s="1"/>
  <c r="N119" i="74"/>
  <c r="N151" i="74" s="1"/>
  <c r="M119" i="74"/>
  <c r="M151" i="74" s="1"/>
  <c r="J119" i="74"/>
  <c r="J151" i="74" s="1"/>
  <c r="K119" i="74"/>
  <c r="K151" i="74" s="1"/>
  <c r="T119" i="74"/>
  <c r="T151" i="74" s="1"/>
  <c r="AK21" i="65"/>
  <c r="AK79" i="65" s="1"/>
  <c r="AK90" i="65" s="1"/>
  <c r="AK69" i="41"/>
  <c r="BR96" i="41" s="1"/>
  <c r="AK46" i="41"/>
  <c r="AK145" i="41"/>
  <c r="AO68" i="41"/>
  <c r="AO96" i="41" s="1"/>
  <c r="AO20" i="65"/>
  <c r="AO78" i="65" s="1"/>
  <c r="AO89" i="65" s="1"/>
  <c r="AO45" i="41"/>
  <c r="AO144" i="41"/>
  <c r="R20" i="65"/>
  <c r="R68" i="41"/>
  <c r="R96" i="41" s="1"/>
  <c r="R45" i="41"/>
  <c r="M256" i="73"/>
  <c r="M24" i="41" s="1"/>
  <c r="AO47" i="105"/>
  <c r="AO84" i="105" s="1"/>
  <c r="AO109" i="65"/>
  <c r="AO65" i="105" s="1"/>
  <c r="U45" i="41"/>
  <c r="U20" i="65"/>
  <c r="U68" i="41"/>
  <c r="U96" i="41" s="1"/>
  <c r="Y149" i="41"/>
  <c r="Y25" i="65"/>
  <c r="Y83" i="65" s="1"/>
  <c r="Y94" i="65" s="1"/>
  <c r="Y50" i="41"/>
  <c r="P45" i="41"/>
  <c r="P20" i="65"/>
  <c r="P68" i="41"/>
  <c r="P96" i="41" s="1"/>
  <c r="T115" i="74"/>
  <c r="T147" i="74" s="1"/>
  <c r="J115" i="74"/>
  <c r="J147" i="74" s="1"/>
  <c r="N115" i="74"/>
  <c r="N147" i="74" s="1"/>
  <c r="K115" i="74"/>
  <c r="K147" i="74" s="1"/>
  <c r="M115" i="74"/>
  <c r="M147" i="74" s="1"/>
  <c r="S115" i="74"/>
  <c r="S147" i="74" s="1"/>
  <c r="J149" i="41"/>
  <c r="J25" i="65"/>
  <c r="J83" i="65" s="1"/>
  <c r="J94" i="65" s="1"/>
  <c r="J50" i="41"/>
  <c r="AO150" i="41"/>
  <c r="AO51" i="41"/>
  <c r="AO26" i="65"/>
  <c r="AO84" i="65" s="1"/>
  <c r="AO95" i="65" s="1"/>
  <c r="T120" i="74"/>
  <c r="T152" i="74" s="1"/>
  <c r="M120" i="74"/>
  <c r="M152" i="74" s="1"/>
  <c r="S120" i="74"/>
  <c r="S152" i="74" s="1"/>
  <c r="J120" i="74"/>
  <c r="J152" i="74" s="1"/>
  <c r="K120" i="74"/>
  <c r="K152" i="74" s="1"/>
  <c r="N120" i="74"/>
  <c r="N152" i="74" s="1"/>
  <c r="S118" i="74"/>
  <c r="S150" i="74" s="1"/>
  <c r="J118" i="74"/>
  <c r="J150" i="74" s="1"/>
  <c r="T118" i="74"/>
  <c r="T150" i="74" s="1"/>
  <c r="N118" i="74"/>
  <c r="N150" i="74" s="1"/>
  <c r="M118" i="74"/>
  <c r="M150" i="74" s="1"/>
  <c r="K118" i="74"/>
  <c r="K150" i="74" s="1"/>
  <c r="M145" i="41"/>
  <c r="M21" i="65"/>
  <c r="M79" i="65" s="1"/>
  <c r="M90" i="65" s="1"/>
  <c r="M69" i="41"/>
  <c r="AT96" i="41" s="1"/>
  <c r="M46" i="41"/>
  <c r="AL146" i="41"/>
  <c r="AL70" i="41"/>
  <c r="CZ96" i="41" s="1"/>
  <c r="AL47" i="41"/>
  <c r="AL22" i="65"/>
  <c r="AL80" i="65" s="1"/>
  <c r="AL91" i="65" s="1"/>
  <c r="AL47" i="105" s="1"/>
  <c r="AL84" i="105" s="1"/>
  <c r="N149" i="41"/>
  <c r="N25" i="65"/>
  <c r="N83" i="65" s="1"/>
  <c r="N94" i="65" s="1"/>
  <c r="N50" i="41"/>
  <c r="N26" i="65"/>
  <c r="N84" i="65" s="1"/>
  <c r="N95" i="65" s="1"/>
  <c r="N150" i="41"/>
  <c r="N51" i="41"/>
  <c r="U51" i="41"/>
  <c r="U26" i="65"/>
  <c r="U84" i="65" s="1"/>
  <c r="U95" i="65" s="1"/>
  <c r="U150" i="41"/>
  <c r="AJ150" i="41"/>
  <c r="AJ26" i="65"/>
  <c r="AJ84" i="65" s="1"/>
  <c r="AJ95" i="65" s="1"/>
  <c r="AJ51" i="105" s="1"/>
  <c r="AJ88" i="105" s="1"/>
  <c r="AJ51" i="41"/>
  <c r="AE21" i="65"/>
  <c r="AE79" i="65" s="1"/>
  <c r="AE90" i="65" s="1"/>
  <c r="AE46" i="41"/>
  <c r="AE145" i="41"/>
  <c r="AE69" i="41"/>
  <c r="BL96" i="41" s="1"/>
  <c r="W150" i="41"/>
  <c r="W26" i="65"/>
  <c r="W84" i="65" s="1"/>
  <c r="W95" i="65" s="1"/>
  <c r="W51" i="41"/>
  <c r="M70" i="41"/>
  <c r="CA96" i="41" s="1"/>
  <c r="M146" i="41"/>
  <c r="M22" i="65"/>
  <c r="M80" i="65" s="1"/>
  <c r="M91" i="65" s="1"/>
  <c r="M47" i="41"/>
  <c r="AM150" i="41"/>
  <c r="AM26" i="65"/>
  <c r="AM84" i="65" s="1"/>
  <c r="AM95" i="65" s="1"/>
  <c r="AM51" i="41"/>
  <c r="AA22" i="65"/>
  <c r="AA80" i="65" s="1"/>
  <c r="AA91" i="65" s="1"/>
  <c r="AA70" i="41"/>
  <c r="CO96" i="41" s="1"/>
  <c r="AA47" i="41"/>
  <c r="AA146" i="41"/>
  <c r="AK150" i="41"/>
  <c r="AK26" i="65"/>
  <c r="AK84" i="65" s="1"/>
  <c r="AK95" i="65" s="1"/>
  <c r="AK51" i="41"/>
  <c r="V50" i="41"/>
  <c r="V149" i="41"/>
  <c r="V25" i="65"/>
  <c r="V83" i="65" s="1"/>
  <c r="V94" i="65" s="1"/>
  <c r="AC20" i="65"/>
  <c r="AC78" i="65" s="1"/>
  <c r="AC89" i="65" s="1"/>
  <c r="AC45" i="41"/>
  <c r="AC68" i="41"/>
  <c r="AC96" i="41" s="1"/>
  <c r="AC144" i="41"/>
  <c r="AB150" i="41"/>
  <c r="AB26" i="65"/>
  <c r="AB84" i="65" s="1"/>
  <c r="AB95" i="65" s="1"/>
  <c r="AB51" i="41"/>
  <c r="AP46" i="41"/>
  <c r="AP21" i="65"/>
  <c r="AP79" i="65" s="1"/>
  <c r="AP90" i="65" s="1"/>
  <c r="AP46" i="105" s="1"/>
  <c r="AP83" i="105" s="1"/>
  <c r="AP69" i="41"/>
  <c r="BW96" i="41" s="1"/>
  <c r="AP145" i="41"/>
  <c r="AF47" i="41"/>
  <c r="AF146" i="41"/>
  <c r="AF22" i="65"/>
  <c r="AF80" i="65" s="1"/>
  <c r="AF91" i="65" s="1"/>
  <c r="AF47" i="105" s="1"/>
  <c r="AF84" i="105" s="1"/>
  <c r="AF70" i="41"/>
  <c r="CT96" i="41" s="1"/>
  <c r="O26" i="65"/>
  <c r="O84" i="65" s="1"/>
  <c r="O95" i="65" s="1"/>
  <c r="O150" i="41"/>
  <c r="O51" i="41"/>
  <c r="N276" i="83"/>
  <c r="AE45" i="41"/>
  <c r="AE20" i="65"/>
  <c r="AE78" i="65" s="1"/>
  <c r="AE89" i="65" s="1"/>
  <c r="AE144" i="41"/>
  <c r="AE68" i="41"/>
  <c r="AE96" i="41" s="1"/>
  <c r="AD146" i="41"/>
  <c r="AD47" i="41"/>
  <c r="AD70" i="41"/>
  <c r="CR96" i="41" s="1"/>
  <c r="AD22" i="65"/>
  <c r="AD80" i="65" s="1"/>
  <c r="AD91" i="65" s="1"/>
  <c r="Z122" i="74"/>
  <c r="Z154" i="74" s="1"/>
  <c r="AI122" i="74"/>
  <c r="AI154" i="74" s="1"/>
  <c r="AD122" i="74"/>
  <c r="AD154" i="74" s="1"/>
  <c r="AC122" i="74"/>
  <c r="AC154" i="74" s="1"/>
  <c r="AL122" i="74"/>
  <c r="AL154" i="74" s="1"/>
  <c r="AN122" i="74"/>
  <c r="AN154" i="74" s="1"/>
  <c r="L122" i="74"/>
  <c r="L154" i="74" s="1"/>
  <c r="AE122" i="74"/>
  <c r="AE154" i="74" s="1"/>
  <c r="AJ122" i="74"/>
  <c r="AJ154" i="74" s="1"/>
  <c r="AM122" i="74"/>
  <c r="AM154" i="74" s="1"/>
  <c r="AA122" i="74"/>
  <c r="AA154" i="74" s="1"/>
  <c r="U122" i="74"/>
  <c r="U154" i="74" s="1"/>
  <c r="AF122" i="74"/>
  <c r="AF154" i="74" s="1"/>
  <c r="W122" i="74"/>
  <c r="W154" i="74" s="1"/>
  <c r="Y122" i="74"/>
  <c r="Y154" i="74" s="1"/>
  <c r="AH122" i="74"/>
  <c r="AH154" i="74" s="1"/>
  <c r="V122" i="74"/>
  <c r="V154" i="74" s="1"/>
  <c r="AG122" i="74"/>
  <c r="AG154" i="74" s="1"/>
  <c r="AO122" i="74"/>
  <c r="AO154" i="74" s="1"/>
  <c r="AK122" i="74"/>
  <c r="AK154" i="74" s="1"/>
  <c r="X122" i="74"/>
  <c r="X154" i="74" s="1"/>
  <c r="AP122" i="74"/>
  <c r="AP154" i="74" s="1"/>
  <c r="AB122" i="74"/>
  <c r="AB154" i="74" s="1"/>
  <c r="O122" i="74"/>
  <c r="O154" i="74" s="1"/>
  <c r="O256" i="73"/>
  <c r="O24" i="41" s="1"/>
  <c r="L123" i="74"/>
  <c r="L155" i="74" s="1"/>
  <c r="AO123" i="74"/>
  <c r="AO155" i="74" s="1"/>
  <c r="U123" i="74"/>
  <c r="U155" i="74" s="1"/>
  <c r="AK123" i="74"/>
  <c r="AK155" i="74" s="1"/>
  <c r="AE123" i="74"/>
  <c r="AE155" i="74" s="1"/>
  <c r="AN123" i="74"/>
  <c r="AN155" i="74" s="1"/>
  <c r="Z123" i="74"/>
  <c r="Z155" i="74" s="1"/>
  <c r="X123" i="74"/>
  <c r="X155" i="74" s="1"/>
  <c r="AD123" i="74"/>
  <c r="AD155" i="74" s="1"/>
  <c r="AH123" i="74"/>
  <c r="AH155" i="74" s="1"/>
  <c r="V123" i="74"/>
  <c r="V155" i="74" s="1"/>
  <c r="AP123" i="74"/>
  <c r="AP155" i="74" s="1"/>
  <c r="AF123" i="74"/>
  <c r="AF155" i="74" s="1"/>
  <c r="AA123" i="74"/>
  <c r="AA155" i="74" s="1"/>
  <c r="W123" i="74"/>
  <c r="W155" i="74" s="1"/>
  <c r="AG123" i="74"/>
  <c r="AG155" i="74" s="1"/>
  <c r="AB123" i="74"/>
  <c r="AB155" i="74" s="1"/>
  <c r="AJ123" i="74"/>
  <c r="AJ155" i="74" s="1"/>
  <c r="AC123" i="74"/>
  <c r="AC155" i="74" s="1"/>
  <c r="O123" i="74"/>
  <c r="O155" i="74" s="1"/>
  <c r="Y123" i="74"/>
  <c r="Y155" i="74" s="1"/>
  <c r="AM123" i="74"/>
  <c r="AM155" i="74" s="1"/>
  <c r="AI123" i="74"/>
  <c r="AI155" i="74" s="1"/>
  <c r="AL123" i="74"/>
  <c r="AL155" i="74" s="1"/>
  <c r="AA20" i="65"/>
  <c r="AA45" i="41"/>
  <c r="AA68" i="41"/>
  <c r="AA96" i="41" s="1"/>
  <c r="AA46" i="41"/>
  <c r="AA21" i="65"/>
  <c r="AA79" i="65" s="1"/>
  <c r="AA90" i="65" s="1"/>
  <c r="AA145" i="41"/>
  <c r="AA69" i="41"/>
  <c r="BH96" i="41" s="1"/>
  <c r="AC26" i="65"/>
  <c r="AC84" i="65" s="1"/>
  <c r="AC95" i="65" s="1"/>
  <c r="AC150" i="41"/>
  <c r="AC51" i="41"/>
  <c r="W22" i="65"/>
  <c r="W70" i="41"/>
  <c r="CK96" i="41" s="1"/>
  <c r="W47" i="41"/>
  <c r="J69" i="41"/>
  <c r="AQ96" i="41" s="1"/>
  <c r="J21" i="65"/>
  <c r="J79" i="65" s="1"/>
  <c r="J90" i="65" s="1"/>
  <c r="J145" i="41"/>
  <c r="J46" i="41"/>
  <c r="N45" i="41"/>
  <c r="N68" i="41"/>
  <c r="N96" i="41" s="1"/>
  <c r="N20" i="65"/>
  <c r="AB47" i="41"/>
  <c r="AB70" i="41"/>
  <c r="CP96" i="41" s="1"/>
  <c r="AB22" i="65"/>
  <c r="AF68" i="41"/>
  <c r="AF96" i="41" s="1"/>
  <c r="AF144" i="41"/>
  <c r="AF20" i="65"/>
  <c r="AF78" i="65" s="1"/>
  <c r="AF89" i="65" s="1"/>
  <c r="AF45" i="105" s="1"/>
  <c r="AF82" i="105" s="1"/>
  <c r="AF45" i="41"/>
  <c r="AM121" i="74"/>
  <c r="AM153" i="74" s="1"/>
  <c r="AB121" i="74"/>
  <c r="AB153" i="74" s="1"/>
  <c r="X121" i="74"/>
  <c r="X153" i="74" s="1"/>
  <c r="AA121" i="74"/>
  <c r="AA153" i="74" s="1"/>
  <c r="AF121" i="74"/>
  <c r="AF153" i="74" s="1"/>
  <c r="AH121" i="74"/>
  <c r="AH153" i="74" s="1"/>
  <c r="U121" i="74"/>
  <c r="U153" i="74" s="1"/>
  <c r="AN121" i="74"/>
  <c r="AN153" i="74" s="1"/>
  <c r="W121" i="74"/>
  <c r="W153" i="74" s="1"/>
  <c r="AK121" i="74"/>
  <c r="AK153" i="74" s="1"/>
  <c r="AL121" i="74"/>
  <c r="AL153" i="74" s="1"/>
  <c r="Y121" i="74"/>
  <c r="Y153" i="74" s="1"/>
  <c r="AG121" i="74"/>
  <c r="AG153" i="74" s="1"/>
  <c r="L121" i="74"/>
  <c r="L153" i="74" s="1"/>
  <c r="AE121" i="74"/>
  <c r="AE153" i="74" s="1"/>
  <c r="AJ121" i="74"/>
  <c r="AJ153" i="74" s="1"/>
  <c r="Z121" i="74"/>
  <c r="Z153" i="74" s="1"/>
  <c r="AC121" i="74"/>
  <c r="AC153" i="74" s="1"/>
  <c r="AO121" i="74"/>
  <c r="AO153" i="74" s="1"/>
  <c r="AP121" i="74"/>
  <c r="AP153" i="74" s="1"/>
  <c r="O121" i="74"/>
  <c r="O153" i="74" s="1"/>
  <c r="AI121" i="74"/>
  <c r="AI153" i="74" s="1"/>
  <c r="AD121" i="74"/>
  <c r="AD153" i="74" s="1"/>
  <c r="V121" i="74"/>
  <c r="V153" i="74" s="1"/>
  <c r="AB149" i="41"/>
  <c r="AB25" i="65"/>
  <c r="AB83" i="65" s="1"/>
  <c r="AB94" i="65" s="1"/>
  <c r="AB50" i="41"/>
  <c r="AJ144" i="41"/>
  <c r="AJ20" i="65"/>
  <c r="AJ78" i="65" s="1"/>
  <c r="AJ89" i="65" s="1"/>
  <c r="AJ45" i="105" s="1"/>
  <c r="AJ82" i="105" s="1"/>
  <c r="AJ45" i="41"/>
  <c r="AJ68" i="41"/>
  <c r="AJ96" i="41" s="1"/>
  <c r="AM68" i="41"/>
  <c r="AM96" i="41" s="1"/>
  <c r="AM20" i="65"/>
  <c r="AM78" i="65" s="1"/>
  <c r="AM89" i="65" s="1"/>
  <c r="AM144" i="41"/>
  <c r="AM45" i="41"/>
  <c r="J51" i="41"/>
  <c r="J26" i="65"/>
  <c r="J84" i="65" s="1"/>
  <c r="J95" i="65" s="1"/>
  <c r="J150" i="41"/>
  <c r="T22" i="65"/>
  <c r="T70" i="41"/>
  <c r="CH96" i="41" s="1"/>
  <c r="T47" i="41"/>
  <c r="Y69" i="41"/>
  <c r="BF96" i="41" s="1"/>
  <c r="Y145" i="41"/>
  <c r="Y21" i="65"/>
  <c r="Y79" i="65" s="1"/>
  <c r="Y90" i="65" s="1"/>
  <c r="Y46" i="41"/>
  <c r="V46" i="41"/>
  <c r="V69" i="41"/>
  <c r="BC96" i="41" s="1"/>
  <c r="V21" i="65"/>
  <c r="L46" i="41"/>
  <c r="L21" i="65"/>
  <c r="L79" i="65" s="1"/>
  <c r="L90" i="65" s="1"/>
  <c r="L145" i="41"/>
  <c r="L69" i="41"/>
  <c r="AS96" i="41" s="1"/>
  <c r="W256" i="73"/>
  <c r="W24" i="41" s="1"/>
  <c r="Q256" i="73"/>
  <c r="Q24" i="41" s="1"/>
  <c r="X21" i="65"/>
  <c r="X79" i="65" s="1"/>
  <c r="X90" i="65" s="1"/>
  <c r="X145" i="41"/>
  <c r="X69" i="41"/>
  <c r="BE96" i="41" s="1"/>
  <c r="X46" i="41"/>
  <c r="AJ21" i="65"/>
  <c r="AJ79" i="65" s="1"/>
  <c r="AJ90" i="65" s="1"/>
  <c r="AJ46" i="105" s="1"/>
  <c r="AJ83" i="105" s="1"/>
  <c r="AJ46" i="41"/>
  <c r="AJ145" i="41"/>
  <c r="AJ69" i="41"/>
  <c r="BQ96" i="41" s="1"/>
  <c r="K68" i="41"/>
  <c r="K96" i="41" s="1"/>
  <c r="K45" i="41"/>
  <c r="K20" i="65"/>
  <c r="R51" i="41"/>
  <c r="R26" i="65"/>
  <c r="R84" i="65" s="1"/>
  <c r="R95" i="65" s="1"/>
  <c r="R51" i="105" s="1"/>
  <c r="R88" i="105" s="1"/>
  <c r="R150" i="41"/>
  <c r="L120" i="74"/>
  <c r="L152" i="74" s="1"/>
  <c r="V120" i="74"/>
  <c r="V152" i="74" s="1"/>
  <c r="Y120" i="74"/>
  <c r="Y152" i="74" s="1"/>
  <c r="Z120" i="74"/>
  <c r="Z152" i="74" s="1"/>
  <c r="O120" i="74"/>
  <c r="O152" i="74" s="1"/>
  <c r="U120" i="74"/>
  <c r="U152" i="74" s="1"/>
  <c r="AK120" i="74"/>
  <c r="AK152" i="74" s="1"/>
  <c r="AG120" i="74"/>
  <c r="AG152" i="74" s="1"/>
  <c r="AA120" i="74"/>
  <c r="AA152" i="74" s="1"/>
  <c r="AB120" i="74"/>
  <c r="AB152" i="74" s="1"/>
  <c r="X120" i="74"/>
  <c r="X152" i="74" s="1"/>
  <c r="AL120" i="74"/>
  <c r="AL152" i="74" s="1"/>
  <c r="AE120" i="74"/>
  <c r="AE152" i="74" s="1"/>
  <c r="AD120" i="74"/>
  <c r="AD152" i="74" s="1"/>
  <c r="AO120" i="74"/>
  <c r="AO152" i="74" s="1"/>
  <c r="AP120" i="74"/>
  <c r="AP152" i="74" s="1"/>
  <c r="AH120" i="74"/>
  <c r="AH152" i="74" s="1"/>
  <c r="W120" i="74"/>
  <c r="W152" i="74" s="1"/>
  <c r="AJ120" i="74"/>
  <c r="AJ152" i="74" s="1"/>
  <c r="AI120" i="74"/>
  <c r="AI152" i="74" s="1"/>
  <c r="AN120" i="74"/>
  <c r="AN152" i="74" s="1"/>
  <c r="AF120" i="74"/>
  <c r="AF152" i="74" s="1"/>
  <c r="AC120" i="74"/>
  <c r="AC152" i="74" s="1"/>
  <c r="AM120" i="74"/>
  <c r="AM152" i="74" s="1"/>
  <c r="AM146" i="41"/>
  <c r="AM22" i="65"/>
  <c r="AM80" i="65" s="1"/>
  <c r="AM91" i="65" s="1"/>
  <c r="AM47" i="41"/>
  <c r="AM70" i="41"/>
  <c r="DA96" i="41" s="1"/>
  <c r="S26" i="65"/>
  <c r="S84" i="65" s="1"/>
  <c r="S95" i="65" s="1"/>
  <c r="S150" i="41"/>
  <c r="S51" i="41"/>
  <c r="AH150" i="41"/>
  <c r="AH26" i="65"/>
  <c r="AH84" i="65" s="1"/>
  <c r="AH95" i="65" s="1"/>
  <c r="AH51" i="105" s="1"/>
  <c r="AH88" i="105" s="1"/>
  <c r="AH51" i="41"/>
  <c r="AL20" i="65"/>
  <c r="AL78" i="65" s="1"/>
  <c r="AL89" i="65" s="1"/>
  <c r="AL45" i="105" s="1"/>
  <c r="AL82" i="105" s="1"/>
  <c r="AL45" i="41"/>
  <c r="AL144" i="41"/>
  <c r="AL68" i="41"/>
  <c r="AL96" i="41" s="1"/>
  <c r="Y68" i="41"/>
  <c r="Y96" i="41" s="1"/>
  <c r="Y20" i="65"/>
  <c r="Y45" i="41"/>
  <c r="Q68" i="41"/>
  <c r="Q96" i="41" s="1"/>
  <c r="Q20" i="65"/>
  <c r="Q45" i="41"/>
  <c r="T256" i="73"/>
  <c r="T24" i="41" s="1"/>
  <c r="J47" i="41"/>
  <c r="J22" i="65"/>
  <c r="J80" i="65" s="1"/>
  <c r="J91" i="65" s="1"/>
  <c r="J146" i="41"/>
  <c r="J70" i="41"/>
  <c r="BX96" i="41" s="1"/>
  <c r="AC46" i="41"/>
  <c r="AC145" i="41"/>
  <c r="AC69" i="41"/>
  <c r="BJ96" i="41" s="1"/>
  <c r="AC21" i="65"/>
  <c r="AC79" i="65" s="1"/>
  <c r="AC90" i="65" s="1"/>
  <c r="AF69" i="41"/>
  <c r="BM96" i="41" s="1"/>
  <c r="AF46" i="41"/>
  <c r="AF21" i="65"/>
  <c r="AF79" i="65" s="1"/>
  <c r="AF90" i="65" s="1"/>
  <c r="AF46" i="105" s="1"/>
  <c r="AF83" i="105" s="1"/>
  <c r="AF145" i="41"/>
  <c r="W149" i="41"/>
  <c r="W25" i="65"/>
  <c r="W83" i="65" s="1"/>
  <c r="W94" i="65" s="1"/>
  <c r="W50" i="41"/>
  <c r="J121" i="74"/>
  <c r="J153" i="74" s="1"/>
  <c r="S121" i="74"/>
  <c r="S153" i="74" s="1"/>
  <c r="M121" i="74"/>
  <c r="M153" i="74" s="1"/>
  <c r="N121" i="74"/>
  <c r="N153" i="74" s="1"/>
  <c r="K121" i="74"/>
  <c r="K153" i="74" s="1"/>
  <c r="T121" i="74"/>
  <c r="T153" i="74" s="1"/>
  <c r="K25" i="65"/>
  <c r="K83" i="65" s="1"/>
  <c r="K94" i="65" s="1"/>
  <c r="K149" i="41"/>
  <c r="K50" i="41"/>
  <c r="T45" i="41"/>
  <c r="T20" i="65"/>
  <c r="T68" i="41"/>
  <c r="T96" i="41" s="1"/>
  <c r="N69" i="41"/>
  <c r="AU96" i="41" s="1"/>
  <c r="N46" i="41"/>
  <c r="N21" i="65"/>
  <c r="P50" i="41"/>
  <c r="P25" i="65"/>
  <c r="P83" i="65" s="1"/>
  <c r="P94" i="65" s="1"/>
  <c r="P149" i="41"/>
  <c r="P70" i="41"/>
  <c r="CD96" i="41" s="1"/>
  <c r="P22" i="65"/>
  <c r="P80" i="65" s="1"/>
  <c r="P91" i="65" s="1"/>
  <c r="P146" i="41"/>
  <c r="P47" i="41"/>
  <c r="T117" i="74"/>
  <c r="T149" i="74" s="1"/>
  <c r="M117" i="74"/>
  <c r="M149" i="74" s="1"/>
  <c r="N117" i="74"/>
  <c r="N149" i="74" s="1"/>
  <c r="J117" i="74"/>
  <c r="J149" i="74" s="1"/>
  <c r="K117" i="74"/>
  <c r="K149" i="74" s="1"/>
  <c r="S117" i="74"/>
  <c r="S149" i="74" s="1"/>
  <c r="AN69" i="41"/>
  <c r="BU96" i="41" s="1"/>
  <c r="AN21" i="65"/>
  <c r="AN79" i="65" s="1"/>
  <c r="AN90" i="65" s="1"/>
  <c r="AN46" i="105" s="1"/>
  <c r="AN83" i="105" s="1"/>
  <c r="AN46" i="41"/>
  <c r="AN145" i="41"/>
  <c r="Z256" i="73"/>
  <c r="Z24" i="41" s="1"/>
  <c r="AA256" i="73"/>
  <c r="AA24" i="41" s="1"/>
  <c r="AA26" i="65"/>
  <c r="AA84" i="65" s="1"/>
  <c r="AA95" i="65" s="1"/>
  <c r="AA51" i="41"/>
  <c r="AA150" i="41"/>
  <c r="AN68" i="41"/>
  <c r="AN96" i="41" s="1"/>
  <c r="AN45" i="41"/>
  <c r="AN144" i="41"/>
  <c r="AN20" i="65"/>
  <c r="AN78" i="65" s="1"/>
  <c r="AN89" i="65" s="1"/>
  <c r="AN45" i="105" s="1"/>
  <c r="AN82" i="105" s="1"/>
  <c r="X149" i="41"/>
  <c r="X25" i="65"/>
  <c r="X83" i="65" s="1"/>
  <c r="X94" i="65" s="1"/>
  <c r="X50" i="41"/>
  <c r="AE26" i="65"/>
  <c r="AE84" i="65" s="1"/>
  <c r="AE95" i="65" s="1"/>
  <c r="AE51" i="41"/>
  <c r="AE150" i="41"/>
  <c r="X20" i="65"/>
  <c r="X68" i="41"/>
  <c r="X96" i="41" s="1"/>
  <c r="X45" i="41"/>
  <c r="K256" i="73"/>
  <c r="K24" i="41" s="1"/>
  <c r="Z21" i="65"/>
  <c r="Z79" i="65" s="1"/>
  <c r="Z90" i="65" s="1"/>
  <c r="Z69" i="41"/>
  <c r="BG96" i="41" s="1"/>
  <c r="Z46" i="41"/>
  <c r="Z145" i="41"/>
  <c r="AG150" i="41"/>
  <c r="AG26" i="65"/>
  <c r="AG84" i="65" s="1"/>
  <c r="AG95" i="65" s="1"/>
  <c r="AG51" i="41"/>
  <c r="L47" i="41"/>
  <c r="L70" i="41"/>
  <c r="BZ96" i="41" s="1"/>
  <c r="L22" i="65"/>
  <c r="L80" i="65" s="1"/>
  <c r="L91" i="65" s="1"/>
  <c r="L146" i="41"/>
  <c r="AB68" i="41"/>
  <c r="AB96" i="41" s="1"/>
  <c r="AB20" i="65"/>
  <c r="AB45" i="41"/>
  <c r="O117" i="74"/>
  <c r="O149" i="74" s="1"/>
  <c r="AJ117" i="74"/>
  <c r="AJ149" i="74" s="1"/>
  <c r="AF117" i="74"/>
  <c r="AF149" i="74" s="1"/>
  <c r="AC117" i="74"/>
  <c r="AC149" i="74" s="1"/>
  <c r="AD117" i="74"/>
  <c r="AD149" i="74" s="1"/>
  <c r="U117" i="74"/>
  <c r="U149" i="74" s="1"/>
  <c r="X117" i="74"/>
  <c r="X149" i="74" s="1"/>
  <c r="AP117" i="74"/>
  <c r="AP149" i="74" s="1"/>
  <c r="W117" i="74"/>
  <c r="W149" i="74" s="1"/>
  <c r="AO117" i="74"/>
  <c r="AO149" i="74" s="1"/>
  <c r="Y117" i="74"/>
  <c r="Y149" i="74" s="1"/>
  <c r="L117" i="74"/>
  <c r="L149" i="74" s="1"/>
  <c r="AN117" i="74"/>
  <c r="AN149" i="74" s="1"/>
  <c r="AM117" i="74"/>
  <c r="AM149" i="74" s="1"/>
  <c r="Z117" i="74"/>
  <c r="Z149" i="74" s="1"/>
  <c r="AK117" i="74"/>
  <c r="AK149" i="74" s="1"/>
  <c r="AB117" i="74"/>
  <c r="AB149" i="74" s="1"/>
  <c r="AL117" i="74"/>
  <c r="AL149" i="74" s="1"/>
  <c r="AI117" i="74"/>
  <c r="AI149" i="74" s="1"/>
  <c r="V117" i="74"/>
  <c r="V149" i="74" s="1"/>
  <c r="AE117" i="74"/>
  <c r="AE149" i="74" s="1"/>
  <c r="AA117" i="74"/>
  <c r="AA149" i="74" s="1"/>
  <c r="AG117" i="74"/>
  <c r="AG149" i="74" s="1"/>
  <c r="AH117" i="74"/>
  <c r="AH149" i="74" s="1"/>
  <c r="AE116" i="74"/>
  <c r="AE148" i="74" s="1"/>
  <c r="AD116" i="74"/>
  <c r="AD148" i="74" s="1"/>
  <c r="AP116" i="74"/>
  <c r="AP148" i="74" s="1"/>
  <c r="AC116" i="74"/>
  <c r="AC148" i="74" s="1"/>
  <c r="AG116" i="74"/>
  <c r="AG148" i="74" s="1"/>
  <c r="AI116" i="74"/>
  <c r="AI148" i="74" s="1"/>
  <c r="AF116" i="74"/>
  <c r="AF148" i="74" s="1"/>
  <c r="Z116" i="74"/>
  <c r="Z148" i="74" s="1"/>
  <c r="W116" i="74"/>
  <c r="W148" i="74" s="1"/>
  <c r="AJ116" i="74"/>
  <c r="AJ148" i="74" s="1"/>
  <c r="Y116" i="74"/>
  <c r="Y148" i="74" s="1"/>
  <c r="L116" i="74"/>
  <c r="L148" i="74" s="1"/>
  <c r="AB116" i="74"/>
  <c r="AB148" i="74" s="1"/>
  <c r="U116" i="74"/>
  <c r="U148" i="74" s="1"/>
  <c r="AL116" i="74"/>
  <c r="AL148" i="74" s="1"/>
  <c r="AM116" i="74"/>
  <c r="AM148" i="74" s="1"/>
  <c r="AK116" i="74"/>
  <c r="AK148" i="74" s="1"/>
  <c r="AN116" i="74"/>
  <c r="AN148" i="74" s="1"/>
  <c r="AO116" i="74"/>
  <c r="AO148" i="74" s="1"/>
  <c r="X116" i="74"/>
  <c r="X148" i="74" s="1"/>
  <c r="V116" i="74"/>
  <c r="V148" i="74" s="1"/>
  <c r="AA116" i="74"/>
  <c r="AA148" i="74" s="1"/>
  <c r="O116" i="74"/>
  <c r="O148" i="74" s="1"/>
  <c r="AH116" i="74"/>
  <c r="AH148" i="74" s="1"/>
  <c r="V47" i="41"/>
  <c r="V70" i="41"/>
  <c r="CJ96" i="41" s="1"/>
  <c r="V22" i="65"/>
  <c r="H292" i="83"/>
  <c r="T149" i="41"/>
  <c r="T50" i="41"/>
  <c r="T25" i="65"/>
  <c r="T83" i="65" s="1"/>
  <c r="T94" i="65" s="1"/>
  <c r="AN22" i="65"/>
  <c r="AN80" i="65" s="1"/>
  <c r="AN91" i="65" s="1"/>
  <c r="AN47" i="105" s="1"/>
  <c r="AN84" i="105" s="1"/>
  <c r="AN70" i="41"/>
  <c r="DB96" i="41" s="1"/>
  <c r="AN47" i="41"/>
  <c r="AN146" i="41"/>
  <c r="S69" i="41"/>
  <c r="AZ96" i="41" s="1"/>
  <c r="S46" i="41"/>
  <c r="S21" i="65"/>
  <c r="K46" i="41"/>
  <c r="K69" i="41"/>
  <c r="AR96" i="41" s="1"/>
  <c r="K21" i="65"/>
  <c r="AK144" i="41"/>
  <c r="AK45" i="41"/>
  <c r="AK20" i="65"/>
  <c r="AK78" i="65" s="1"/>
  <c r="AK89" i="65" s="1"/>
  <c r="AK68" i="41"/>
  <c r="AK96" i="41" s="1"/>
  <c r="J141" i="71"/>
  <c r="J217" i="71" s="1"/>
  <c r="J20" i="41" s="1"/>
  <c r="AP150" i="41"/>
  <c r="AP51" i="41"/>
  <c r="AP26" i="65"/>
  <c r="AP84" i="65" s="1"/>
  <c r="AP95" i="65" s="1"/>
  <c r="AP51" i="105" s="1"/>
  <c r="AP88" i="105" s="1"/>
  <c r="AF51" i="41"/>
  <c r="AF26" i="65"/>
  <c r="AF84" i="65" s="1"/>
  <c r="AF95" i="65" s="1"/>
  <c r="AF51" i="105" s="1"/>
  <c r="AF88" i="105" s="1"/>
  <c r="AF150" i="41"/>
  <c r="AC70" i="41"/>
  <c r="CQ96" i="41" s="1"/>
  <c r="AC47" i="41"/>
  <c r="AC146" i="41"/>
  <c r="AC22" i="65"/>
  <c r="AC80" i="65" s="1"/>
  <c r="AC91" i="65" s="1"/>
  <c r="AE22" i="65"/>
  <c r="AE80" i="65" s="1"/>
  <c r="AE91" i="65" s="1"/>
  <c r="AE47" i="41"/>
  <c r="AE70" i="41"/>
  <c r="CS96" i="41" s="1"/>
  <c r="AE146" i="41"/>
  <c r="W20" i="65"/>
  <c r="W45" i="41"/>
  <c r="W68" i="41"/>
  <c r="W96" i="41" s="1"/>
  <c r="N22" i="65"/>
  <c r="N80" i="65" s="1"/>
  <c r="N91" i="65" s="1"/>
  <c r="N146" i="41"/>
  <c r="N47" i="41"/>
  <c r="N70" i="41"/>
  <c r="CB96" i="41" s="1"/>
  <c r="AB69" i="41"/>
  <c r="BI96" i="41" s="1"/>
  <c r="AB21" i="65"/>
  <c r="AB46" i="41"/>
  <c r="N116" i="74"/>
  <c r="N148" i="74" s="1"/>
  <c r="K116" i="74"/>
  <c r="K148" i="74" s="1"/>
  <c r="T116" i="74"/>
  <c r="T148" i="74" s="1"/>
  <c r="M116" i="74"/>
  <c r="M148" i="74" s="1"/>
  <c r="J116" i="74"/>
  <c r="J148" i="74" s="1"/>
  <c r="S116" i="74"/>
  <c r="S148" i="74" s="1"/>
  <c r="AP118" i="74"/>
  <c r="AP150" i="74" s="1"/>
  <c r="AF118" i="74"/>
  <c r="AF150" i="74" s="1"/>
  <c r="L118" i="74"/>
  <c r="L150" i="74" s="1"/>
  <c r="AD118" i="74"/>
  <c r="AD150" i="74" s="1"/>
  <c r="AJ118" i="74"/>
  <c r="AJ150" i="74" s="1"/>
  <c r="AB118" i="74"/>
  <c r="AB150" i="74" s="1"/>
  <c r="X118" i="74"/>
  <c r="X150" i="74" s="1"/>
  <c r="AK118" i="74"/>
  <c r="AK150" i="74" s="1"/>
  <c r="AM118" i="74"/>
  <c r="AM150" i="74" s="1"/>
  <c r="AO118" i="74"/>
  <c r="AO150" i="74" s="1"/>
  <c r="AG118" i="74"/>
  <c r="AG150" i="74" s="1"/>
  <c r="W118" i="74"/>
  <c r="W150" i="74" s="1"/>
  <c r="AH118" i="74"/>
  <c r="AH150" i="74" s="1"/>
  <c r="AA118" i="74"/>
  <c r="AA150" i="74" s="1"/>
  <c r="U118" i="74"/>
  <c r="U150" i="74" s="1"/>
  <c r="AN118" i="74"/>
  <c r="AN150" i="74" s="1"/>
  <c r="AI118" i="74"/>
  <c r="AI150" i="74" s="1"/>
  <c r="O118" i="74"/>
  <c r="O150" i="74" s="1"/>
  <c r="Z118" i="74"/>
  <c r="Z150" i="74" s="1"/>
  <c r="AC118" i="74"/>
  <c r="AC150" i="74" s="1"/>
  <c r="V118" i="74"/>
  <c r="V150" i="74" s="1"/>
  <c r="AE118" i="74"/>
  <c r="AE150" i="74" s="1"/>
  <c r="Y118" i="74"/>
  <c r="Y150" i="74" s="1"/>
  <c r="AL118" i="74"/>
  <c r="AL150" i="74" s="1"/>
  <c r="M45" i="41"/>
  <c r="M20" i="65"/>
  <c r="M68" i="41"/>
  <c r="M96" i="41" s="1"/>
  <c r="L149" i="41"/>
  <c r="L25" i="65"/>
  <c r="L83" i="65" s="1"/>
  <c r="L94" i="65" s="1"/>
  <c r="L50" i="41"/>
  <c r="U47" i="41"/>
  <c r="U70" i="41"/>
  <c r="CI96" i="41" s="1"/>
  <c r="U22" i="65"/>
  <c r="N256" i="73"/>
  <c r="N24" i="41" s="1"/>
  <c r="AG144" i="41"/>
  <c r="AG20" i="65"/>
  <c r="AG78" i="65" s="1"/>
  <c r="AG89" i="65" s="1"/>
  <c r="AG68" i="41"/>
  <c r="AG96" i="41" s="1"/>
  <c r="AG45" i="41"/>
  <c r="M276" i="83"/>
  <c r="AA114" i="74"/>
  <c r="AA146" i="74" s="1"/>
  <c r="X114" i="74"/>
  <c r="X146" i="74" s="1"/>
  <c r="W114" i="74"/>
  <c r="W146" i="74" s="1"/>
  <c r="L114" i="74"/>
  <c r="L146" i="74" s="1"/>
  <c r="AM114" i="74"/>
  <c r="AM146" i="74" s="1"/>
  <c r="AB114" i="74"/>
  <c r="AB146" i="74" s="1"/>
  <c r="Y114" i="74"/>
  <c r="Y146" i="74" s="1"/>
  <c r="AD114" i="74"/>
  <c r="AD146" i="74" s="1"/>
  <c r="AC114" i="74"/>
  <c r="AC146" i="74" s="1"/>
  <c r="U114" i="74"/>
  <c r="U146" i="74" s="1"/>
  <c r="AJ114" i="74"/>
  <c r="AJ146" i="74" s="1"/>
  <c r="AO114" i="74"/>
  <c r="AO146" i="74" s="1"/>
  <c r="V114" i="74"/>
  <c r="V146" i="74" s="1"/>
  <c r="AP114" i="74"/>
  <c r="AP146" i="74" s="1"/>
  <c r="AE114" i="74"/>
  <c r="AE146" i="74" s="1"/>
  <c r="AN114" i="74"/>
  <c r="AN146" i="74" s="1"/>
  <c r="AK114" i="74"/>
  <c r="AK146" i="74" s="1"/>
  <c r="AF114" i="74"/>
  <c r="AF146" i="74" s="1"/>
  <c r="O114" i="74"/>
  <c r="O146" i="74" s="1"/>
  <c r="AI114" i="74"/>
  <c r="AI146" i="74" s="1"/>
  <c r="AL114" i="74"/>
  <c r="AL146" i="74" s="1"/>
  <c r="AH114" i="74"/>
  <c r="AH146" i="74" s="1"/>
  <c r="AG114" i="74"/>
  <c r="AG146" i="74" s="1"/>
  <c r="Z114" i="74"/>
  <c r="Z146" i="74" s="1"/>
  <c r="AP68" i="41"/>
  <c r="AP96" i="41" s="1"/>
  <c r="AP144" i="41"/>
  <c r="AP20" i="65"/>
  <c r="AP78" i="65" s="1"/>
  <c r="AP89" i="65" s="1"/>
  <c r="AP45" i="105" s="1"/>
  <c r="AP82" i="105" s="1"/>
  <c r="AP45" i="41"/>
  <c r="K47" i="41"/>
  <c r="K146" i="41"/>
  <c r="K70" i="41"/>
  <c r="BY96" i="41" s="1"/>
  <c r="K22" i="65"/>
  <c r="K80" i="65" s="1"/>
  <c r="K91" i="65" s="1"/>
  <c r="L276" i="83"/>
  <c r="L256" i="73"/>
  <c r="L24" i="41" s="1"/>
  <c r="V45" i="41"/>
  <c r="V68" i="41"/>
  <c r="V96" i="41" s="1"/>
  <c r="V20" i="65"/>
  <c r="Z47" i="41"/>
  <c r="Z70" i="41"/>
  <c r="CN96" i="41" s="1"/>
  <c r="Z22" i="65"/>
  <c r="Z80" i="65" s="1"/>
  <c r="Z91" i="65" s="1"/>
  <c r="Z146" i="41"/>
  <c r="S276" i="83"/>
  <c r="H280" i="83" s="1"/>
  <c r="V51" i="41"/>
  <c r="V150" i="41"/>
  <c r="V26" i="65"/>
  <c r="V84" i="65" s="1"/>
  <c r="V95" i="65" s="1"/>
  <c r="L20" i="65"/>
  <c r="L45" i="41"/>
  <c r="L68" i="41"/>
  <c r="L96" i="41" s="1"/>
  <c r="AM46" i="41"/>
  <c r="AM145" i="41"/>
  <c r="AM69" i="41"/>
  <c r="BT96" i="41" s="1"/>
  <c r="AM21" i="65"/>
  <c r="AM79" i="65" s="1"/>
  <c r="AM90" i="65" s="1"/>
  <c r="AL145" i="41"/>
  <c r="AL21" i="65"/>
  <c r="AL79" i="65" s="1"/>
  <c r="AL90" i="65" s="1"/>
  <c r="AL46" i="105" s="1"/>
  <c r="AL83" i="105" s="1"/>
  <c r="AL46" i="41"/>
  <c r="AL69" i="41"/>
  <c r="BS96" i="41" s="1"/>
  <c r="P256" i="73"/>
  <c r="P24" i="41" s="1"/>
  <c r="J84" i="74"/>
  <c r="AI144" i="41"/>
  <c r="AI20" i="65"/>
  <c r="AI78" i="65" s="1"/>
  <c r="AI89" i="65" s="1"/>
  <c r="AI45" i="41"/>
  <c r="AI68" i="41"/>
  <c r="AI96" i="41" s="1"/>
  <c r="AA103" i="65"/>
  <c r="AA59" i="105" s="1"/>
  <c r="O276" i="83"/>
  <c r="S45" i="41"/>
  <c r="S20" i="65"/>
  <c r="S68" i="41"/>
  <c r="S96" i="41" s="1"/>
  <c r="AK146" i="41"/>
  <c r="AK47" i="41"/>
  <c r="AK70" i="41"/>
  <c r="CY96" i="41" s="1"/>
  <c r="AK22" i="65"/>
  <c r="AK80" i="65" s="1"/>
  <c r="AK91" i="65" s="1"/>
  <c r="T69" i="41"/>
  <c r="BA96" i="41" s="1"/>
  <c r="T46" i="41"/>
  <c r="T21" i="65"/>
  <c r="P26" i="65"/>
  <c r="P84" i="65" s="1"/>
  <c r="P95" i="65" s="1"/>
  <c r="P51" i="41"/>
  <c r="P150" i="41"/>
  <c r="AP22" i="65"/>
  <c r="AP80" i="65" s="1"/>
  <c r="AP91" i="65" s="1"/>
  <c r="AP47" i="105" s="1"/>
  <c r="AP84" i="105" s="1"/>
  <c r="AP146" i="41"/>
  <c r="AP47" i="41"/>
  <c r="AP70" i="41"/>
  <c r="DD96" i="41" s="1"/>
  <c r="J256" i="73"/>
  <c r="J24" i="41" s="1"/>
  <c r="O47" i="41"/>
  <c r="O22" i="65"/>
  <c r="O80" i="65" s="1"/>
  <c r="O91" i="65" s="1"/>
  <c r="O70" i="41"/>
  <c r="CC96" i="41" s="1"/>
  <c r="O146" i="41"/>
  <c r="L150" i="41"/>
  <c r="L26" i="65"/>
  <c r="L84" i="65" s="1"/>
  <c r="L95" i="65" s="1"/>
  <c r="L51" i="41"/>
  <c r="AD45" i="41"/>
  <c r="AD68" i="41"/>
  <c r="AD96" i="41" s="1"/>
  <c r="AD20" i="65"/>
  <c r="AD78" i="65" s="1"/>
  <c r="AD89" i="65" s="1"/>
  <c r="AD144" i="41"/>
  <c r="S123" i="74"/>
  <c r="S155" i="74" s="1"/>
  <c r="J123" i="74"/>
  <c r="J155" i="74" s="1"/>
  <c r="K123" i="74"/>
  <c r="K155" i="74" s="1"/>
  <c r="T123" i="74"/>
  <c r="T155" i="74" s="1"/>
  <c r="N123" i="74"/>
  <c r="N155" i="74" s="1"/>
  <c r="M123" i="74"/>
  <c r="M155" i="74" s="1"/>
  <c r="O149" i="41"/>
  <c r="O25" i="65"/>
  <c r="O83" i="65" s="1"/>
  <c r="O94" i="65" s="1"/>
  <c r="O50" i="41"/>
  <c r="P46" i="41"/>
  <c r="P21" i="65"/>
  <c r="P69" i="41"/>
  <c r="AW96" i="41" s="1"/>
  <c r="Z20" i="65"/>
  <c r="Z68" i="41"/>
  <c r="Z96" i="41" s="1"/>
  <c r="Z45" i="41"/>
  <c r="S50" i="105" l="1"/>
  <c r="S87" i="105" s="1"/>
  <c r="Z50" i="105"/>
  <c r="Z87" i="105" s="1"/>
  <c r="S112" i="65"/>
  <c r="S68" i="105" s="1"/>
  <c r="AA112" i="65"/>
  <c r="AA68" i="105" s="1"/>
  <c r="AA107" i="105" s="1"/>
  <c r="Y148" i="41"/>
  <c r="R24" i="65"/>
  <c r="R82" i="65" s="1"/>
  <c r="R93" i="65" s="1"/>
  <c r="R49" i="105" s="1"/>
  <c r="R86" i="105" s="1"/>
  <c r="AD46" i="105"/>
  <c r="AD83" i="105" s="1"/>
  <c r="Y24" i="65"/>
  <c r="Y82" i="65" s="1"/>
  <c r="Y93" i="65" s="1"/>
  <c r="Y111" i="65" s="1"/>
  <c r="Y67" i="105" s="1"/>
  <c r="R49" i="41"/>
  <c r="Z112" i="65"/>
  <c r="Z68" i="105" s="1"/>
  <c r="Z107" i="105" s="1"/>
  <c r="H279" i="83"/>
  <c r="H281" i="83" s="1"/>
  <c r="AB49" i="41"/>
  <c r="AB24" i="65"/>
  <c r="AB82" i="65" s="1"/>
  <c r="AB93" i="65" s="1"/>
  <c r="AB49" i="105" s="1"/>
  <c r="AB86" i="105" s="1"/>
  <c r="H291" i="73" a="1"/>
  <c r="H291" i="73" s="1"/>
  <c r="H295" i="73" s="1"/>
  <c r="A4" i="73" s="1"/>
  <c r="J49" i="55"/>
  <c r="H223" i="71" a="1"/>
  <c r="H223" i="71" s="1"/>
  <c r="J48" i="55" s="1"/>
  <c r="X49" i="41"/>
  <c r="X148" i="41"/>
  <c r="AF161" i="74"/>
  <c r="AF23" i="41" s="1"/>
  <c r="AF147" i="41" s="1"/>
  <c r="AP161" i="74"/>
  <c r="AP23" i="41" s="1"/>
  <c r="AP48" i="41" s="1"/>
  <c r="AP52" i="41" s="1"/>
  <c r="AB161" i="74"/>
  <c r="AB23" i="41" s="1"/>
  <c r="AB48" i="41" s="1"/>
  <c r="AI161" i="74"/>
  <c r="AI23" i="41" s="1"/>
  <c r="AI48" i="41" s="1"/>
  <c r="AI52" i="41" s="1"/>
  <c r="AL161" i="74"/>
  <c r="AL23" i="41" s="1"/>
  <c r="AL48" i="41" s="1"/>
  <c r="AL52" i="41" s="1"/>
  <c r="AK161" i="74"/>
  <c r="AK23" i="41" s="1"/>
  <c r="O161" i="74"/>
  <c r="O23" i="41" s="1"/>
  <c r="AN161" i="74"/>
  <c r="AN23" i="41" s="1"/>
  <c r="AE161" i="74"/>
  <c r="AE23" i="41" s="1"/>
  <c r="S97" i="105"/>
  <c r="S171" i="105"/>
  <c r="V161" i="74"/>
  <c r="V23" i="41" s="1"/>
  <c r="AO161" i="74"/>
  <c r="AO23" i="41" s="1"/>
  <c r="S107" i="105"/>
  <c r="S182" i="105"/>
  <c r="AJ161" i="74"/>
  <c r="AJ23" i="41" s="1"/>
  <c r="U161" i="74"/>
  <c r="U23" i="41" s="1"/>
  <c r="AC161" i="74"/>
  <c r="AC23" i="41" s="1"/>
  <c r="AO104" i="105"/>
  <c r="AO179" i="105"/>
  <c r="AD161" i="74"/>
  <c r="AD23" i="41" s="1"/>
  <c r="Y161" i="74"/>
  <c r="Y23" i="41" s="1"/>
  <c r="AA97" i="105"/>
  <c r="AA171" i="105"/>
  <c r="AM161" i="74"/>
  <c r="AM23" i="41" s="1"/>
  <c r="L161" i="74"/>
  <c r="L23" i="41" s="1"/>
  <c r="X161" i="74"/>
  <c r="X23" i="41" s="1"/>
  <c r="AA161" i="74"/>
  <c r="AA23" i="41" s="1"/>
  <c r="Z97" i="105"/>
  <c r="Z171" i="105"/>
  <c r="Z161" i="74"/>
  <c r="Z23" i="41" s="1"/>
  <c r="W161" i="74"/>
  <c r="W23" i="41" s="1"/>
  <c r="AG161" i="74"/>
  <c r="AG23" i="41" s="1"/>
  <c r="P23" i="65"/>
  <c r="P81" i="65" s="1"/>
  <c r="P92" i="65" s="1"/>
  <c r="P147" i="41"/>
  <c r="P48" i="41"/>
  <c r="AH161" i="74"/>
  <c r="AH23" i="41" s="1"/>
  <c r="R48" i="41"/>
  <c r="R147" i="41"/>
  <c r="R23" i="65"/>
  <c r="R81" i="65" s="1"/>
  <c r="R92" i="65" s="1"/>
  <c r="R48" i="105" s="1"/>
  <c r="R85" i="105" s="1"/>
  <c r="O109" i="65"/>
  <c r="O65" i="105" s="1"/>
  <c r="O100" i="65"/>
  <c r="O56" i="105" s="1"/>
  <c r="O47" i="105"/>
  <c r="O84" i="105" s="1"/>
  <c r="J45" i="41"/>
  <c r="J20" i="65"/>
  <c r="J68" i="41"/>
  <c r="J96" i="41" s="1"/>
  <c r="O103" i="41" s="1"/>
  <c r="W112" i="65"/>
  <c r="W68" i="105" s="1"/>
  <c r="W50" i="105"/>
  <c r="W87" i="105" s="1"/>
  <c r="X99" i="65"/>
  <c r="X55" i="105" s="1"/>
  <c r="X46" i="105"/>
  <c r="X83" i="105" s="1"/>
  <c r="X108" i="65"/>
  <c r="X64" i="105" s="1"/>
  <c r="O51" i="105"/>
  <c r="O88" i="105" s="1"/>
  <c r="O113" i="65"/>
  <c r="O69" i="105" s="1"/>
  <c r="O104" i="65"/>
  <c r="O60" i="105" s="1"/>
  <c r="O99" i="65"/>
  <c r="O55" i="105" s="1"/>
  <c r="O108" i="65"/>
  <c r="O64" i="105" s="1"/>
  <c r="O46" i="105"/>
  <c r="O83" i="105" s="1"/>
  <c r="H284" i="83"/>
  <c r="H286" i="83" s="1"/>
  <c r="AK107" i="65"/>
  <c r="AK45" i="105"/>
  <c r="AK82" i="105" s="1"/>
  <c r="AE104" i="65"/>
  <c r="AE60" i="105" s="1"/>
  <c r="AE113" i="65"/>
  <c r="AE69" i="105" s="1"/>
  <c r="AE51" i="105"/>
  <c r="AE88" i="105" s="1"/>
  <c r="W24" i="65"/>
  <c r="W82" i="65" s="1"/>
  <c r="W93" i="65" s="1"/>
  <c r="W148" i="41"/>
  <c r="W49" i="41"/>
  <c r="AC104" i="65"/>
  <c r="AC60" i="105" s="1"/>
  <c r="AC51" i="105"/>
  <c r="AC88" i="105" s="1"/>
  <c r="AC113" i="65"/>
  <c r="AC69" i="105" s="1"/>
  <c r="AO46" i="105"/>
  <c r="AO83" i="105" s="1"/>
  <c r="AO108" i="65"/>
  <c r="AO64" i="105" s="1"/>
  <c r="AI109" i="65"/>
  <c r="AI65" i="105" s="1"/>
  <c r="AI47" i="105"/>
  <c r="AI84" i="105" s="1"/>
  <c r="J148" i="41"/>
  <c r="J24" i="65"/>
  <c r="J82" i="65" s="1"/>
  <c r="J93" i="65" s="1"/>
  <c r="J49" i="41"/>
  <c r="P100" i="65"/>
  <c r="P56" i="105" s="1"/>
  <c r="P109" i="65"/>
  <c r="P65" i="105" s="1"/>
  <c r="P47" i="105"/>
  <c r="P84" i="105" s="1"/>
  <c r="M113" i="65"/>
  <c r="M69" i="105" s="1"/>
  <c r="M51" i="105"/>
  <c r="M88" i="105" s="1"/>
  <c r="M104" i="65"/>
  <c r="M60" i="105" s="1"/>
  <c r="Z109" i="65"/>
  <c r="Z65" i="105" s="1"/>
  <c r="Z100" i="65"/>
  <c r="Z56" i="105" s="1"/>
  <c r="Z47" i="105"/>
  <c r="Z84" i="105" s="1"/>
  <c r="X50" i="105"/>
  <c r="X87" i="105" s="1"/>
  <c r="X112" i="65"/>
  <c r="X68" i="105" s="1"/>
  <c r="X103" i="65"/>
  <c r="X59" i="105" s="1"/>
  <c r="AK113" i="65"/>
  <c r="AK69" i="105" s="1"/>
  <c r="AK108" i="105" s="1"/>
  <c r="AK51" i="105"/>
  <c r="AK88" i="105" s="1"/>
  <c r="AG45" i="105"/>
  <c r="AG82" i="105" s="1"/>
  <c r="AG98" i="65"/>
  <c r="AG107" i="65"/>
  <c r="N109" i="65"/>
  <c r="N65" i="105" s="1"/>
  <c r="N47" i="105"/>
  <c r="N84" i="105" s="1"/>
  <c r="N100" i="65"/>
  <c r="N56" i="105" s="1"/>
  <c r="L99" i="65"/>
  <c r="L55" i="105" s="1"/>
  <c r="L108" i="65"/>
  <c r="L64" i="105" s="1"/>
  <c r="L46" i="105"/>
  <c r="L83" i="105" s="1"/>
  <c r="AB112" i="65"/>
  <c r="AB68" i="105" s="1"/>
  <c r="AB103" i="65"/>
  <c r="AB59" i="105" s="1"/>
  <c r="AB50" i="105"/>
  <c r="AB87" i="105" s="1"/>
  <c r="AA99" i="65"/>
  <c r="AA55" i="105" s="1"/>
  <c r="AA108" i="65"/>
  <c r="AA64" i="105" s="1"/>
  <c r="AA46" i="105"/>
  <c r="AA83" i="105" s="1"/>
  <c r="Y112" i="65"/>
  <c r="Y68" i="105" s="1"/>
  <c r="Y103" i="65"/>
  <c r="Y59" i="105" s="1"/>
  <c r="Y50" i="105"/>
  <c r="Y87" i="105" s="1"/>
  <c r="Q148" i="41"/>
  <c r="Q49" i="41"/>
  <c r="Q52" i="41" s="1"/>
  <c r="Q24" i="65"/>
  <c r="Q82" i="65" s="1"/>
  <c r="Q93" i="65" s="1"/>
  <c r="Q49" i="105" s="1"/>
  <c r="Q86" i="105" s="1"/>
  <c r="P103" i="65"/>
  <c r="P59" i="105" s="1"/>
  <c r="P112" i="65"/>
  <c r="P68" i="105" s="1"/>
  <c r="P50" i="105"/>
  <c r="P87" i="105" s="1"/>
  <c r="AC108" i="65"/>
  <c r="AC64" i="105" s="1"/>
  <c r="AC46" i="105"/>
  <c r="AC83" i="105" s="1"/>
  <c r="AC99" i="65"/>
  <c r="AC55" i="105" s="1"/>
  <c r="S113" i="65"/>
  <c r="S69" i="105" s="1"/>
  <c r="S51" i="105"/>
  <c r="S88" i="105" s="1"/>
  <c r="S104" i="65"/>
  <c r="S60" i="105" s="1"/>
  <c r="U148" i="41"/>
  <c r="U49" i="41"/>
  <c r="U24" i="65"/>
  <c r="U82" i="65" s="1"/>
  <c r="U93" i="65" s="1"/>
  <c r="O50" i="105"/>
  <c r="O87" i="105" s="1"/>
  <c r="O112" i="65"/>
  <c r="O68" i="105" s="1"/>
  <c r="O103" i="65"/>
  <c r="O59" i="105" s="1"/>
  <c r="N24" i="65"/>
  <c r="N82" i="65" s="1"/>
  <c r="N93" i="65" s="1"/>
  <c r="N49" i="41"/>
  <c r="N148" i="41"/>
  <c r="BJ103" i="41"/>
  <c r="U113" i="65"/>
  <c r="U69" i="105" s="1"/>
  <c r="U104" i="65"/>
  <c r="U60" i="105" s="1"/>
  <c r="U51" i="105"/>
  <c r="U88" i="105" s="1"/>
  <c r="K51" i="105"/>
  <c r="K88" i="105" s="1"/>
  <c r="K104" i="65"/>
  <c r="K60" i="105" s="1"/>
  <c r="K113" i="65"/>
  <c r="K69" i="105" s="1"/>
  <c r="AI113" i="65"/>
  <c r="AI69" i="105" s="1"/>
  <c r="AI51" i="105"/>
  <c r="AI88" i="105" s="1"/>
  <c r="S114" i="74"/>
  <c r="S146" i="74" s="1"/>
  <c r="S161" i="74" s="1"/>
  <c r="S23" i="41" s="1"/>
  <c r="N114" i="74"/>
  <c r="N146" i="74" s="1"/>
  <c r="N161" i="74" s="1"/>
  <c r="N23" i="41" s="1"/>
  <c r="M114" i="74"/>
  <c r="M146" i="74" s="1"/>
  <c r="M161" i="74" s="1"/>
  <c r="M23" i="41" s="1"/>
  <c r="T114" i="74"/>
  <c r="T146" i="74" s="1"/>
  <c r="T161" i="74" s="1"/>
  <c r="T23" i="41" s="1"/>
  <c r="J114" i="74"/>
  <c r="K114" i="74"/>
  <c r="K146" i="74" s="1"/>
  <c r="K161" i="74" s="1"/>
  <c r="K23" i="41" s="1"/>
  <c r="L100" i="65"/>
  <c r="L56" i="105" s="1"/>
  <c r="L47" i="105"/>
  <c r="L84" i="105" s="1"/>
  <c r="L109" i="65"/>
  <c r="L65" i="105" s="1"/>
  <c r="AM47" i="105"/>
  <c r="AM84" i="105" s="1"/>
  <c r="AM109" i="65"/>
  <c r="AM65" i="105" s="1"/>
  <c r="AA47" i="105"/>
  <c r="AA84" i="105" s="1"/>
  <c r="AA100" i="65"/>
  <c r="AA56" i="105" s="1"/>
  <c r="AA109" i="65"/>
  <c r="AA65" i="105" s="1"/>
  <c r="X104" i="65"/>
  <c r="X60" i="105" s="1"/>
  <c r="X113" i="65"/>
  <c r="X69" i="105" s="1"/>
  <c r="X51" i="105"/>
  <c r="X88" i="105" s="1"/>
  <c r="P51" i="105"/>
  <c r="P88" i="105" s="1"/>
  <c r="P104" i="65"/>
  <c r="P60" i="105" s="1"/>
  <c r="P113" i="65"/>
  <c r="P69" i="105" s="1"/>
  <c r="P148" i="41"/>
  <c r="P49" i="41"/>
  <c r="P24" i="65"/>
  <c r="P82" i="65" s="1"/>
  <c r="P93" i="65" s="1"/>
  <c r="L24" i="65"/>
  <c r="L82" i="65" s="1"/>
  <c r="L93" i="65" s="1"/>
  <c r="L49" i="41"/>
  <c r="L148" i="41"/>
  <c r="O24" i="65"/>
  <c r="O82" i="65" s="1"/>
  <c r="O93" i="65" s="1"/>
  <c r="O49" i="41"/>
  <c r="O148" i="41"/>
  <c r="V24" i="65"/>
  <c r="V82" i="65" s="1"/>
  <c r="V93" i="65" s="1"/>
  <c r="V148" i="41"/>
  <c r="V49" i="41"/>
  <c r="Y46" i="105"/>
  <c r="Y83" i="105" s="1"/>
  <c r="Y108" i="65"/>
  <c r="Y64" i="105" s="1"/>
  <c r="Y99" i="65"/>
  <c r="Y55" i="105" s="1"/>
  <c r="X49" i="105"/>
  <c r="X86" i="105" s="1"/>
  <c r="X102" i="65"/>
  <c r="X58" i="105" s="1"/>
  <c r="X111" i="65"/>
  <c r="X67" i="105" s="1"/>
  <c r="AM51" i="105"/>
  <c r="AM88" i="105" s="1"/>
  <c r="AM113" i="65"/>
  <c r="AM69" i="105" s="1"/>
  <c r="N113" i="65"/>
  <c r="N69" i="105" s="1"/>
  <c r="N104" i="65"/>
  <c r="N60" i="105" s="1"/>
  <c r="N51" i="105"/>
  <c r="N88" i="105" s="1"/>
  <c r="T113" i="65"/>
  <c r="T69" i="105" s="1"/>
  <c r="T104" i="65"/>
  <c r="T60" i="105" s="1"/>
  <c r="T51" i="105"/>
  <c r="T88" i="105" s="1"/>
  <c r="AD113" i="65"/>
  <c r="AD69" i="105" s="1"/>
  <c r="AD108" i="105" s="1"/>
  <c r="AD51" i="105"/>
  <c r="AD88" i="105" s="1"/>
  <c r="L112" i="65"/>
  <c r="L68" i="105" s="1"/>
  <c r="L103" i="65"/>
  <c r="L59" i="105" s="1"/>
  <c r="L50" i="105"/>
  <c r="L87" i="105" s="1"/>
  <c r="AE109" i="65"/>
  <c r="AE65" i="105" s="1"/>
  <c r="AE100" i="65"/>
  <c r="AE56" i="105" s="1"/>
  <c r="AE47" i="105"/>
  <c r="AE84" i="105" s="1"/>
  <c r="AA104" i="65"/>
  <c r="AA60" i="105" s="1"/>
  <c r="AA113" i="65"/>
  <c r="AA69" i="105" s="1"/>
  <c r="AA51" i="105"/>
  <c r="AA88" i="105" s="1"/>
  <c r="J47" i="105"/>
  <c r="J84" i="105" s="1"/>
  <c r="J100" i="65"/>
  <c r="J56" i="105" s="1"/>
  <c r="J109" i="65"/>
  <c r="J65" i="105" s="1"/>
  <c r="AO51" i="105"/>
  <c r="AO88" i="105" s="1"/>
  <c r="AO113" i="65"/>
  <c r="AO69" i="105" s="1"/>
  <c r="M148" i="41"/>
  <c r="M24" i="65"/>
  <c r="M82" i="65" s="1"/>
  <c r="M93" i="65" s="1"/>
  <c r="M49" i="41"/>
  <c r="AC109" i="65"/>
  <c r="AC65" i="105" s="1"/>
  <c r="AC100" i="65"/>
  <c r="AC56" i="105" s="1"/>
  <c r="AC47" i="105"/>
  <c r="AC84" i="105" s="1"/>
  <c r="AA148" i="41"/>
  <c r="AA49" i="41"/>
  <c r="AA24" i="65"/>
  <c r="AA82" i="65" s="1"/>
  <c r="AA93" i="65" s="1"/>
  <c r="H47" i="41"/>
  <c r="AD109" i="65"/>
  <c r="AD65" i="105" s="1"/>
  <c r="AD104" i="105" s="1"/>
  <c r="AD47" i="105"/>
  <c r="AD84" i="105" s="1"/>
  <c r="AB51" i="105"/>
  <c r="AB88" i="105" s="1"/>
  <c r="AB104" i="65"/>
  <c r="AB60" i="105" s="1"/>
  <c r="AB113" i="65"/>
  <c r="AB69" i="105" s="1"/>
  <c r="AG104" i="65"/>
  <c r="AG60" i="105" s="1"/>
  <c r="AG113" i="65"/>
  <c r="AG69" i="105" s="1"/>
  <c r="AG51" i="105"/>
  <c r="AG88" i="105" s="1"/>
  <c r="Z49" i="41"/>
  <c r="Z24" i="65"/>
  <c r="Z82" i="65" s="1"/>
  <c r="Z93" i="65" s="1"/>
  <c r="Z148" i="41"/>
  <c r="T148" i="41"/>
  <c r="T24" i="65"/>
  <c r="T82" i="65" s="1"/>
  <c r="T93" i="65" s="1"/>
  <c r="T49" i="41"/>
  <c r="M109" i="65"/>
  <c r="M65" i="105" s="1"/>
  <c r="M47" i="105"/>
  <c r="M84" i="105" s="1"/>
  <c r="M100" i="65"/>
  <c r="M56" i="105" s="1"/>
  <c r="N112" i="65"/>
  <c r="N68" i="105" s="1"/>
  <c r="N50" i="105"/>
  <c r="N87" i="105" s="1"/>
  <c r="N103" i="65"/>
  <c r="N59" i="105" s="1"/>
  <c r="AG108" i="65"/>
  <c r="AG64" i="105" s="1"/>
  <c r="AG46" i="105"/>
  <c r="AG83" i="105" s="1"/>
  <c r="AG99" i="65"/>
  <c r="AG55" i="105" s="1"/>
  <c r="AI46" i="105"/>
  <c r="AI83" i="105" s="1"/>
  <c r="AI108" i="65"/>
  <c r="AI64" i="105" s="1"/>
  <c r="AI107" i="65"/>
  <c r="AI45" i="105"/>
  <c r="AI82" i="105" s="1"/>
  <c r="AM46" i="105"/>
  <c r="AM83" i="105" s="1"/>
  <c r="AM108" i="65"/>
  <c r="AM64" i="105" s="1"/>
  <c r="H50" i="41"/>
  <c r="AD107" i="65"/>
  <c r="AD63" i="105" s="1"/>
  <c r="AD102" i="105" s="1"/>
  <c r="AD45" i="105"/>
  <c r="AD82" i="105" s="1"/>
  <c r="AK109" i="65"/>
  <c r="AK65" i="105" s="1"/>
  <c r="AK104" i="105" s="1"/>
  <c r="AK47" i="105"/>
  <c r="AK84" i="105" s="1"/>
  <c r="K50" i="105"/>
  <c r="K87" i="105" s="1"/>
  <c r="K112" i="65"/>
  <c r="K68" i="105" s="1"/>
  <c r="K103" i="65"/>
  <c r="K59" i="105" s="1"/>
  <c r="J103" i="65"/>
  <c r="J59" i="105" s="1"/>
  <c r="J112" i="65"/>
  <c r="J68" i="105" s="1"/>
  <c r="J50" i="105"/>
  <c r="J87" i="105" s="1"/>
  <c r="Y51" i="105"/>
  <c r="Y88" i="105" s="1"/>
  <c r="Y113" i="65"/>
  <c r="Y69" i="105" s="1"/>
  <c r="Y104" i="65"/>
  <c r="Y60" i="105" s="1"/>
  <c r="K100" i="65"/>
  <c r="K56" i="105" s="1"/>
  <c r="K47" i="105"/>
  <c r="K84" i="105" s="1"/>
  <c r="K109" i="65"/>
  <c r="K65" i="105" s="1"/>
  <c r="H46" i="41"/>
  <c r="Y109" i="65"/>
  <c r="Y65" i="105" s="1"/>
  <c r="Y100" i="65"/>
  <c r="Y56" i="105" s="1"/>
  <c r="Y47" i="105"/>
  <c r="Y84" i="105" s="1"/>
  <c r="U112" i="65"/>
  <c r="U68" i="105" s="1"/>
  <c r="U103" i="65"/>
  <c r="U59" i="105" s="1"/>
  <c r="U50" i="105"/>
  <c r="U87" i="105" s="1"/>
  <c r="M103" i="65"/>
  <c r="M59" i="105" s="1"/>
  <c r="M50" i="105"/>
  <c r="M87" i="105" s="1"/>
  <c r="M112" i="65"/>
  <c r="M68" i="105" s="1"/>
  <c r="J51" i="105"/>
  <c r="J88" i="105" s="1"/>
  <c r="J104" i="65"/>
  <c r="J60" i="105" s="1"/>
  <c r="J113" i="65"/>
  <c r="J69" i="105" s="1"/>
  <c r="AC107" i="65"/>
  <c r="AC63" i="105" s="1"/>
  <c r="AC98" i="65"/>
  <c r="AC54" i="105" s="1"/>
  <c r="AC45" i="105"/>
  <c r="AC82" i="105" s="1"/>
  <c r="W51" i="105"/>
  <c r="W88" i="105" s="1"/>
  <c r="W113" i="65"/>
  <c r="W69" i="105" s="1"/>
  <c r="AO45" i="105"/>
  <c r="AO82" i="105" s="1"/>
  <c r="AO107" i="65"/>
  <c r="T50" i="105"/>
  <c r="T87" i="105" s="1"/>
  <c r="T112" i="65"/>
  <c r="T68" i="105" s="1"/>
  <c r="T103" i="65"/>
  <c r="T59" i="105" s="1"/>
  <c r="Z108" i="65"/>
  <c r="Z64" i="105" s="1"/>
  <c r="Z99" i="65"/>
  <c r="Z55" i="105" s="1"/>
  <c r="Z46" i="105"/>
  <c r="Z83" i="105" s="1"/>
  <c r="H51" i="41"/>
  <c r="J46" i="105"/>
  <c r="J83" i="105" s="1"/>
  <c r="J108" i="65"/>
  <c r="J64" i="105" s="1"/>
  <c r="J99" i="65"/>
  <c r="J55" i="105" s="1"/>
  <c r="AE98" i="65"/>
  <c r="AE107" i="65"/>
  <c r="AE63" i="105" s="1"/>
  <c r="AE45" i="105"/>
  <c r="AE82" i="105" s="1"/>
  <c r="L113" i="65"/>
  <c r="L69" i="105" s="1"/>
  <c r="L51" i="105"/>
  <c r="L88" i="105" s="1"/>
  <c r="L104" i="65"/>
  <c r="L60" i="105" s="1"/>
  <c r="K148" i="41"/>
  <c r="K24" i="65"/>
  <c r="K82" i="65" s="1"/>
  <c r="K93" i="65" s="1"/>
  <c r="K49" i="41"/>
  <c r="AG100" i="65"/>
  <c r="AG56" i="105" s="1"/>
  <c r="AG47" i="105"/>
  <c r="AG84" i="105" s="1"/>
  <c r="AG109" i="65"/>
  <c r="AG65" i="105" s="1"/>
  <c r="Z113" i="65"/>
  <c r="Z69" i="105" s="1"/>
  <c r="Z104" i="65"/>
  <c r="Z60" i="105" s="1"/>
  <c r="Z51" i="105"/>
  <c r="Z88" i="105" s="1"/>
  <c r="S49" i="41"/>
  <c r="S148" i="41"/>
  <c r="S24" i="65"/>
  <c r="S82" i="65" s="1"/>
  <c r="S93" i="65" s="1"/>
  <c r="V51" i="105"/>
  <c r="V88" i="105" s="1"/>
  <c r="V113" i="65"/>
  <c r="V69" i="105" s="1"/>
  <c r="AM45" i="105"/>
  <c r="AM82" i="105" s="1"/>
  <c r="AM107" i="65"/>
  <c r="V50" i="105"/>
  <c r="V87" i="105" s="1"/>
  <c r="V112" i="65"/>
  <c r="V68" i="105" s="1"/>
  <c r="M46" i="105"/>
  <c r="M83" i="105" s="1"/>
  <c r="M108" i="65"/>
  <c r="M64" i="105" s="1"/>
  <c r="M99" i="65"/>
  <c r="M55" i="105" s="1"/>
  <c r="X47" i="105"/>
  <c r="X84" i="105" s="1"/>
  <c r="X100" i="65"/>
  <c r="X56" i="105" s="1"/>
  <c r="X109" i="65"/>
  <c r="X65" i="105" s="1"/>
  <c r="AE99" i="65"/>
  <c r="AE55" i="105" s="1"/>
  <c r="AE108" i="65"/>
  <c r="AE64" i="105" s="1"/>
  <c r="AE46" i="105"/>
  <c r="AE83" i="105" s="1"/>
  <c r="AK108" i="65"/>
  <c r="AK64" i="105" s="1"/>
  <c r="AK103" i="105" s="1"/>
  <c r="AK46" i="105"/>
  <c r="AK83" i="105" s="1"/>
  <c r="AA182" i="105" l="1"/>
  <c r="CR103" i="41"/>
  <c r="R103" i="41"/>
  <c r="Y49" i="105"/>
  <c r="Y86" i="105" s="1"/>
  <c r="Y102" i="65"/>
  <c r="Y58" i="105" s="1"/>
  <c r="Y170" i="105" s="1"/>
  <c r="Z182" i="105"/>
  <c r="R52" i="41"/>
  <c r="Y103" i="41"/>
  <c r="P103" i="41"/>
  <c r="BQ103" i="41"/>
  <c r="CZ103" i="41"/>
  <c r="CG103" i="41"/>
  <c r="BP103" i="41"/>
  <c r="K103" i="41"/>
  <c r="AB52" i="41"/>
  <c r="BA103" i="41"/>
  <c r="CK103" i="41"/>
  <c r="AD103" i="41"/>
  <c r="BE103" i="41"/>
  <c r="Q103" i="41"/>
  <c r="X103" i="41"/>
  <c r="AT103" i="41"/>
  <c r="BU103" i="41"/>
  <c r="N103" i="41"/>
  <c r="AB111" i="65"/>
  <c r="AB67" i="105" s="1"/>
  <c r="AB181" i="105" s="1"/>
  <c r="BL103" i="41"/>
  <c r="BT103" i="41"/>
  <c r="CH103" i="41"/>
  <c r="BB103" i="41"/>
  <c r="AW103" i="41"/>
  <c r="AU103" i="41"/>
  <c r="AM103" i="41"/>
  <c r="AB102" i="65"/>
  <c r="AB58" i="105" s="1"/>
  <c r="AB170" i="105" s="1"/>
  <c r="AO103" i="41"/>
  <c r="L103" i="41"/>
  <c r="BG103" i="41"/>
  <c r="CM103" i="41"/>
  <c r="CA103" i="41"/>
  <c r="Z103" i="41"/>
  <c r="BN103" i="41"/>
  <c r="T103" i="41"/>
  <c r="AF103" i="41"/>
  <c r="CU103" i="41"/>
  <c r="S103" i="41"/>
  <c r="AK103" i="41"/>
  <c r="AC103" i="41"/>
  <c r="CC103" i="41"/>
  <c r="BO103" i="41"/>
  <c r="BX103" i="41"/>
  <c r="AQ103" i="41"/>
  <c r="AE103" i="41"/>
  <c r="CY103" i="41"/>
  <c r="AH103" i="41"/>
  <c r="BZ103" i="41"/>
  <c r="CV103" i="41"/>
  <c r="AR103" i="41"/>
  <c r="J50" i="55"/>
  <c r="A4" i="71"/>
  <c r="AF48" i="41"/>
  <c r="AF52" i="41" s="1"/>
  <c r="AF23" i="65"/>
  <c r="AF81" i="65" s="1"/>
  <c r="AF92" i="65" s="1"/>
  <c r="AF48" i="105" s="1"/>
  <c r="AF85" i="105" s="1"/>
  <c r="AF89" i="105" s="1"/>
  <c r="AF158" i="105" s="1"/>
  <c r="CQ103" i="41"/>
  <c r="BF103" i="41"/>
  <c r="U103" i="41"/>
  <c r="DB103" i="41"/>
  <c r="AV103" i="41"/>
  <c r="CS103" i="41"/>
  <c r="AP147" i="41"/>
  <c r="AL103" i="41"/>
  <c r="BY103" i="41"/>
  <c r="CF103" i="41"/>
  <c r="CT103" i="41"/>
  <c r="AZ103" i="41"/>
  <c r="CP103" i="41"/>
  <c r="BC103" i="41"/>
  <c r="BR103" i="41"/>
  <c r="M103" i="41"/>
  <c r="BS103" i="41"/>
  <c r="AP23" i="65"/>
  <c r="AP81" i="65" s="1"/>
  <c r="AP92" i="65" s="1"/>
  <c r="AP48" i="105" s="1"/>
  <c r="AP85" i="105" s="1"/>
  <c r="AP89" i="105" s="1"/>
  <c r="AP158" i="105" s="1"/>
  <c r="AB147" i="41"/>
  <c r="AB23" i="65"/>
  <c r="AB81" i="65" s="1"/>
  <c r="AB92" i="65" s="1"/>
  <c r="AB48" i="105" s="1"/>
  <c r="AB85" i="105" s="1"/>
  <c r="H294" i="83"/>
  <c r="J46" i="55" s="1"/>
  <c r="AL23" i="65"/>
  <c r="AL81" i="65" s="1"/>
  <c r="AL92" i="65" s="1"/>
  <c r="AL48" i="105" s="1"/>
  <c r="AL85" i="105" s="1"/>
  <c r="AL89" i="105" s="1"/>
  <c r="AL158" i="105" s="1"/>
  <c r="AI147" i="41"/>
  <c r="AI23" i="65"/>
  <c r="AI81" i="65" s="1"/>
  <c r="AI92" i="65" s="1"/>
  <c r="AI48" i="105" s="1"/>
  <c r="AI85" i="105" s="1"/>
  <c r="AI89" i="105" s="1"/>
  <c r="AI124" i="105" s="1"/>
  <c r="CX103" i="41"/>
  <c r="CI103" i="41"/>
  <c r="AY103" i="41"/>
  <c r="AL147" i="41"/>
  <c r="DA103" i="41"/>
  <c r="CD103" i="41"/>
  <c r="CW103" i="41"/>
  <c r="AB103" i="41"/>
  <c r="BI103" i="41"/>
  <c r="AG103" i="41"/>
  <c r="CO103" i="41"/>
  <c r="V103" i="41"/>
  <c r="BW103" i="41"/>
  <c r="AM108" i="105"/>
  <c r="AM183" i="105"/>
  <c r="Y104" i="105"/>
  <c r="Y179" i="105"/>
  <c r="AG103" i="105"/>
  <c r="AG178" i="105"/>
  <c r="J94" i="105"/>
  <c r="J168" i="105"/>
  <c r="X96" i="105"/>
  <c r="X170" i="105"/>
  <c r="X97" i="105"/>
  <c r="X171" i="105"/>
  <c r="AG147" i="41"/>
  <c r="AG23" i="65"/>
  <c r="AG81" i="65" s="1"/>
  <c r="AG92" i="65" s="1"/>
  <c r="AG48" i="41"/>
  <c r="AG52" i="41" s="1"/>
  <c r="T107" i="105"/>
  <c r="T182" i="105"/>
  <c r="X106" i="105"/>
  <c r="X181" i="105"/>
  <c r="K97" i="105"/>
  <c r="K171" i="105"/>
  <c r="AB108" i="105"/>
  <c r="AB183" i="105"/>
  <c r="P108" i="105"/>
  <c r="P183" i="105"/>
  <c r="Y97" i="105"/>
  <c r="Y171" i="105"/>
  <c r="X107" i="105"/>
  <c r="X182" i="105"/>
  <c r="AC98" i="105"/>
  <c r="AC172" i="105"/>
  <c r="W23" i="65"/>
  <c r="W81" i="65" s="1"/>
  <c r="W92" i="65" s="1"/>
  <c r="W147" i="41"/>
  <c r="W48" i="41"/>
  <c r="W52" i="41" s="1"/>
  <c r="AO147" i="41"/>
  <c r="AO23" i="65"/>
  <c r="AO81" i="65" s="1"/>
  <c r="AO92" i="65" s="1"/>
  <c r="AO48" i="41"/>
  <c r="AO52" i="41" s="1"/>
  <c r="AJ147" i="41"/>
  <c r="AJ48" i="41"/>
  <c r="AJ52" i="41" s="1"/>
  <c r="AJ23" i="65"/>
  <c r="AJ81" i="65" s="1"/>
  <c r="AJ92" i="65" s="1"/>
  <c r="AJ48" i="105" s="1"/>
  <c r="AJ85" i="105" s="1"/>
  <c r="AJ89" i="105" s="1"/>
  <c r="AJ158" i="105" s="1"/>
  <c r="K107" i="105"/>
  <c r="K182" i="105"/>
  <c r="AB98" i="105"/>
  <c r="AB172" i="105"/>
  <c r="Y93" i="105"/>
  <c r="Y167" i="105"/>
  <c r="P98" i="105"/>
  <c r="P172" i="105"/>
  <c r="Y107" i="105"/>
  <c r="Y182" i="105"/>
  <c r="W107" i="105"/>
  <c r="W182" i="105"/>
  <c r="Z48" i="41"/>
  <c r="Z52" i="41" s="1"/>
  <c r="Z23" i="65"/>
  <c r="Z81" i="65" s="1"/>
  <c r="Z92" i="65" s="1"/>
  <c r="Z147" i="41"/>
  <c r="V48" i="41"/>
  <c r="V52" i="41" s="1"/>
  <c r="V23" i="65"/>
  <c r="V81" i="65" s="1"/>
  <c r="V92" i="65" s="1"/>
  <c r="V147" i="41"/>
  <c r="U48" i="41"/>
  <c r="U52" i="41" s="1"/>
  <c r="U23" i="65"/>
  <c r="U81" i="65" s="1"/>
  <c r="U92" i="65" s="1"/>
  <c r="U147" i="41"/>
  <c r="P101" i="65"/>
  <c r="P57" i="105" s="1"/>
  <c r="P110" i="65"/>
  <c r="P66" i="105" s="1"/>
  <c r="P48" i="105"/>
  <c r="P85" i="105" s="1"/>
  <c r="N97" i="105"/>
  <c r="N171" i="105"/>
  <c r="AA108" i="105"/>
  <c r="AA183" i="105"/>
  <c r="Y103" i="105"/>
  <c r="Y178" i="105"/>
  <c r="O97" i="105"/>
  <c r="O171" i="105"/>
  <c r="W108" i="105"/>
  <c r="W183" i="105"/>
  <c r="AA98" i="105"/>
  <c r="AA172" i="105"/>
  <c r="O107" i="105"/>
  <c r="O182" i="105"/>
  <c r="AA103" i="105"/>
  <c r="AA178" i="105"/>
  <c r="N107" i="105"/>
  <c r="N182" i="105"/>
  <c r="X108" i="105"/>
  <c r="X183" i="105"/>
  <c r="AA93" i="105"/>
  <c r="AA167" i="105"/>
  <c r="Z94" i="105"/>
  <c r="Z168" i="105"/>
  <c r="AA23" i="65"/>
  <c r="AA81" i="65" s="1"/>
  <c r="AA92" i="65" s="1"/>
  <c r="AA48" i="41"/>
  <c r="AA52" i="41" s="1"/>
  <c r="AA147" i="41"/>
  <c r="Y94" i="105"/>
  <c r="Y168" i="105"/>
  <c r="AE93" i="105"/>
  <c r="AE167" i="105"/>
  <c r="L108" i="105"/>
  <c r="L183" i="105"/>
  <c r="M94" i="105"/>
  <c r="M168" i="105"/>
  <c r="AE94" i="105"/>
  <c r="AE168" i="105"/>
  <c r="X98" i="105"/>
  <c r="X172" i="105"/>
  <c r="Y106" i="105"/>
  <c r="Y181" i="105"/>
  <c r="Z104" i="105"/>
  <c r="Z179" i="105"/>
  <c r="AE103" i="105"/>
  <c r="AE178" i="105"/>
  <c r="AC92" i="105"/>
  <c r="AC166" i="105"/>
  <c r="AE104" i="105"/>
  <c r="AE179" i="105"/>
  <c r="AA104" i="105"/>
  <c r="AA179" i="105"/>
  <c r="AB97" i="105"/>
  <c r="AB171" i="105"/>
  <c r="AI103" i="41"/>
  <c r="AE108" i="105"/>
  <c r="AE183" i="105"/>
  <c r="O94" i="105"/>
  <c r="O168" i="105"/>
  <c r="AC102" i="105"/>
  <c r="AC177" i="105"/>
  <c r="K104" i="105"/>
  <c r="K179" i="105"/>
  <c r="M104" i="105"/>
  <c r="M179" i="105"/>
  <c r="AA94" i="105"/>
  <c r="AA168" i="105"/>
  <c r="AB107" i="105"/>
  <c r="AB182" i="105"/>
  <c r="M98" i="105"/>
  <c r="M172" i="105"/>
  <c r="AE98" i="105"/>
  <c r="AE172" i="105"/>
  <c r="O104" i="105"/>
  <c r="O179" i="105"/>
  <c r="X23" i="65"/>
  <c r="X81" i="65" s="1"/>
  <c r="X92" i="65" s="1"/>
  <c r="X48" i="41"/>
  <c r="X52" i="41" s="1"/>
  <c r="X147" i="41"/>
  <c r="J97" i="105"/>
  <c r="J171" i="105"/>
  <c r="P52" i="41"/>
  <c r="J108" i="105"/>
  <c r="J183" i="105"/>
  <c r="L97" i="105"/>
  <c r="L171" i="105"/>
  <c r="L147" i="41"/>
  <c r="L23" i="65"/>
  <c r="L81" i="65" s="1"/>
  <c r="L92" i="65" s="1"/>
  <c r="L48" i="41"/>
  <c r="L52" i="41" s="1"/>
  <c r="AG93" i="105"/>
  <c r="AG167" i="105"/>
  <c r="J98" i="105"/>
  <c r="J172" i="105"/>
  <c r="K94" i="105"/>
  <c r="K168" i="105"/>
  <c r="L107" i="105"/>
  <c r="L182" i="105"/>
  <c r="AM104" i="105"/>
  <c r="AM179" i="105"/>
  <c r="AI108" i="105"/>
  <c r="AI183" i="105"/>
  <c r="S98" i="105"/>
  <c r="S172" i="105"/>
  <c r="L103" i="105"/>
  <c r="L178" i="105"/>
  <c r="M108" i="105"/>
  <c r="M183" i="105"/>
  <c r="AM48" i="41"/>
  <c r="AM52" i="41" s="1"/>
  <c r="AM23" i="65"/>
  <c r="AM81" i="65" s="1"/>
  <c r="AM92" i="65" s="1"/>
  <c r="AM147" i="41"/>
  <c r="L98" i="105"/>
  <c r="L172" i="105"/>
  <c r="K108" i="105"/>
  <c r="K183" i="105"/>
  <c r="L93" i="105"/>
  <c r="L167" i="105"/>
  <c r="AE48" i="41"/>
  <c r="AE52" i="41" s="1"/>
  <c r="AE147" i="41"/>
  <c r="AE23" i="65"/>
  <c r="AE81" i="65" s="1"/>
  <c r="AE92" i="65" s="1"/>
  <c r="X93" i="105"/>
  <c r="X167" i="105"/>
  <c r="X104" i="105"/>
  <c r="X179" i="105"/>
  <c r="X94" i="105"/>
  <c r="X168" i="105"/>
  <c r="AE102" i="105"/>
  <c r="AE177" i="105"/>
  <c r="AC94" i="105"/>
  <c r="AC168" i="105"/>
  <c r="AN103" i="41"/>
  <c r="K98" i="105"/>
  <c r="K172" i="105"/>
  <c r="S108" i="105"/>
  <c r="S183" i="105"/>
  <c r="BM103" i="41"/>
  <c r="P104" i="105"/>
  <c r="P179" i="105"/>
  <c r="AN23" i="65"/>
  <c r="AN81" i="65" s="1"/>
  <c r="AN92" i="65" s="1"/>
  <c r="AN48" i="105" s="1"/>
  <c r="AN85" i="105" s="1"/>
  <c r="AN89" i="105" s="1"/>
  <c r="AN158" i="105" s="1"/>
  <c r="AN147" i="41"/>
  <c r="AN48" i="41"/>
  <c r="AN52" i="41" s="1"/>
  <c r="S23" i="65"/>
  <c r="S81" i="65" s="1"/>
  <c r="S92" i="65" s="1"/>
  <c r="S48" i="41"/>
  <c r="S52" i="41" s="1"/>
  <c r="S147" i="41"/>
  <c r="AC104" i="105"/>
  <c r="AC179" i="105"/>
  <c r="L104" i="105"/>
  <c r="L179" i="105"/>
  <c r="AC93" i="105"/>
  <c r="AC167" i="105"/>
  <c r="P94" i="105"/>
  <c r="P168" i="105"/>
  <c r="O23" i="65"/>
  <c r="O81" i="65" s="1"/>
  <c r="O92" i="65" s="1"/>
  <c r="O48" i="41"/>
  <c r="O52" i="41" s="1"/>
  <c r="O147" i="41"/>
  <c r="X103" i="105"/>
  <c r="X178" i="105"/>
  <c r="Z98" i="105"/>
  <c r="Z172" i="105"/>
  <c r="J103" i="105"/>
  <c r="J178" i="105"/>
  <c r="AM103" i="105"/>
  <c r="AM178" i="105"/>
  <c r="N94" i="105"/>
  <c r="N168" i="105"/>
  <c r="AK147" i="41"/>
  <c r="AK48" i="41"/>
  <c r="AK52" i="41" s="1"/>
  <c r="AK23" i="65"/>
  <c r="AK81" i="65" s="1"/>
  <c r="AK92" i="65" s="1"/>
  <c r="AO103" i="105"/>
  <c r="AO178" i="105"/>
  <c r="V108" i="105"/>
  <c r="V183" i="105"/>
  <c r="M103" i="105"/>
  <c r="M178" i="105"/>
  <c r="L94" i="105"/>
  <c r="L168" i="105"/>
  <c r="AC103" i="105"/>
  <c r="AC178" i="105"/>
  <c r="O103" i="105"/>
  <c r="O178" i="105"/>
  <c r="N23" i="65"/>
  <c r="N81" i="65" s="1"/>
  <c r="N92" i="65" s="1"/>
  <c r="N147" i="41"/>
  <c r="N48" i="41"/>
  <c r="N52" i="41" s="1"/>
  <c r="AG104" i="105"/>
  <c r="AG179" i="105"/>
  <c r="Y98" i="105"/>
  <c r="Y172" i="105"/>
  <c r="T98" i="105"/>
  <c r="T172" i="105"/>
  <c r="N104" i="105"/>
  <c r="N179" i="105"/>
  <c r="O93" i="105"/>
  <c r="O167" i="105"/>
  <c r="Y48" i="41"/>
  <c r="Y52" i="41" s="1"/>
  <c r="Y147" i="41"/>
  <c r="Y23" i="65"/>
  <c r="Y81" i="65" s="1"/>
  <c r="Y92" i="65" s="1"/>
  <c r="Z108" i="105"/>
  <c r="Z183" i="105"/>
  <c r="V107" i="105"/>
  <c r="V182" i="105"/>
  <c r="Y108" i="105"/>
  <c r="Y183" i="105"/>
  <c r="AG108" i="105"/>
  <c r="AG183" i="105"/>
  <c r="T108" i="105"/>
  <c r="T183" i="105"/>
  <c r="K147" i="41"/>
  <c r="K48" i="41"/>
  <c r="K52" i="41" s="1"/>
  <c r="K23" i="65"/>
  <c r="K81" i="65" s="1"/>
  <c r="K92" i="65" s="1"/>
  <c r="U98" i="105"/>
  <c r="U172" i="105"/>
  <c r="P107" i="105"/>
  <c r="P182" i="105"/>
  <c r="CL103" i="41"/>
  <c r="AD23" i="65"/>
  <c r="AD81" i="65" s="1"/>
  <c r="AD92" i="65" s="1"/>
  <c r="AD48" i="41"/>
  <c r="AD52" i="41" s="1"/>
  <c r="AD147" i="41"/>
  <c r="J104" i="105"/>
  <c r="J179" i="105"/>
  <c r="M93" i="105"/>
  <c r="M167" i="105"/>
  <c r="M107" i="105"/>
  <c r="M182" i="105"/>
  <c r="AG94" i="105"/>
  <c r="AG168" i="105"/>
  <c r="Z93" i="105"/>
  <c r="Z167" i="105"/>
  <c r="M97" i="105"/>
  <c r="M171" i="105"/>
  <c r="AG98" i="105"/>
  <c r="AG172" i="105"/>
  <c r="J146" i="74"/>
  <c r="J161" i="74" s="1"/>
  <c r="J23" i="41" s="1"/>
  <c r="U108" i="105"/>
  <c r="U183" i="105"/>
  <c r="P97" i="105"/>
  <c r="P171" i="105"/>
  <c r="AP103" i="41"/>
  <c r="O98" i="105"/>
  <c r="O172" i="105"/>
  <c r="AH48" i="41"/>
  <c r="AH52" i="41" s="1"/>
  <c r="AH23" i="65"/>
  <c r="AH81" i="65" s="1"/>
  <c r="AH92" i="65" s="1"/>
  <c r="AH48" i="105" s="1"/>
  <c r="AH85" i="105" s="1"/>
  <c r="AH89" i="105" s="1"/>
  <c r="AH158" i="105" s="1"/>
  <c r="AH147" i="41"/>
  <c r="AC108" i="105"/>
  <c r="AC183" i="105"/>
  <c r="J93" i="105"/>
  <c r="J167" i="105"/>
  <c r="Z103" i="105"/>
  <c r="Z178" i="105"/>
  <c r="N98" i="105"/>
  <c r="N172" i="105"/>
  <c r="T48" i="41"/>
  <c r="T52" i="41" s="1"/>
  <c r="T147" i="41"/>
  <c r="T23" i="65"/>
  <c r="T81" i="65" s="1"/>
  <c r="T92" i="65" s="1"/>
  <c r="W103" i="41"/>
  <c r="O108" i="105"/>
  <c r="O183" i="105"/>
  <c r="U107" i="105"/>
  <c r="U182" i="105"/>
  <c r="T97" i="105"/>
  <c r="T171" i="105"/>
  <c r="U97" i="105"/>
  <c r="U171" i="105"/>
  <c r="J107" i="105"/>
  <c r="J182" i="105"/>
  <c r="AI103" i="105"/>
  <c r="AI178" i="105"/>
  <c r="AO108" i="105"/>
  <c r="AO183" i="105"/>
  <c r="N108" i="105"/>
  <c r="N183" i="105"/>
  <c r="M147" i="41"/>
  <c r="M48" i="41"/>
  <c r="M52" i="41" s="1"/>
  <c r="M23" i="65"/>
  <c r="M81" i="65" s="1"/>
  <c r="M92" i="65" s="1"/>
  <c r="AI104" i="105"/>
  <c r="AI179" i="105"/>
  <c r="AC23" i="65"/>
  <c r="AC81" i="65" s="1"/>
  <c r="AC92" i="65" s="1"/>
  <c r="AC48" i="41"/>
  <c r="AC52" i="41" s="1"/>
  <c r="AC147" i="41"/>
  <c r="BH103" i="41"/>
  <c r="AJ103" i="41"/>
  <c r="CJ103" i="41"/>
  <c r="DD103" i="41"/>
  <c r="AA103" i="41"/>
  <c r="BV103" i="41"/>
  <c r="CN103" i="41"/>
  <c r="AS103" i="41"/>
  <c r="H87" i="105"/>
  <c r="P102" i="65"/>
  <c r="P58" i="105" s="1"/>
  <c r="P111" i="65"/>
  <c r="P67" i="105" s="1"/>
  <c r="P49" i="105"/>
  <c r="P86" i="105" s="1"/>
  <c r="H49" i="41"/>
  <c r="J111" i="65"/>
  <c r="J67" i="105" s="1"/>
  <c r="J102" i="65"/>
  <c r="J58" i="105" s="1"/>
  <c r="J49" i="105"/>
  <c r="J86" i="105" s="1"/>
  <c r="N49" i="105"/>
  <c r="N86" i="105" s="1"/>
  <c r="N111" i="65"/>
  <c r="N67" i="105" s="1"/>
  <c r="N102" i="65"/>
  <c r="N58" i="105" s="1"/>
  <c r="H88" i="105"/>
  <c r="AE54" i="105"/>
  <c r="AA102" i="65"/>
  <c r="AA58" i="105" s="1"/>
  <c r="AA49" i="105"/>
  <c r="AA86" i="105" s="1"/>
  <c r="AA111" i="65"/>
  <c r="AA67" i="105" s="1"/>
  <c r="T102" i="65"/>
  <c r="T58" i="105" s="1"/>
  <c r="T111" i="65"/>
  <c r="T67" i="105" s="1"/>
  <c r="T49" i="105"/>
  <c r="T86" i="105" s="1"/>
  <c r="U102" i="65"/>
  <c r="U58" i="105" s="1"/>
  <c r="U111" i="65"/>
  <c r="U67" i="105" s="1"/>
  <c r="U49" i="105"/>
  <c r="U86" i="105" s="1"/>
  <c r="V111" i="65"/>
  <c r="V67" i="105" s="1"/>
  <c r="V49" i="105"/>
  <c r="V86" i="105" s="1"/>
  <c r="AM63" i="105"/>
  <c r="O102" i="65"/>
  <c r="O58" i="105" s="1"/>
  <c r="O49" i="105"/>
  <c r="O86" i="105" s="1"/>
  <c r="O111" i="65"/>
  <c r="O67" i="105" s="1"/>
  <c r="Z49" i="105"/>
  <c r="Z86" i="105" s="1"/>
  <c r="Z111" i="65"/>
  <c r="Z67" i="105" s="1"/>
  <c r="Z102" i="65"/>
  <c r="Z58" i="105" s="1"/>
  <c r="W49" i="105"/>
  <c r="W86" i="105" s="1"/>
  <c r="W111" i="65"/>
  <c r="W67" i="105" s="1"/>
  <c r="AI63" i="105"/>
  <c r="M111" i="65"/>
  <c r="M67" i="105" s="1"/>
  <c r="M102" i="65"/>
  <c r="M58" i="105" s="1"/>
  <c r="M49" i="105"/>
  <c r="M86" i="105" s="1"/>
  <c r="J103" i="41"/>
  <c r="BD103" i="41"/>
  <c r="AX103" i="41"/>
  <c r="BK103" i="41"/>
  <c r="DC103" i="41"/>
  <c r="CE103" i="41"/>
  <c r="K102" i="65"/>
  <c r="K58" i="105" s="1"/>
  <c r="K49" i="105"/>
  <c r="K86" i="105" s="1"/>
  <c r="K111" i="65"/>
  <c r="K67" i="105" s="1"/>
  <c r="AK63" i="105"/>
  <c r="AK102" i="105" s="1"/>
  <c r="H45" i="41"/>
  <c r="AO63" i="105"/>
  <c r="S49" i="105"/>
  <c r="S86" i="105" s="1"/>
  <c r="S111" i="65"/>
  <c r="S67" i="105" s="1"/>
  <c r="S102" i="65"/>
  <c r="S58" i="105" s="1"/>
  <c r="L111" i="65"/>
  <c r="L67" i="105" s="1"/>
  <c r="L49" i="105"/>
  <c r="L86" i="105" s="1"/>
  <c r="L102" i="65"/>
  <c r="L58" i="105" s="1"/>
  <c r="AG63" i="105"/>
  <c r="CB103" i="41"/>
  <c r="AG54" i="105"/>
  <c r="Y96" i="105" l="1"/>
  <c r="AB96" i="105"/>
  <c r="H165" i="74" a="1"/>
  <c r="H165" i="74" s="1"/>
  <c r="A4" i="74" s="1"/>
  <c r="AB106" i="105"/>
  <c r="AB110" i="65"/>
  <c r="AB66" i="105" s="1"/>
  <c r="AB180" i="105" s="1"/>
  <c r="AB101" i="65"/>
  <c r="AB57" i="105" s="1"/>
  <c r="AB169" i="105" s="1"/>
  <c r="A4" i="83"/>
  <c r="AI110" i="65"/>
  <c r="H97" i="105"/>
  <c r="H107" i="105"/>
  <c r="H98" i="105"/>
  <c r="H108" i="105"/>
  <c r="U96" i="105"/>
  <c r="U170" i="105"/>
  <c r="T48" i="105"/>
  <c r="T85" i="105" s="1"/>
  <c r="T101" i="65"/>
  <c r="T57" i="105" s="1"/>
  <c r="T110" i="65"/>
  <c r="T66" i="105" s="1"/>
  <c r="N101" i="65"/>
  <c r="N57" i="105" s="1"/>
  <c r="N110" i="65"/>
  <c r="N66" i="105" s="1"/>
  <c r="N48" i="105"/>
  <c r="N85" i="105" s="1"/>
  <c r="M96" i="105"/>
  <c r="M170" i="105"/>
  <c r="M106" i="105"/>
  <c r="M181" i="105"/>
  <c r="T96" i="105"/>
  <c r="T170" i="105"/>
  <c r="AC48" i="105"/>
  <c r="AC85" i="105" s="1"/>
  <c r="AC89" i="105" s="1"/>
  <c r="AC156" i="105" s="1"/>
  <c r="AC59" i="82" s="1"/>
  <c r="AC101" i="65"/>
  <c r="AC57" i="105" s="1"/>
  <c r="AC110" i="65"/>
  <c r="AC66" i="105" s="1"/>
  <c r="L106" i="105"/>
  <c r="L181" i="105"/>
  <c r="J48" i="41"/>
  <c r="J23" i="65"/>
  <c r="J81" i="65" s="1"/>
  <c r="J92" i="65" s="1"/>
  <c r="J147" i="41"/>
  <c r="AI102" i="105"/>
  <c r="AI177" i="105"/>
  <c r="L48" i="105"/>
  <c r="L85" i="105" s="1"/>
  <c r="L110" i="65"/>
  <c r="L66" i="105" s="1"/>
  <c r="L101" i="65"/>
  <c r="L57" i="105" s="1"/>
  <c r="P105" i="105"/>
  <c r="P180" i="105"/>
  <c r="L96" i="105"/>
  <c r="L170" i="105"/>
  <c r="AA106" i="105"/>
  <c r="AA181" i="105"/>
  <c r="AA96" i="105"/>
  <c r="AA170" i="105"/>
  <c r="P95" i="105"/>
  <c r="P169" i="105"/>
  <c r="V106" i="105"/>
  <c r="V181" i="105"/>
  <c r="AA101" i="65"/>
  <c r="AA57" i="105" s="1"/>
  <c r="AA110" i="65"/>
  <c r="AA66" i="105" s="1"/>
  <c r="AA48" i="105"/>
  <c r="AA85" i="105" s="1"/>
  <c r="AG57" i="82"/>
  <c r="AI190" i="105"/>
  <c r="O110" i="65"/>
  <c r="O66" i="105" s="1"/>
  <c r="O101" i="65"/>
  <c r="O57" i="105" s="1"/>
  <c r="O48" i="105"/>
  <c r="O85" i="105" s="1"/>
  <c r="AM110" i="65"/>
  <c r="AM48" i="105"/>
  <c r="AM85" i="105" s="1"/>
  <c r="AM89" i="105" s="1"/>
  <c r="AM124" i="105" s="1"/>
  <c r="AG48" i="105"/>
  <c r="AG85" i="105" s="1"/>
  <c r="AG89" i="105" s="1"/>
  <c r="AG124" i="105" s="1"/>
  <c r="AG110" i="65"/>
  <c r="AG101" i="65"/>
  <c r="AG102" i="105"/>
  <c r="AG177" i="105"/>
  <c r="AO102" i="105"/>
  <c r="AO177" i="105"/>
  <c r="U110" i="65"/>
  <c r="U66" i="105" s="1"/>
  <c r="U101" i="65"/>
  <c r="U57" i="105" s="1"/>
  <c r="U48" i="105"/>
  <c r="U85" i="105" s="1"/>
  <c r="AO48" i="105"/>
  <c r="AO85" i="105" s="1"/>
  <c r="AO89" i="105" s="1"/>
  <c r="AO110" i="65"/>
  <c r="T106" i="105"/>
  <c r="T181" i="105"/>
  <c r="N96" i="105"/>
  <c r="N170" i="105"/>
  <c r="AE110" i="65"/>
  <c r="AE66" i="105" s="1"/>
  <c r="AE101" i="65"/>
  <c r="AE48" i="105"/>
  <c r="AE85" i="105" s="1"/>
  <c r="AE89" i="105" s="1"/>
  <c r="AE156" i="105" s="1"/>
  <c r="AE59" i="82" s="1"/>
  <c r="Z96" i="105"/>
  <c r="Z170" i="105"/>
  <c r="N106" i="105"/>
  <c r="N181" i="105"/>
  <c r="Y101" i="65"/>
  <c r="Y57" i="105" s="1"/>
  <c r="Y48" i="105"/>
  <c r="Y85" i="105" s="1"/>
  <c r="Y110" i="65"/>
  <c r="Y66" i="105" s="1"/>
  <c r="V48" i="105"/>
  <c r="V85" i="105" s="1"/>
  <c r="V110" i="65"/>
  <c r="V66" i="105" s="1"/>
  <c r="U106" i="105"/>
  <c r="U181" i="105"/>
  <c r="W110" i="65"/>
  <c r="W66" i="105" s="1"/>
  <c r="W48" i="105"/>
  <c r="W85" i="105" s="1"/>
  <c r="M110" i="65"/>
  <c r="M66" i="105" s="1"/>
  <c r="M101" i="65"/>
  <c r="M57" i="105" s="1"/>
  <c r="M48" i="105"/>
  <c r="M85" i="105" s="1"/>
  <c r="AE92" i="105"/>
  <c r="AE166" i="105"/>
  <c r="S106" i="105"/>
  <c r="S181" i="105"/>
  <c r="W106" i="105"/>
  <c r="W181" i="105"/>
  <c r="Z106" i="105"/>
  <c r="Z181" i="105"/>
  <c r="O106" i="105"/>
  <c r="O181" i="105"/>
  <c r="J96" i="105"/>
  <c r="J170" i="105"/>
  <c r="Z48" i="105"/>
  <c r="Z85" i="105" s="1"/>
  <c r="Z110" i="65"/>
  <c r="Z66" i="105" s="1"/>
  <c r="Z101" i="65"/>
  <c r="Z57" i="105" s="1"/>
  <c r="K110" i="65"/>
  <c r="K66" i="105" s="1"/>
  <c r="K101" i="65"/>
  <c r="K57" i="105" s="1"/>
  <c r="K48" i="105"/>
  <c r="K85" i="105" s="1"/>
  <c r="P96" i="105"/>
  <c r="P170" i="105"/>
  <c r="J106" i="105"/>
  <c r="J181" i="105"/>
  <c r="AD48" i="105"/>
  <c r="AD85" i="105" s="1"/>
  <c r="AD89" i="105" s="1"/>
  <c r="AD158" i="105" s="1"/>
  <c r="AD60" i="82" s="1"/>
  <c r="AD110" i="65"/>
  <c r="AD66" i="105" s="1"/>
  <c r="AD105" i="105" s="1"/>
  <c r="AD109" i="105" s="1"/>
  <c r="S48" i="105"/>
  <c r="S85" i="105" s="1"/>
  <c r="S101" i="65"/>
  <c r="S57" i="105" s="1"/>
  <c r="S110" i="65"/>
  <c r="S66" i="105" s="1"/>
  <c r="K106" i="105"/>
  <c r="K181" i="105"/>
  <c r="O96" i="105"/>
  <c r="O170" i="105"/>
  <c r="AK110" i="65"/>
  <c r="AK48" i="105"/>
  <c r="AK85" i="105" s="1"/>
  <c r="AK89" i="105" s="1"/>
  <c r="AK158" i="105" s="1"/>
  <c r="AH60" i="82" s="1"/>
  <c r="S96" i="105"/>
  <c r="S170" i="105"/>
  <c r="AG92" i="105"/>
  <c r="AG166" i="105"/>
  <c r="X48" i="105"/>
  <c r="X85" i="105" s="1"/>
  <c r="X110" i="65"/>
  <c r="X66" i="105" s="1"/>
  <c r="X101" i="65"/>
  <c r="X57" i="105" s="1"/>
  <c r="K96" i="105"/>
  <c r="K170" i="105"/>
  <c r="AM102" i="105"/>
  <c r="AM177" i="105"/>
  <c r="P106" i="105"/>
  <c r="P181" i="105"/>
  <c r="AO104" i="41"/>
  <c r="CC104" i="41"/>
  <c r="CT104" i="41"/>
  <c r="BP104" i="41"/>
  <c r="AB104" i="41"/>
  <c r="BG104" i="41"/>
  <c r="BR104" i="41"/>
  <c r="V104" i="41"/>
  <c r="M104" i="41"/>
  <c r="AK104" i="41"/>
  <c r="AL104" i="41"/>
  <c r="BJ104" i="41"/>
  <c r="X104" i="41"/>
  <c r="BA104" i="41"/>
  <c r="BW104" i="41"/>
  <c r="AN104" i="41"/>
  <c r="AU104" i="41"/>
  <c r="CR104" i="41"/>
  <c r="BN104" i="41"/>
  <c r="CN104" i="41"/>
  <c r="DA104" i="41"/>
  <c r="AZ104" i="41"/>
  <c r="CQ104" i="41"/>
  <c r="DB104" i="41"/>
  <c r="AC104" i="41"/>
  <c r="L104" i="41"/>
  <c r="BC104" i="41"/>
  <c r="S104" i="41"/>
  <c r="AQ104" i="41"/>
  <c r="CK104" i="41"/>
  <c r="AX104" i="41"/>
  <c r="CX104" i="41"/>
  <c r="AM104" i="41"/>
  <c r="CG104" i="41"/>
  <c r="BH104" i="41"/>
  <c r="CI104" i="41"/>
  <c r="BU104" i="41"/>
  <c r="CF104" i="41"/>
  <c r="O104" i="41"/>
  <c r="P104" i="41"/>
  <c r="BX104" i="41"/>
  <c r="BV104" i="41"/>
  <c r="DD104" i="41"/>
  <c r="AH104" i="41"/>
  <c r="CU104" i="41"/>
  <c r="AR104" i="41"/>
  <c r="AF104" i="41"/>
  <c r="N104" i="41"/>
  <c r="AY104" i="41"/>
  <c r="BQ104" i="41"/>
  <c r="Z104" i="41"/>
  <c r="CZ104" i="41"/>
  <c r="AW104" i="41"/>
  <c r="CL104" i="41"/>
  <c r="BI104" i="41"/>
  <c r="AT104" i="41"/>
  <c r="K104" i="41"/>
  <c r="CE104" i="41"/>
  <c r="CA104" i="41"/>
  <c r="AD104" i="41"/>
  <c r="T104" i="41"/>
  <c r="DC104" i="41"/>
  <c r="Y104" i="41"/>
  <c r="BL104" i="41"/>
  <c r="BS104" i="41"/>
  <c r="BF104" i="41"/>
  <c r="R104" i="41"/>
  <c r="BK104" i="41"/>
  <c r="BE104" i="41"/>
  <c r="Q104" i="41"/>
  <c r="AV104" i="41"/>
  <c r="CY104" i="41"/>
  <c r="BD104" i="41"/>
  <c r="BT104" i="41"/>
  <c r="W104" i="41"/>
  <c r="CJ104" i="41"/>
  <c r="AI104" i="41"/>
  <c r="J104" i="41"/>
  <c r="BM104" i="41"/>
  <c r="AP104" i="41"/>
  <c r="AA104" i="41"/>
  <c r="U104" i="41"/>
  <c r="BZ104" i="41"/>
  <c r="CD104" i="41"/>
  <c r="CP104" i="41"/>
  <c r="AS104" i="41"/>
  <c r="CS104" i="41"/>
  <c r="BO104" i="41"/>
  <c r="CH104" i="41"/>
  <c r="CW104" i="41"/>
  <c r="CB104" i="41"/>
  <c r="AI158" i="105"/>
  <c r="AG60" i="82" s="1"/>
  <c r="AI130" i="105"/>
  <c r="AG58" i="82" s="1"/>
  <c r="AI156" i="105"/>
  <c r="AG59" i="82" s="1"/>
  <c r="AJ104" i="41"/>
  <c r="CO104" i="41"/>
  <c r="AE104" i="41"/>
  <c r="CM104" i="41"/>
  <c r="AG104" i="41"/>
  <c r="BB104" i="41"/>
  <c r="CV104" i="41"/>
  <c r="BY104" i="41"/>
  <c r="H86" i="105"/>
  <c r="AB105" i="105" l="1"/>
  <c r="J51" i="55"/>
  <c r="AM158" i="105"/>
  <c r="AI60" i="82" s="1"/>
  <c r="AB95" i="105"/>
  <c r="AM156" i="105"/>
  <c r="AI59" i="82" s="1"/>
  <c r="AM130" i="105"/>
  <c r="AI58" i="82" s="1"/>
  <c r="AI66" i="105"/>
  <c r="J111" i="106" a="1"/>
  <c r="H96" i="105"/>
  <c r="AG156" i="105"/>
  <c r="AF59" i="82" s="1"/>
  <c r="AG130" i="105"/>
  <c r="AF58" i="82" s="1"/>
  <c r="AG158" i="105"/>
  <c r="AF60" i="82" s="1"/>
  <c r="H106" i="105"/>
  <c r="J48" i="105"/>
  <c r="J85" i="105" s="1"/>
  <c r="H85" i="105" s="1"/>
  <c r="J101" i="65"/>
  <c r="J57" i="105" s="1"/>
  <c r="J110" i="65"/>
  <c r="J66" i="105" s="1"/>
  <c r="M105" i="105"/>
  <c r="M180" i="105"/>
  <c r="W105" i="105"/>
  <c r="W180" i="105"/>
  <c r="AO124" i="105"/>
  <c r="AO158" i="105"/>
  <c r="AJ60" i="82" s="1"/>
  <c r="AO130" i="105"/>
  <c r="AJ58" i="82" s="1"/>
  <c r="AO156" i="105"/>
  <c r="AJ59" i="82" s="1"/>
  <c r="AA95" i="105"/>
  <c r="AA169" i="105"/>
  <c r="AC95" i="105"/>
  <c r="AC99" i="105" s="1"/>
  <c r="AC169" i="105"/>
  <c r="AC173" i="105" s="1"/>
  <c r="AC158" i="105"/>
  <c r="AC60" i="82" s="1"/>
  <c r="AC124" i="105"/>
  <c r="AC130" i="105"/>
  <c r="AC58" i="82" s="1"/>
  <c r="K95" i="105"/>
  <c r="K169" i="105"/>
  <c r="U95" i="105"/>
  <c r="U169" i="105"/>
  <c r="X95" i="105"/>
  <c r="X169" i="105"/>
  <c r="K105" i="105"/>
  <c r="K180" i="105"/>
  <c r="U105" i="105"/>
  <c r="U180" i="105"/>
  <c r="M95" i="105"/>
  <c r="M169" i="105"/>
  <c r="X105" i="105"/>
  <c r="X180" i="105"/>
  <c r="Z95" i="105"/>
  <c r="Z169" i="105"/>
  <c r="V105" i="105"/>
  <c r="V180" i="105"/>
  <c r="H48" i="41"/>
  <c r="BJ113" i="41"/>
  <c r="N113" i="41"/>
  <c r="R113" i="41"/>
  <c r="BN113" i="41"/>
  <c r="U113" i="41"/>
  <c r="BA113" i="41"/>
  <c r="CO113" i="41"/>
  <c r="K113" i="41"/>
  <c r="BL113" i="41"/>
  <c r="BO113" i="41"/>
  <c r="CP113" i="41"/>
  <c r="AC113" i="41"/>
  <c r="AW113" i="41"/>
  <c r="BX113" i="41"/>
  <c r="W113" i="41"/>
  <c r="BY113" i="41"/>
  <c r="Q113" i="41"/>
  <c r="CU113" i="41"/>
  <c r="Z113" i="41"/>
  <c r="AB113" i="41"/>
  <c r="BF113" i="41"/>
  <c r="M113" i="41"/>
  <c r="AU113" i="41"/>
  <c r="V113" i="41"/>
  <c r="CE113" i="41"/>
  <c r="AT113" i="41"/>
  <c r="CK113" i="41"/>
  <c r="CA113" i="41"/>
  <c r="CL113" i="41"/>
  <c r="AO113" i="41"/>
  <c r="CV113" i="41"/>
  <c r="Y113" i="41"/>
  <c r="X113" i="41"/>
  <c r="P113" i="41"/>
  <c r="CY113" i="41"/>
  <c r="CQ113" i="41"/>
  <c r="AS113" i="41"/>
  <c r="DA113" i="41"/>
  <c r="BZ113" i="41"/>
  <c r="CZ113" i="41"/>
  <c r="BP113" i="41"/>
  <c r="AD113" i="41"/>
  <c r="CB113" i="41"/>
  <c r="DB113" i="41"/>
  <c r="AA113" i="41"/>
  <c r="BH113" i="41"/>
  <c r="CD113" i="41"/>
  <c r="AI113" i="41"/>
  <c r="CJ113" i="41"/>
  <c r="AG113" i="41"/>
  <c r="BS113" i="41"/>
  <c r="BV113" i="41"/>
  <c r="BU113" i="41"/>
  <c r="CG113" i="41"/>
  <c r="AY113" i="41"/>
  <c r="BR113" i="41"/>
  <c r="BT113" i="41"/>
  <c r="AZ113" i="41"/>
  <c r="BE113" i="41"/>
  <c r="BD113" i="41"/>
  <c r="DD113" i="41"/>
  <c r="AF113" i="41"/>
  <c r="T113" i="41"/>
  <c r="CM113" i="41"/>
  <c r="AJ113" i="41"/>
  <c r="CI113" i="41"/>
  <c r="O113" i="41"/>
  <c r="J52" i="41"/>
  <c r="H52" i="41" s="1"/>
  <c r="AK113" i="41"/>
  <c r="AH113" i="41"/>
  <c r="CW113" i="41"/>
  <c r="AN113" i="41"/>
  <c r="AQ113" i="41"/>
  <c r="BK113" i="41"/>
  <c r="CH113" i="41"/>
  <c r="BW113" i="41"/>
  <c r="BQ113" i="41"/>
  <c r="BM113" i="41"/>
  <c r="BI113" i="41"/>
  <c r="CT113" i="41"/>
  <c r="CF113" i="41"/>
  <c r="CN113" i="41"/>
  <c r="AR113" i="41"/>
  <c r="CX113" i="41"/>
  <c r="S113" i="41"/>
  <c r="J113" i="41"/>
  <c r="J115" i="41" s="1"/>
  <c r="BC113" i="41"/>
  <c r="DC113" i="41"/>
  <c r="CR113" i="41"/>
  <c r="CC113" i="41"/>
  <c r="AM113" i="41"/>
  <c r="AX113" i="41"/>
  <c r="BG113" i="41"/>
  <c r="AP113" i="41"/>
  <c r="BB113" i="41"/>
  <c r="CS113" i="41"/>
  <c r="AE113" i="41"/>
  <c r="AV113" i="41"/>
  <c r="L113" i="41"/>
  <c r="AL113" i="41"/>
  <c r="Z105" i="105"/>
  <c r="Z180" i="105"/>
  <c r="Y105" i="105"/>
  <c r="Y180" i="105"/>
  <c r="AA105" i="105"/>
  <c r="AA180" i="105"/>
  <c r="Y95" i="105"/>
  <c r="Y169" i="105"/>
  <c r="AK66" i="105"/>
  <c r="AK105" i="105" s="1"/>
  <c r="AK109" i="105" s="1"/>
  <c r="J113" i="106" a="1"/>
  <c r="AG57" i="105"/>
  <c r="J74" i="106" a="1"/>
  <c r="N105" i="105"/>
  <c r="N180" i="105"/>
  <c r="AG66" i="105"/>
  <c r="J109" i="106" a="1"/>
  <c r="N95" i="105"/>
  <c r="N169" i="105"/>
  <c r="AF57" i="82"/>
  <c r="L95" i="105"/>
  <c r="L169" i="105"/>
  <c r="T105" i="105"/>
  <c r="T180" i="105"/>
  <c r="AC105" i="105"/>
  <c r="AC109" i="105" s="1"/>
  <c r="AC180" i="105"/>
  <c r="AC184" i="105" s="1"/>
  <c r="AE130" i="105"/>
  <c r="AE58" i="82" s="1"/>
  <c r="AE124" i="105"/>
  <c r="AI57" i="82"/>
  <c r="AM190" i="105"/>
  <c r="L105" i="105"/>
  <c r="L180" i="105"/>
  <c r="T95" i="105"/>
  <c r="T169" i="105"/>
  <c r="AO66" i="105"/>
  <c r="J117" i="106" a="1"/>
  <c r="AE57" i="105"/>
  <c r="J72" i="106" a="1"/>
  <c r="AM66" i="105"/>
  <c r="J115" i="106" a="1"/>
  <c r="S105" i="105"/>
  <c r="S180" i="105"/>
  <c r="AE105" i="105"/>
  <c r="AE109" i="105" s="1"/>
  <c r="AE180" i="105"/>
  <c r="AE184" i="105" s="1"/>
  <c r="AE158" i="105"/>
  <c r="AE60" i="82" s="1"/>
  <c r="S95" i="105"/>
  <c r="S169" i="105"/>
  <c r="O95" i="105"/>
  <c r="O169" i="105"/>
  <c r="O105" i="105"/>
  <c r="O180" i="105"/>
  <c r="AE105" i="41"/>
  <c r="BG105" i="41"/>
  <c r="M105" i="41"/>
  <c r="AC105" i="41"/>
  <c r="BH105" i="41"/>
  <c r="W105" i="41"/>
  <c r="CL105" i="41"/>
  <c r="CF105" i="41"/>
  <c r="BE105" i="41"/>
  <c r="CZ105" i="41"/>
  <c r="BX105" i="41"/>
  <c r="BU105" i="41"/>
  <c r="BK105" i="41"/>
  <c r="Z105" i="41"/>
  <c r="P105" i="41"/>
  <c r="L105" i="41"/>
  <c r="AS105" i="41"/>
  <c r="CQ105" i="41"/>
  <c r="BQ105" i="41"/>
  <c r="AK105" i="41"/>
  <c r="BY105" i="41"/>
  <c r="CO105" i="41"/>
  <c r="CP105" i="41"/>
  <c r="AP105" i="41"/>
  <c r="AZ105" i="41"/>
  <c r="DA105" i="41"/>
  <c r="CC105" i="41"/>
  <c r="BM105" i="41"/>
  <c r="R105" i="41"/>
  <c r="AL105" i="41"/>
  <c r="AJ105" i="41"/>
  <c r="AM105" i="41"/>
  <c r="J105" i="41"/>
  <c r="BJ105" i="41"/>
  <c r="AI105" i="41"/>
  <c r="AY105" i="41"/>
  <c r="BR105" i="41"/>
  <c r="BW105" i="41"/>
  <c r="O105" i="41"/>
  <c r="AW105" i="41"/>
  <c r="CV105" i="41"/>
  <c r="CB105" i="41"/>
  <c r="CD105" i="41"/>
  <c r="BT105" i="41"/>
  <c r="CX105" i="41"/>
  <c r="BD105" i="41"/>
  <c r="BF105" i="41"/>
  <c r="T105" i="41"/>
  <c r="BA105" i="41"/>
  <c r="BS105" i="41"/>
  <c r="AD105" i="41"/>
  <c r="CK105" i="41"/>
  <c r="BB105" i="41"/>
  <c r="AG105" i="41"/>
  <c r="BL105" i="41"/>
  <c r="CA105" i="41"/>
  <c r="N105" i="41"/>
  <c r="AO105" i="41"/>
  <c r="BO105" i="41"/>
  <c r="CM105" i="41"/>
  <c r="BZ105" i="41"/>
  <c r="Y105" i="41"/>
  <c r="CE105" i="41"/>
  <c r="AF105" i="41"/>
  <c r="CT105" i="41"/>
  <c r="U105" i="41"/>
  <c r="AA105" i="41"/>
  <c r="S105" i="41"/>
  <c r="AT105" i="41"/>
  <c r="CU105" i="41"/>
  <c r="X105" i="41"/>
  <c r="DC105" i="41"/>
  <c r="CW105" i="41"/>
  <c r="AV105" i="41"/>
  <c r="CR105" i="41"/>
  <c r="V105" i="41"/>
  <c r="BV105" i="41"/>
  <c r="AU105" i="41"/>
  <c r="AB105" i="41"/>
  <c r="AR105" i="41"/>
  <c r="DD105" i="41"/>
  <c r="AX105" i="41"/>
  <c r="BI105" i="41"/>
  <c r="AN105" i="41"/>
  <c r="CN105" i="41"/>
  <c r="AQ105" i="41"/>
  <c r="CS105" i="41"/>
  <c r="CH105" i="41"/>
  <c r="CG105" i="41"/>
  <c r="CI105" i="41"/>
  <c r="K105" i="41"/>
  <c r="AH105" i="41"/>
  <c r="CJ105" i="41"/>
  <c r="Q105" i="41"/>
  <c r="BN105" i="41"/>
  <c r="CY105" i="41"/>
  <c r="BP105" i="41"/>
  <c r="BC105" i="41"/>
  <c r="DB105" i="41"/>
  <c r="O111" i="106" l="1"/>
  <c r="J111" i="106"/>
  <c r="L111" i="106"/>
  <c r="K111" i="106"/>
  <c r="M111" i="106"/>
  <c r="N111" i="106"/>
  <c r="P111" i="106"/>
  <c r="AI105" i="105"/>
  <c r="AI109" i="105" s="1"/>
  <c r="AI180" i="105"/>
  <c r="AI184" i="105" s="1"/>
  <c r="AI191" i="105" s="1"/>
  <c r="AG69" i="82" s="1"/>
  <c r="J72" i="106"/>
  <c r="P72" i="106"/>
  <c r="O72" i="106"/>
  <c r="N72" i="106"/>
  <c r="M72" i="106"/>
  <c r="K72" i="106"/>
  <c r="L72" i="106"/>
  <c r="K109" i="106"/>
  <c r="O109" i="106"/>
  <c r="P109" i="106"/>
  <c r="L109" i="106"/>
  <c r="J109" i="106"/>
  <c r="M109" i="106"/>
  <c r="N109" i="106"/>
  <c r="AC190" i="105"/>
  <c r="AC68" i="82" s="1"/>
  <c r="AC57" i="82"/>
  <c r="AC191" i="105"/>
  <c r="AC69" i="82" s="1"/>
  <c r="AE95" i="105"/>
  <c r="AE99" i="105" s="1"/>
  <c r="AE169" i="105"/>
  <c r="AE173" i="105" s="1"/>
  <c r="AE190" i="105" s="1"/>
  <c r="AE68" i="82" s="1"/>
  <c r="AG105" i="105"/>
  <c r="AG109" i="105" s="1"/>
  <c r="AG180" i="105"/>
  <c r="AG184" i="105" s="1"/>
  <c r="AG191" i="105" s="1"/>
  <c r="AF69" i="82" s="1"/>
  <c r="AM105" i="105"/>
  <c r="AM109" i="105" s="1"/>
  <c r="AM180" i="105"/>
  <c r="AM184" i="105" s="1"/>
  <c r="AM191" i="105" s="1"/>
  <c r="AI69" i="82" s="1"/>
  <c r="P117" i="106"/>
  <c r="N117" i="106"/>
  <c r="K117" i="106"/>
  <c r="O117" i="106"/>
  <c r="J117" i="106"/>
  <c r="L117" i="106"/>
  <c r="M117" i="106"/>
  <c r="AO105" i="105"/>
  <c r="AO109" i="105" s="1"/>
  <c r="AO180" i="105"/>
  <c r="AO184" i="105" s="1"/>
  <c r="AO191" i="105" s="1"/>
  <c r="AJ69" i="82" s="1"/>
  <c r="M74" i="106"/>
  <c r="L74" i="106"/>
  <c r="O74" i="106"/>
  <c r="K74" i="106"/>
  <c r="P74" i="106"/>
  <c r="J74" i="106"/>
  <c r="N74" i="106"/>
  <c r="AG95" i="105"/>
  <c r="AG99" i="105" s="1"/>
  <c r="AG169" i="105"/>
  <c r="AG173" i="105" s="1"/>
  <c r="AG190" i="105" s="1"/>
  <c r="AF68" i="82" s="1"/>
  <c r="K113" i="106"/>
  <c r="P113" i="106"/>
  <c r="N113" i="106"/>
  <c r="J113" i="106"/>
  <c r="O113" i="106"/>
  <c r="L113" i="106"/>
  <c r="M113" i="106"/>
  <c r="H54" i="41"/>
  <c r="H84" i="41" s="1"/>
  <c r="H74" i="105"/>
  <c r="H114" i="105" s="1"/>
  <c r="AJ57" i="82"/>
  <c r="AO190" i="105"/>
  <c r="AE191" i="105"/>
  <c r="AE69" i="82" s="1"/>
  <c r="AE57" i="82"/>
  <c r="L115" i="106"/>
  <c r="O115" i="106"/>
  <c r="J115" i="106"/>
  <c r="P115" i="106"/>
  <c r="K115" i="106"/>
  <c r="M115" i="106"/>
  <c r="N115" i="106"/>
  <c r="H139" i="41"/>
  <c r="J117" i="41"/>
  <c r="J105" i="105"/>
  <c r="J180" i="105"/>
  <c r="J95" i="105"/>
  <c r="J169" i="105"/>
  <c r="AN111" i="41"/>
  <c r="CP111" i="41"/>
  <c r="AC111" i="41"/>
  <c r="AO111" i="41"/>
  <c r="BG111" i="41"/>
  <c r="DB111" i="41"/>
  <c r="CL111" i="41"/>
  <c r="L111" i="41"/>
  <c r="Y111" i="41"/>
  <c r="BO111" i="41"/>
  <c r="CG111" i="41"/>
  <c r="CN111" i="41"/>
  <c r="BV111" i="41"/>
  <c r="CZ111" i="41"/>
  <c r="AF111" i="41"/>
  <c r="P111" i="41"/>
  <c r="CY111" i="41"/>
  <c r="AV111" i="41"/>
  <c r="DD111" i="41"/>
  <c r="Z111" i="41"/>
  <c r="O111" i="41"/>
  <c r="CS111" i="41"/>
  <c r="BI111" i="41"/>
  <c r="DC111" i="41"/>
  <c r="BD111" i="41"/>
  <c r="AX111" i="41"/>
  <c r="AM111" i="41"/>
  <c r="BM111" i="41"/>
  <c r="AK111" i="41"/>
  <c r="CO111" i="41"/>
  <c r="BU111" i="41"/>
  <c r="J112" i="41"/>
  <c r="J111" i="41"/>
  <c r="S111" i="41"/>
  <c r="AI111" i="41"/>
  <c r="CF111" i="41"/>
  <c r="BC111" i="41"/>
  <c r="R111" i="41"/>
  <c r="AE111" i="41"/>
  <c r="M111" i="41"/>
  <c r="AQ111" i="41"/>
  <c r="CR111" i="41"/>
  <c r="AG111" i="41"/>
  <c r="AT111" i="41"/>
  <c r="CT111" i="41"/>
  <c r="AZ111" i="41"/>
  <c r="CC111" i="41"/>
  <c r="BK111" i="41"/>
  <c r="AW111" i="41"/>
  <c r="CI111" i="41"/>
  <c r="BN111" i="41"/>
  <c r="BT111" i="41"/>
  <c r="AS111" i="41"/>
  <c r="BS111" i="41"/>
  <c r="U111" i="41"/>
  <c r="BW111" i="41"/>
  <c r="CX111" i="41"/>
  <c r="Q111" i="41"/>
  <c r="CH111" i="41"/>
  <c r="BZ111" i="41"/>
  <c r="BY111" i="41"/>
  <c r="AJ111" i="41"/>
  <c r="AP111" i="41"/>
  <c r="AU111" i="41"/>
  <c r="AL111" i="41"/>
  <c r="BR111" i="41"/>
  <c r="W111" i="41"/>
  <c r="AA111" i="41"/>
  <c r="BX111" i="41"/>
  <c r="CK111" i="41"/>
  <c r="BB111" i="41"/>
  <c r="BJ111" i="41"/>
  <c r="AY111" i="41"/>
  <c r="CQ111" i="41"/>
  <c r="BF111" i="41"/>
  <c r="BQ111" i="41"/>
  <c r="CD111" i="41"/>
  <c r="AD111" i="41"/>
  <c r="CV111" i="41"/>
  <c r="CW111" i="41"/>
  <c r="AH111" i="41"/>
  <c r="CA111" i="41"/>
  <c r="DA111" i="41"/>
  <c r="K111" i="41"/>
  <c r="N111" i="41"/>
  <c r="V111" i="41"/>
  <c r="T111" i="41"/>
  <c r="BE111" i="41"/>
  <c r="BL111" i="41"/>
  <c r="BP111" i="41"/>
  <c r="CE111" i="41"/>
  <c r="CM111" i="41"/>
  <c r="BA111" i="41"/>
  <c r="CU111" i="41"/>
  <c r="X111" i="41"/>
  <c r="AB111" i="41"/>
  <c r="CJ111" i="41"/>
  <c r="CB111" i="41"/>
  <c r="BH111" i="41"/>
  <c r="AR111" i="41"/>
  <c r="H95" i="105" l="1"/>
  <c r="H105" i="105"/>
  <c r="K114" i="41"/>
  <c r="K112" i="41"/>
  <c r="L112" i="41" l="1"/>
  <c r="M112" i="41" s="1"/>
  <c r="N112" i="41" s="1"/>
  <c r="O112" i="41" s="1"/>
  <c r="P112" i="41" s="1"/>
  <c r="Q112" i="41" s="1"/>
  <c r="R112" i="41" s="1"/>
  <c r="S112" i="41" s="1"/>
  <c r="T112" i="41" s="1"/>
  <c r="U112" i="41" s="1"/>
  <c r="V112" i="41" s="1"/>
  <c r="W112" i="41" s="1"/>
  <c r="X112" i="41" s="1"/>
  <c r="Y112" i="41" s="1"/>
  <c r="Z112" i="41" s="1"/>
  <c r="AA112" i="41" s="1"/>
  <c r="AB112" i="41" s="1"/>
  <c r="AC112" i="41" s="1"/>
  <c r="AD112" i="41" s="1"/>
  <c r="AE112" i="41" s="1"/>
  <c r="AF112" i="41" s="1"/>
  <c r="AG112" i="41" s="1"/>
  <c r="AH112" i="41" s="1"/>
  <c r="AI112" i="41" s="1"/>
  <c r="AJ112" i="41" s="1"/>
  <c r="AK112" i="41" s="1"/>
  <c r="AL112" i="41" s="1"/>
  <c r="AM112" i="41" s="1"/>
  <c r="AN112" i="41" s="1"/>
  <c r="AO112" i="41" s="1"/>
  <c r="AP112" i="41" s="1"/>
  <c r="AQ112" i="41" s="1"/>
  <c r="AR112" i="41" s="1"/>
  <c r="AS112" i="41" s="1"/>
  <c r="AT112" i="41" s="1"/>
  <c r="AU112" i="41" s="1"/>
  <c r="AV112" i="41" s="1"/>
  <c r="AW112" i="41" s="1"/>
  <c r="AX112" i="41" s="1"/>
  <c r="AY112" i="41" s="1"/>
  <c r="AZ112" i="41" s="1"/>
  <c r="BA112" i="41" s="1"/>
  <c r="BB112" i="41" s="1"/>
  <c r="BC112" i="41" s="1"/>
  <c r="BD112" i="41" s="1"/>
  <c r="BE112" i="41" s="1"/>
  <c r="BF112" i="41" s="1"/>
  <c r="BG112" i="41" s="1"/>
  <c r="BH112" i="41" s="1"/>
  <c r="BI112" i="41" s="1"/>
  <c r="BJ112" i="41" s="1"/>
  <c r="BK112" i="41" s="1"/>
  <c r="BL112" i="41" s="1"/>
  <c r="BM112" i="41" s="1"/>
  <c r="BN112" i="41" s="1"/>
  <c r="BO112" i="41" s="1"/>
  <c r="BP112" i="41" s="1"/>
  <c r="BQ112" i="41" s="1"/>
  <c r="BR112" i="41" s="1"/>
  <c r="BS112" i="41" s="1"/>
  <c r="BT112" i="41" s="1"/>
  <c r="BU112" i="41" s="1"/>
  <c r="BV112" i="41" s="1"/>
  <c r="BW112" i="41" s="1"/>
  <c r="BX112" i="41" s="1"/>
  <c r="BY112" i="41" s="1"/>
  <c r="BZ112" i="41" s="1"/>
  <c r="CA112" i="41" s="1"/>
  <c r="CB112" i="41" s="1"/>
  <c r="CC112" i="41" s="1"/>
  <c r="CD112" i="41" s="1"/>
  <c r="CE112" i="41" s="1"/>
  <c r="CF112" i="41" s="1"/>
  <c r="CG112" i="41" s="1"/>
  <c r="CH112" i="41" s="1"/>
  <c r="CI112" i="41" s="1"/>
  <c r="CJ112" i="41" s="1"/>
  <c r="CK112" i="41" s="1"/>
  <c r="CL112" i="41" s="1"/>
  <c r="CM112" i="41" s="1"/>
  <c r="CN112" i="41" s="1"/>
  <c r="CO112" i="41" s="1"/>
  <c r="CP112" i="41" s="1"/>
  <c r="CQ112" i="41" s="1"/>
  <c r="CR112" i="41" s="1"/>
  <c r="CS112" i="41" s="1"/>
  <c r="CT112" i="41" s="1"/>
  <c r="CU112" i="41" s="1"/>
  <c r="CV112" i="41" s="1"/>
  <c r="CW112" i="41" s="1"/>
  <c r="CX112" i="41" s="1"/>
  <c r="CY112" i="41" s="1"/>
  <c r="CZ112" i="41" s="1"/>
  <c r="DA112" i="41" s="1"/>
  <c r="DB112" i="41" s="1"/>
  <c r="DC112" i="41" s="1"/>
  <c r="DD112" i="41" s="1"/>
  <c r="L114" i="41"/>
  <c r="K115" i="41"/>
  <c r="K117" i="41" s="1"/>
  <c r="M114" i="41" l="1"/>
  <c r="L115" i="41"/>
  <c r="L117" i="41" s="1"/>
  <c r="N114" i="41" l="1"/>
  <c r="M115" i="41"/>
  <c r="M117" i="41" s="1"/>
  <c r="O114" i="41" l="1"/>
  <c r="N115" i="41"/>
  <c r="N117" i="41" s="1"/>
  <c r="P114" i="41" l="1"/>
  <c r="O115" i="41"/>
  <c r="O117" i="41" s="1"/>
  <c r="Q114" i="41" l="1"/>
  <c r="P115" i="41"/>
  <c r="P117" i="41" s="1"/>
  <c r="R114" i="41" l="1"/>
  <c r="Q115" i="41"/>
  <c r="Q117" i="41" s="1"/>
  <c r="S114" i="41" l="1"/>
  <c r="R115" i="41"/>
  <c r="R117" i="41" s="1"/>
  <c r="T114" i="41" l="1"/>
  <c r="S115" i="41"/>
  <c r="S117" i="41" s="1"/>
  <c r="U114" i="41" l="1"/>
  <c r="T115" i="41"/>
  <c r="T117" i="41" s="1"/>
  <c r="V114" i="41" l="1"/>
  <c r="U115" i="41"/>
  <c r="U117" i="41" s="1"/>
  <c r="W114" i="41" l="1"/>
  <c r="V115" i="41"/>
  <c r="V117" i="41" s="1"/>
  <c r="X114" i="41" l="1"/>
  <c r="W115" i="41"/>
  <c r="W117" i="41" s="1"/>
  <c r="Y114" i="41" l="1"/>
  <c r="X115" i="41"/>
  <c r="X117" i="41" s="1"/>
  <c r="Z114" i="41" l="1"/>
  <c r="Y115" i="41"/>
  <c r="Y117" i="41" s="1"/>
  <c r="AA114" i="41" l="1"/>
  <c r="Z115" i="41"/>
  <c r="Z117" i="41" s="1"/>
  <c r="AB114" i="41" l="1"/>
  <c r="AA115" i="41"/>
  <c r="AA117" i="41" s="1"/>
  <c r="AC114" i="41" l="1"/>
  <c r="AB115" i="41"/>
  <c r="AB117" i="41" s="1"/>
  <c r="AD114" i="41" l="1"/>
  <c r="AC115" i="41"/>
  <c r="AC117" i="41" s="1"/>
  <c r="AE114" i="41" l="1"/>
  <c r="AD115" i="41"/>
  <c r="AD117" i="41" s="1"/>
  <c r="AF114" i="41" l="1"/>
  <c r="AE115" i="41"/>
  <c r="AE117" i="41" s="1"/>
  <c r="AG114" i="41" l="1"/>
  <c r="AF115" i="41"/>
  <c r="AF117" i="41" s="1"/>
  <c r="AH114" i="41" l="1"/>
  <c r="AG115" i="41"/>
  <c r="AG117" i="41" s="1"/>
  <c r="AI114" i="41" l="1"/>
  <c r="AH115" i="41"/>
  <c r="AH117" i="41" s="1"/>
  <c r="AJ114" i="41" l="1"/>
  <c r="AI115" i="41"/>
  <c r="AI117" i="41" s="1"/>
  <c r="AK114" i="41" l="1"/>
  <c r="AJ115" i="41"/>
  <c r="AJ117" i="41" s="1"/>
  <c r="AL114" i="41" l="1"/>
  <c r="AK115" i="41"/>
  <c r="AK117" i="41" s="1"/>
  <c r="AM114" i="41" l="1"/>
  <c r="AL115" i="41"/>
  <c r="AL117" i="41" s="1"/>
  <c r="AN114" i="41" l="1"/>
  <c r="AM115" i="41"/>
  <c r="AM117" i="41" s="1"/>
  <c r="AO114" i="41" l="1"/>
  <c r="AN115" i="41"/>
  <c r="AN117" i="41" s="1"/>
  <c r="AP114" i="41" l="1"/>
  <c r="AO115" i="41"/>
  <c r="AO117" i="41" s="1"/>
  <c r="AQ114" i="41" l="1"/>
  <c r="AP115" i="41"/>
  <c r="AP117" i="41" s="1"/>
  <c r="AR114" i="41" l="1"/>
  <c r="AQ115" i="41"/>
  <c r="AQ117" i="41" s="1"/>
  <c r="AS114" i="41" l="1"/>
  <c r="AR115" i="41"/>
  <c r="AR117" i="41" s="1"/>
  <c r="AT114" i="41" l="1"/>
  <c r="AS115" i="41"/>
  <c r="AS117" i="41" s="1"/>
  <c r="AU114" i="41" l="1"/>
  <c r="AT115" i="41"/>
  <c r="AT117" i="41" s="1"/>
  <c r="AV114" i="41" l="1"/>
  <c r="AU115" i="41"/>
  <c r="AU117" i="41" s="1"/>
  <c r="AW114" i="41" l="1"/>
  <c r="AV115" i="41"/>
  <c r="AV117" i="41" s="1"/>
  <c r="AX114" i="41" l="1"/>
  <c r="AW115" i="41"/>
  <c r="AW117" i="41" s="1"/>
  <c r="AY114" i="41" l="1"/>
  <c r="AX115" i="41"/>
  <c r="AX117" i="41" s="1"/>
  <c r="AZ114" i="41" l="1"/>
  <c r="AY115" i="41"/>
  <c r="AY117" i="41" s="1"/>
  <c r="BA114" i="41" l="1"/>
  <c r="AZ115" i="41"/>
  <c r="AZ117" i="41" s="1"/>
  <c r="BB114" i="41" l="1"/>
  <c r="BA115" i="41"/>
  <c r="BA117" i="41" s="1"/>
  <c r="BC114" i="41" l="1"/>
  <c r="BB115" i="41"/>
  <c r="BB117" i="41" s="1"/>
  <c r="BD114" i="41" l="1"/>
  <c r="BC115" i="41"/>
  <c r="BC117" i="41" s="1"/>
  <c r="BE114" i="41" l="1"/>
  <c r="BD115" i="41"/>
  <c r="BD117" i="41" s="1"/>
  <c r="BF114" i="41" l="1"/>
  <c r="BE115" i="41"/>
  <c r="BE117" i="41" s="1"/>
  <c r="BG114" i="41" l="1"/>
  <c r="BF115" i="41"/>
  <c r="BF117" i="41" s="1"/>
  <c r="BH114" i="41" l="1"/>
  <c r="BG115" i="41"/>
  <c r="BG117" i="41" s="1"/>
  <c r="BI114" i="41" l="1"/>
  <c r="BH115" i="41"/>
  <c r="BH117" i="41" s="1"/>
  <c r="BJ114" i="41" l="1"/>
  <c r="BI115" i="41"/>
  <c r="BI117" i="41" s="1"/>
  <c r="BK114" i="41" l="1"/>
  <c r="BJ115" i="41"/>
  <c r="BJ117" i="41" s="1"/>
  <c r="BL114" i="41" l="1"/>
  <c r="BK115" i="41"/>
  <c r="BK117" i="41" s="1"/>
  <c r="BM114" i="41" l="1"/>
  <c r="BL115" i="41"/>
  <c r="BL117" i="41" s="1"/>
  <c r="BN114" i="41" l="1"/>
  <c r="BM115" i="41"/>
  <c r="BM117" i="41" s="1"/>
  <c r="BO114" i="41" l="1"/>
  <c r="BN115" i="41"/>
  <c r="BN117" i="41" s="1"/>
  <c r="BP114" i="41" l="1"/>
  <c r="BO115" i="41"/>
  <c r="BO117" i="41" s="1"/>
  <c r="BQ114" i="41" l="1"/>
  <c r="BP115" i="41"/>
  <c r="BP117" i="41" s="1"/>
  <c r="BR114" i="41" l="1"/>
  <c r="BQ115" i="41"/>
  <c r="BQ117" i="41" s="1"/>
  <c r="BS114" i="41" l="1"/>
  <c r="BR115" i="41"/>
  <c r="BR117" i="41" s="1"/>
  <c r="BT114" i="41" l="1"/>
  <c r="BS115" i="41"/>
  <c r="BS117" i="41" s="1"/>
  <c r="BU114" i="41" l="1"/>
  <c r="BT115" i="41"/>
  <c r="BT117" i="41" s="1"/>
  <c r="BV114" i="41" l="1"/>
  <c r="BU115" i="41"/>
  <c r="BU117" i="41" s="1"/>
  <c r="BW114" i="41" l="1"/>
  <c r="BV115" i="41"/>
  <c r="BV117" i="41" s="1"/>
  <c r="BX114" i="41" l="1"/>
  <c r="BW115" i="41"/>
  <c r="BW117" i="41" s="1"/>
  <c r="BY114" i="41" l="1"/>
  <c r="BX115" i="41"/>
  <c r="BX117" i="41" s="1"/>
  <c r="BZ114" i="41" l="1"/>
  <c r="BY115" i="41"/>
  <c r="BY117" i="41" s="1"/>
  <c r="CA114" i="41" l="1"/>
  <c r="BZ115" i="41"/>
  <c r="BZ117" i="41" s="1"/>
  <c r="CB114" i="41" l="1"/>
  <c r="CA115" i="41"/>
  <c r="CA117" i="41" s="1"/>
  <c r="CC114" i="41" l="1"/>
  <c r="CB115" i="41"/>
  <c r="CB117" i="41" s="1"/>
  <c r="CD114" i="41" l="1"/>
  <c r="CC115" i="41"/>
  <c r="CC117" i="41" s="1"/>
  <c r="CE114" i="41" l="1"/>
  <c r="CD115" i="41"/>
  <c r="CD117" i="41" s="1"/>
  <c r="CF114" i="41" l="1"/>
  <c r="CE115" i="41"/>
  <c r="CE117" i="41" s="1"/>
  <c r="CG114" i="41" l="1"/>
  <c r="CF115" i="41"/>
  <c r="CF117" i="41" s="1"/>
  <c r="CH114" i="41" l="1"/>
  <c r="CG115" i="41"/>
  <c r="CG117" i="41" s="1"/>
  <c r="CI114" i="41" l="1"/>
  <c r="CH115" i="41"/>
  <c r="CH117" i="41" s="1"/>
  <c r="CJ114" i="41" l="1"/>
  <c r="CI115" i="41"/>
  <c r="CI117" i="41" s="1"/>
  <c r="CK114" i="41" l="1"/>
  <c r="CJ115" i="41"/>
  <c r="CJ117" i="41" s="1"/>
  <c r="CL114" i="41" l="1"/>
  <c r="CK115" i="41"/>
  <c r="CK117" i="41" s="1"/>
  <c r="CM114" i="41" l="1"/>
  <c r="CL115" i="41"/>
  <c r="CL117" i="41" s="1"/>
  <c r="CN114" i="41" l="1"/>
  <c r="CM115" i="41"/>
  <c r="CM117" i="41" s="1"/>
  <c r="CO114" i="41" l="1"/>
  <c r="CN115" i="41"/>
  <c r="CN117" i="41" s="1"/>
  <c r="CP114" i="41" l="1"/>
  <c r="CO115" i="41"/>
  <c r="CO117" i="41" s="1"/>
  <c r="CQ114" i="41" l="1"/>
  <c r="CP115" i="41"/>
  <c r="CP117" i="41" s="1"/>
  <c r="CR114" i="41" l="1"/>
  <c r="CQ115" i="41"/>
  <c r="CQ117" i="41" s="1"/>
  <c r="CS114" i="41" l="1"/>
  <c r="CR115" i="41"/>
  <c r="CR117" i="41" s="1"/>
  <c r="CT114" i="41" l="1"/>
  <c r="CS115" i="41"/>
  <c r="CS117" i="41" s="1"/>
  <c r="CU114" i="41" l="1"/>
  <c r="CT115" i="41"/>
  <c r="CT117" i="41" s="1"/>
  <c r="CV114" i="41" l="1"/>
  <c r="CU115" i="41"/>
  <c r="CU117" i="41" s="1"/>
  <c r="CW114" i="41" l="1"/>
  <c r="CV115" i="41"/>
  <c r="CV117" i="41" s="1"/>
  <c r="CX114" i="41" l="1"/>
  <c r="CW115" i="41"/>
  <c r="CW117" i="41" s="1"/>
  <c r="CY114" i="41" l="1"/>
  <c r="CX115" i="41"/>
  <c r="CX117" i="41" s="1"/>
  <c r="CZ114" i="41" l="1"/>
  <c r="CY115" i="41"/>
  <c r="CY117" i="41" s="1"/>
  <c r="DA114" i="41" l="1"/>
  <c r="CZ115" i="41"/>
  <c r="CZ117" i="41" s="1"/>
  <c r="DB114" i="41" l="1"/>
  <c r="DA115" i="41"/>
  <c r="DA117" i="41" s="1"/>
  <c r="DC114" i="41" l="1"/>
  <c r="DB115" i="41"/>
  <c r="DB117" i="41" s="1"/>
  <c r="DD114" i="41" l="1"/>
  <c r="DD115" i="41" s="1"/>
  <c r="DC115" i="41"/>
  <c r="DC117" i="41" s="1"/>
  <c r="DD117" i="41" l="1"/>
  <c r="H117" i="41"/>
  <c r="H123" i="41" l="1"/>
  <c r="N133" i="41" l="1"/>
  <c r="O133" i="41"/>
  <c r="V133" i="41"/>
  <c r="S135" i="41"/>
  <c r="L133" i="41"/>
  <c r="S134" i="41"/>
  <c r="U133" i="41"/>
  <c r="W133" i="41"/>
  <c r="AB133" i="41"/>
  <c r="P133" i="41"/>
  <c r="Q133" i="41"/>
  <c r="Y133" i="41"/>
  <c r="N134" i="41"/>
  <c r="R134" i="41"/>
  <c r="J133" i="41"/>
  <c r="V135" i="41"/>
  <c r="U134" i="41"/>
  <c r="AB134" i="41"/>
  <c r="AB135" i="41"/>
  <c r="Q134" i="41"/>
  <c r="K134" i="41"/>
  <c r="R133" i="41"/>
  <c r="T133" i="41"/>
  <c r="W135" i="41"/>
  <c r="K133" i="41"/>
  <c r="W134" i="41"/>
  <c r="V134" i="41"/>
  <c r="M133" i="41"/>
  <c r="Z133" i="41"/>
  <c r="AA133" i="41"/>
  <c r="X133" i="41"/>
  <c r="T135" i="41"/>
  <c r="U135" i="41"/>
  <c r="S133" i="41"/>
  <c r="T134" i="41"/>
  <c r="P134" i="41"/>
  <c r="N33" i="65" l="1"/>
  <c r="N79" i="65" s="1"/>
  <c r="N90" i="65" s="1"/>
  <c r="N145" i="41"/>
  <c r="Y32" i="65"/>
  <c r="Y78" i="65" s="1"/>
  <c r="Y89" i="65" s="1"/>
  <c r="Y144" i="41"/>
  <c r="U33" i="65"/>
  <c r="U79" i="65" s="1"/>
  <c r="U90" i="65" s="1"/>
  <c r="U145" i="41"/>
  <c r="T32" i="65"/>
  <c r="T78" i="65" s="1"/>
  <c r="T89" i="65" s="1"/>
  <c r="T144" i="41"/>
  <c r="AB32" i="65"/>
  <c r="AB78" i="65" s="1"/>
  <c r="AB89" i="65" s="1"/>
  <c r="AB144" i="41"/>
  <c r="AB146" i="41"/>
  <c r="AB34" i="65"/>
  <c r="AB80" i="65" s="1"/>
  <c r="AB91" i="65" s="1"/>
  <c r="K145" i="41"/>
  <c r="K33" i="65"/>
  <c r="K79" i="65" s="1"/>
  <c r="K90" i="65" s="1"/>
  <c r="V34" i="65"/>
  <c r="V80" i="65" s="1"/>
  <c r="V91" i="65" s="1"/>
  <c r="V146" i="41"/>
  <c r="Q144" i="41"/>
  <c r="Q32" i="65"/>
  <c r="Q78" i="65" s="1"/>
  <c r="Q89" i="65" s="1"/>
  <c r="Q45" i="105" s="1"/>
  <c r="Q82" i="105" s="1"/>
  <c r="W144" i="41"/>
  <c r="W32" i="65"/>
  <c r="W78" i="65" s="1"/>
  <c r="W89" i="65" s="1"/>
  <c r="X32" i="65"/>
  <c r="X78" i="65" s="1"/>
  <c r="X89" i="65" s="1"/>
  <c r="X144" i="41"/>
  <c r="U32" i="65"/>
  <c r="U78" i="65" s="1"/>
  <c r="U89" i="65" s="1"/>
  <c r="U144" i="41"/>
  <c r="AA32" i="65"/>
  <c r="AA78" i="65" s="1"/>
  <c r="AA89" i="65" s="1"/>
  <c r="AA144" i="41"/>
  <c r="S33" i="65"/>
  <c r="S79" i="65" s="1"/>
  <c r="S90" i="65" s="1"/>
  <c r="S145" i="41"/>
  <c r="W34" i="65"/>
  <c r="W80" i="65" s="1"/>
  <c r="W91" i="65" s="1"/>
  <c r="W146" i="41"/>
  <c r="U34" i="65"/>
  <c r="U80" i="65" s="1"/>
  <c r="U91" i="65" s="1"/>
  <c r="U146" i="41"/>
  <c r="R32" i="65"/>
  <c r="R78" i="65" s="1"/>
  <c r="R89" i="65" s="1"/>
  <c r="R45" i="105" s="1"/>
  <c r="R82" i="105" s="1"/>
  <c r="R144" i="41"/>
  <c r="J32" i="65"/>
  <c r="J144" i="41"/>
  <c r="H141" i="41" a="1"/>
  <c r="H141" i="41" s="1"/>
  <c r="T33" i="65"/>
  <c r="T79" i="65" s="1"/>
  <c r="T90" i="65" s="1"/>
  <c r="T145" i="41"/>
  <c r="S32" i="65"/>
  <c r="S78" i="65" s="1"/>
  <c r="S89" i="65" s="1"/>
  <c r="S144" i="41"/>
  <c r="T34" i="65"/>
  <c r="T80" i="65" s="1"/>
  <c r="T91" i="65" s="1"/>
  <c r="T146" i="41"/>
  <c r="Z32" i="65"/>
  <c r="Z78" i="65" s="1"/>
  <c r="Z89" i="65" s="1"/>
  <c r="Z144" i="41"/>
  <c r="L144" i="41"/>
  <c r="L32" i="65"/>
  <c r="L78" i="65" s="1"/>
  <c r="L89" i="65" s="1"/>
  <c r="M32" i="65"/>
  <c r="M78" i="65" s="1"/>
  <c r="M89" i="65" s="1"/>
  <c r="M144" i="41"/>
  <c r="S146" i="41"/>
  <c r="S34" i="65"/>
  <c r="S80" i="65" s="1"/>
  <c r="S91" i="65" s="1"/>
  <c r="Q33" i="65"/>
  <c r="Q79" i="65" s="1"/>
  <c r="Q90" i="65" s="1"/>
  <c r="Q46" i="105" s="1"/>
  <c r="Q83" i="105" s="1"/>
  <c r="Q145" i="41"/>
  <c r="R33" i="65"/>
  <c r="R79" i="65" s="1"/>
  <c r="R90" i="65" s="1"/>
  <c r="R46" i="105" s="1"/>
  <c r="R83" i="105" s="1"/>
  <c r="R145" i="41"/>
  <c r="P144" i="41"/>
  <c r="P32" i="65"/>
  <c r="P78" i="65" s="1"/>
  <c r="P89" i="65" s="1"/>
  <c r="V145" i="41"/>
  <c r="V33" i="65"/>
  <c r="V79" i="65" s="1"/>
  <c r="V90" i="65" s="1"/>
  <c r="V144" i="41"/>
  <c r="V32" i="65"/>
  <c r="V78" i="65" s="1"/>
  <c r="V89" i="65" s="1"/>
  <c r="W33" i="65"/>
  <c r="W79" i="65" s="1"/>
  <c r="W90" i="65" s="1"/>
  <c r="W145" i="41"/>
  <c r="O32" i="65"/>
  <c r="O78" i="65" s="1"/>
  <c r="O89" i="65" s="1"/>
  <c r="O144" i="41"/>
  <c r="AB145" i="41"/>
  <c r="AB33" i="65"/>
  <c r="AB79" i="65" s="1"/>
  <c r="AB90" i="65" s="1"/>
  <c r="P145" i="41"/>
  <c r="P33" i="65"/>
  <c r="P79" i="65" s="1"/>
  <c r="P90" i="65" s="1"/>
  <c r="K32" i="65"/>
  <c r="K78" i="65" s="1"/>
  <c r="K89" i="65" s="1"/>
  <c r="K144" i="41"/>
  <c r="N32" i="65"/>
  <c r="N78" i="65" s="1"/>
  <c r="N89" i="65" s="1"/>
  <c r="N144" i="41"/>
  <c r="Q89" i="105" l="1"/>
  <c r="Q158" i="105" s="1"/>
  <c r="Q60" i="82" s="1"/>
  <c r="R89" i="105"/>
  <c r="R124" i="105" s="1"/>
  <c r="X45" i="105"/>
  <c r="X82" i="105" s="1"/>
  <c r="X89" i="105" s="1"/>
  <c r="X124" i="105" s="1"/>
  <c r="X107" i="65"/>
  <c r="X63" i="105" s="1"/>
  <c r="X98" i="65"/>
  <c r="W107" i="65"/>
  <c r="W63" i="105" s="1"/>
  <c r="W45" i="105"/>
  <c r="W82" i="105" s="1"/>
  <c r="P108" i="65"/>
  <c r="P64" i="105" s="1"/>
  <c r="P46" i="105"/>
  <c r="P83" i="105" s="1"/>
  <c r="P99" i="65"/>
  <c r="P55" i="105" s="1"/>
  <c r="S107" i="65"/>
  <c r="S45" i="105"/>
  <c r="S82" i="105" s="1"/>
  <c r="S98" i="65"/>
  <c r="M45" i="105"/>
  <c r="M82" i="105" s="1"/>
  <c r="M89" i="105" s="1"/>
  <c r="M124" i="105" s="1"/>
  <c r="M98" i="65"/>
  <c r="M54" i="105" s="1"/>
  <c r="M107" i="65"/>
  <c r="M63" i="105" s="1"/>
  <c r="T100" i="65"/>
  <c r="T56" i="105" s="1"/>
  <c r="T47" i="105"/>
  <c r="T84" i="105" s="1"/>
  <c r="T109" i="65"/>
  <c r="T65" i="105" s="1"/>
  <c r="V109" i="65"/>
  <c r="V65" i="105" s="1"/>
  <c r="V47" i="105"/>
  <c r="V84" i="105" s="1"/>
  <c r="W46" i="105"/>
  <c r="W83" i="105" s="1"/>
  <c r="W108" i="65"/>
  <c r="W64" i="105" s="1"/>
  <c r="T108" i="65"/>
  <c r="T64" i="105" s="1"/>
  <c r="T46" i="105"/>
  <c r="T83" i="105" s="1"/>
  <c r="T99" i="65"/>
  <c r="T55" i="105" s="1"/>
  <c r="K108" i="65"/>
  <c r="K64" i="105" s="1"/>
  <c r="K99" i="65"/>
  <c r="K55" i="105" s="1"/>
  <c r="K46" i="105"/>
  <c r="K83" i="105" s="1"/>
  <c r="AB100" i="65"/>
  <c r="AB56" i="105" s="1"/>
  <c r="AB47" i="105"/>
  <c r="AB84" i="105" s="1"/>
  <c r="AB109" i="65"/>
  <c r="AB65" i="105" s="1"/>
  <c r="O45" i="105"/>
  <c r="O82" i="105" s="1"/>
  <c r="O89" i="105" s="1"/>
  <c r="O124" i="105" s="1"/>
  <c r="O107" i="65"/>
  <c r="O63" i="105" s="1"/>
  <c r="O98" i="65"/>
  <c r="O54" i="105" s="1"/>
  <c r="Z107" i="65"/>
  <c r="Z63" i="105" s="1"/>
  <c r="Z45" i="105"/>
  <c r="Z82" i="105" s="1"/>
  <c r="Z89" i="105" s="1"/>
  <c r="Z124" i="105" s="1"/>
  <c r="Z98" i="65"/>
  <c r="Z54" i="105" s="1"/>
  <c r="V108" i="65"/>
  <c r="V64" i="105" s="1"/>
  <c r="V46" i="105"/>
  <c r="V83" i="105" s="1"/>
  <c r="AB99" i="65"/>
  <c r="AB55" i="105" s="1"/>
  <c r="AB46" i="105"/>
  <c r="AB83" i="105" s="1"/>
  <c r="AB108" i="65"/>
  <c r="AB64" i="105" s="1"/>
  <c r="U45" i="105"/>
  <c r="U82" i="105" s="1"/>
  <c r="U107" i="65"/>
  <c r="U63" i="105" s="1"/>
  <c r="U98" i="65"/>
  <c r="U54" i="105" s="1"/>
  <c r="J78" i="65"/>
  <c r="J89" i="65" s="1"/>
  <c r="K98" i="65"/>
  <c r="K54" i="105" s="1"/>
  <c r="K45" i="105"/>
  <c r="K82" i="105" s="1"/>
  <c r="K107" i="65"/>
  <c r="K63" i="105" s="1"/>
  <c r="H152" i="41"/>
  <c r="L45" i="105"/>
  <c r="L82" i="105" s="1"/>
  <c r="L89" i="105" s="1"/>
  <c r="L124" i="105" s="1"/>
  <c r="L98" i="65"/>
  <c r="L54" i="105" s="1"/>
  <c r="L107" i="65"/>
  <c r="L63" i="105" s="1"/>
  <c r="AB45" i="105"/>
  <c r="AB82" i="105" s="1"/>
  <c r="AB98" i="65"/>
  <c r="AB54" i="105" s="1"/>
  <c r="AB107" i="65"/>
  <c r="AB63" i="105" s="1"/>
  <c r="U100" i="65"/>
  <c r="U56" i="105" s="1"/>
  <c r="U47" i="105"/>
  <c r="U84" i="105" s="1"/>
  <c r="U109" i="65"/>
  <c r="U65" i="105" s="1"/>
  <c r="S109" i="65"/>
  <c r="S65" i="105" s="1"/>
  <c r="S47" i="105"/>
  <c r="S84" i="105" s="1"/>
  <c r="S100" i="65"/>
  <c r="S56" i="105" s="1"/>
  <c r="Y45" i="105"/>
  <c r="Y82" i="105" s="1"/>
  <c r="Y89" i="105" s="1"/>
  <c r="Y124" i="105" s="1"/>
  <c r="Y98" i="65"/>
  <c r="Y54" i="105" s="1"/>
  <c r="Y107" i="65"/>
  <c r="Y63" i="105" s="1"/>
  <c r="N98" i="65"/>
  <c r="N54" i="105" s="1"/>
  <c r="N45" i="105"/>
  <c r="N82" i="105" s="1"/>
  <c r="N107" i="65"/>
  <c r="N63" i="105" s="1"/>
  <c r="T45" i="105"/>
  <c r="T82" i="105" s="1"/>
  <c r="T98" i="65"/>
  <c r="T54" i="105" s="1"/>
  <c r="T107" i="65"/>
  <c r="T63" i="105" s="1"/>
  <c r="W109" i="65"/>
  <c r="W65" i="105" s="1"/>
  <c r="W47" i="105"/>
  <c r="W84" i="105" s="1"/>
  <c r="S108" i="65"/>
  <c r="S64" i="105" s="1"/>
  <c r="S46" i="105"/>
  <c r="S83" i="105" s="1"/>
  <c r="S99" i="65"/>
  <c r="S55" i="105" s="1"/>
  <c r="V45" i="105"/>
  <c r="V82" i="105" s="1"/>
  <c r="V107" i="65"/>
  <c r="V63" i="105" s="1"/>
  <c r="P45" i="105"/>
  <c r="P82" i="105" s="1"/>
  <c r="P107" i="65"/>
  <c r="P63" i="105" s="1"/>
  <c r="P98" i="65"/>
  <c r="P54" i="105" s="1"/>
  <c r="U99" i="65"/>
  <c r="U55" i="105" s="1"/>
  <c r="U108" i="65"/>
  <c r="U64" i="105" s="1"/>
  <c r="U46" i="105"/>
  <c r="U83" i="105" s="1"/>
  <c r="AA45" i="105"/>
  <c r="AA82" i="105" s="1"/>
  <c r="AA89" i="105" s="1"/>
  <c r="AA124" i="105" s="1"/>
  <c r="AA107" i="65"/>
  <c r="AA63" i="105" s="1"/>
  <c r="AA98" i="65"/>
  <c r="AA54" i="105" s="1"/>
  <c r="N99" i="65"/>
  <c r="N55" i="105" s="1"/>
  <c r="N108" i="65"/>
  <c r="N64" i="105" s="1"/>
  <c r="N46" i="105"/>
  <c r="N83" i="105" s="1"/>
  <c r="K89" i="105" l="1"/>
  <c r="K124" i="105" s="1"/>
  <c r="R156" i="105"/>
  <c r="R59" i="82" s="1"/>
  <c r="R158" i="105"/>
  <c r="R60" i="82" s="1"/>
  <c r="R130" i="105"/>
  <c r="R58" i="82" s="1"/>
  <c r="V104" i="105"/>
  <c r="V179" i="105"/>
  <c r="W103" i="105"/>
  <c r="W178" i="105"/>
  <c r="N92" i="105"/>
  <c r="N166" i="105"/>
  <c r="AB103" i="105"/>
  <c r="AB178" i="105"/>
  <c r="T104" i="105"/>
  <c r="T179" i="105"/>
  <c r="N103" i="105"/>
  <c r="N178" i="105"/>
  <c r="AB93" i="105"/>
  <c r="AB167" i="105"/>
  <c r="T94" i="105"/>
  <c r="T168" i="105"/>
  <c r="U92" i="105"/>
  <c r="U166" i="105"/>
  <c r="M102" i="105"/>
  <c r="M109" i="105" s="1"/>
  <c r="M177" i="105"/>
  <c r="M184" i="105" s="1"/>
  <c r="M191" i="105" s="1"/>
  <c r="M69" i="82" s="1"/>
  <c r="Y57" i="82"/>
  <c r="U103" i="105"/>
  <c r="U178" i="105"/>
  <c r="S94" i="105"/>
  <c r="S168" i="105"/>
  <c r="V103" i="105"/>
  <c r="V178" i="105"/>
  <c r="M92" i="105"/>
  <c r="M99" i="105" s="1"/>
  <c r="M166" i="105"/>
  <c r="M173" i="105" s="1"/>
  <c r="M190" i="105" s="1"/>
  <c r="M68" i="82" s="1"/>
  <c r="N102" i="105"/>
  <c r="N177" i="105"/>
  <c r="U93" i="105"/>
  <c r="U167" i="105"/>
  <c r="Z92" i="105"/>
  <c r="Z99" i="105" s="1"/>
  <c r="Z166" i="105"/>
  <c r="Z173" i="105" s="1"/>
  <c r="Z190" i="105" s="1"/>
  <c r="Z68" i="82" s="1"/>
  <c r="M57" i="82"/>
  <c r="T103" i="105"/>
  <c r="T178" i="105"/>
  <c r="AA102" i="105"/>
  <c r="AA109" i="105" s="1"/>
  <c r="AA177" i="105"/>
  <c r="AA184" i="105" s="1"/>
  <c r="AA191" i="105" s="1"/>
  <c r="AA69" i="82" s="1"/>
  <c r="S104" i="105"/>
  <c r="S179" i="105"/>
  <c r="Z57" i="82"/>
  <c r="AA57" i="82"/>
  <c r="U104" i="105"/>
  <c r="U179" i="105"/>
  <c r="N93" i="105"/>
  <c r="N99" i="105" s="1"/>
  <c r="N167" i="105"/>
  <c r="Z102" i="105"/>
  <c r="Z109" i="105" s="1"/>
  <c r="Z177" i="105"/>
  <c r="Z184" i="105" s="1"/>
  <c r="Z191" i="105" s="1"/>
  <c r="Z69" i="82" s="1"/>
  <c r="O92" i="105"/>
  <c r="O99" i="105" s="1"/>
  <c r="O166" i="105"/>
  <c r="O173" i="105" s="1"/>
  <c r="O190" i="105" s="1"/>
  <c r="O68" i="82" s="1"/>
  <c r="K92" i="105"/>
  <c r="K166" i="105"/>
  <c r="Y102" i="105"/>
  <c r="Y109" i="105" s="1"/>
  <c r="Y177" i="105"/>
  <c r="Y184" i="105" s="1"/>
  <c r="Y191" i="105" s="1"/>
  <c r="Y69" i="82" s="1"/>
  <c r="P92" i="105"/>
  <c r="P166" i="105"/>
  <c r="P102" i="105"/>
  <c r="P177" i="105"/>
  <c r="V102" i="105"/>
  <c r="V177" i="105"/>
  <c r="U94" i="105"/>
  <c r="U168" i="105"/>
  <c r="O102" i="105"/>
  <c r="O109" i="105" s="1"/>
  <c r="O177" i="105"/>
  <c r="O184" i="105" s="1"/>
  <c r="O191" i="105" s="1"/>
  <c r="O69" i="82" s="1"/>
  <c r="P93" i="105"/>
  <c r="P167" i="105"/>
  <c r="AA92" i="105"/>
  <c r="AA99" i="105" s="1"/>
  <c r="AA166" i="105"/>
  <c r="AA173" i="105" s="1"/>
  <c r="AA190" i="105" s="1"/>
  <c r="AA68" i="82" s="1"/>
  <c r="O57" i="82"/>
  <c r="AB102" i="105"/>
  <c r="AB177" i="105"/>
  <c r="S93" i="105"/>
  <c r="S167" i="105"/>
  <c r="AB92" i="105"/>
  <c r="AB166" i="105"/>
  <c r="AB104" i="105"/>
  <c r="AB179" i="105"/>
  <c r="P103" i="105"/>
  <c r="P178" i="105"/>
  <c r="Y92" i="105"/>
  <c r="Y99" i="105" s="1"/>
  <c r="Y166" i="105"/>
  <c r="Y173" i="105" s="1"/>
  <c r="Y190" i="105" s="1"/>
  <c r="Y68" i="82" s="1"/>
  <c r="L102" i="105"/>
  <c r="L109" i="105" s="1"/>
  <c r="L177" i="105"/>
  <c r="L184" i="105" s="1"/>
  <c r="L191" i="105" s="1"/>
  <c r="L69" i="82" s="1"/>
  <c r="AB94" i="105"/>
  <c r="AB168" i="105"/>
  <c r="W102" i="105"/>
  <c r="W177" i="105"/>
  <c r="K57" i="82"/>
  <c r="U102" i="105"/>
  <c r="U177" i="105"/>
  <c r="S103" i="105"/>
  <c r="S178" i="105"/>
  <c r="L92" i="105"/>
  <c r="L99" i="105" s="1"/>
  <c r="L166" i="105"/>
  <c r="L173" i="105" s="1"/>
  <c r="L190" i="105" s="1"/>
  <c r="L68" i="82" s="1"/>
  <c r="W104" i="105"/>
  <c r="W179" i="105"/>
  <c r="L57" i="82"/>
  <c r="K93" i="105"/>
  <c r="K167" i="105"/>
  <c r="X102" i="105"/>
  <c r="X109" i="105" s="1"/>
  <c r="X177" i="105"/>
  <c r="X184" i="105" s="1"/>
  <c r="X191" i="105" s="1"/>
  <c r="X69" i="82" s="1"/>
  <c r="K103" i="105"/>
  <c r="K178" i="105"/>
  <c r="X57" i="82"/>
  <c r="T102" i="105"/>
  <c r="T177" i="105"/>
  <c r="T92" i="105"/>
  <c r="T166" i="105"/>
  <c r="K102" i="105"/>
  <c r="K177" i="105"/>
  <c r="T93" i="105"/>
  <c r="T167" i="105"/>
  <c r="R191" i="105"/>
  <c r="R190" i="105"/>
  <c r="R57" i="82"/>
  <c r="P89" i="105"/>
  <c r="P124" i="105" s="1"/>
  <c r="H84" i="105"/>
  <c r="V89" i="105"/>
  <c r="V124" i="105" s="1"/>
  <c r="N89" i="105"/>
  <c r="N124" i="105" s="1"/>
  <c r="U89" i="105"/>
  <c r="U124" i="105" s="1"/>
  <c r="Y158" i="105"/>
  <c r="Y60" i="82" s="1"/>
  <c r="Y130" i="105"/>
  <c r="Y58" i="82" s="1"/>
  <c r="Y156" i="105"/>
  <c r="Y59" i="82" s="1"/>
  <c r="J98" i="65"/>
  <c r="J107" i="65"/>
  <c r="J45" i="105"/>
  <c r="J16" i="106" a="1"/>
  <c r="Z158" i="105"/>
  <c r="Z60" i="82" s="1"/>
  <c r="Z130" i="105"/>
  <c r="Z58" i="82" s="1"/>
  <c r="Z156" i="105"/>
  <c r="Z59" i="82" s="1"/>
  <c r="M158" i="105"/>
  <c r="M60" i="82" s="1"/>
  <c r="M130" i="105"/>
  <c r="M58" i="82" s="1"/>
  <c r="M156" i="105"/>
  <c r="M59" i="82" s="1"/>
  <c r="S54" i="105"/>
  <c r="J60" i="106" a="1"/>
  <c r="S89" i="105"/>
  <c r="S124" i="105" s="1"/>
  <c r="S63" i="105"/>
  <c r="J95" i="106" a="1"/>
  <c r="AA158" i="105"/>
  <c r="AA60" i="82" s="1"/>
  <c r="AA130" i="105"/>
  <c r="AA58" i="82" s="1"/>
  <c r="AA156" i="105"/>
  <c r="AA59" i="82" s="1"/>
  <c r="O158" i="105"/>
  <c r="O60" i="82" s="1"/>
  <c r="O156" i="105"/>
  <c r="O59" i="82" s="1"/>
  <c r="O130" i="105"/>
  <c r="O58" i="82" s="1"/>
  <c r="AB89" i="105"/>
  <c r="AB124" i="105" s="1"/>
  <c r="W89" i="105"/>
  <c r="W124" i="105" s="1"/>
  <c r="L158" i="105"/>
  <c r="L60" i="82" s="1"/>
  <c r="L130" i="105"/>
  <c r="L58" i="82" s="1"/>
  <c r="L156" i="105"/>
  <c r="L59" i="82" s="1"/>
  <c r="H154" i="41"/>
  <c r="H156" i="41" s="1"/>
  <c r="H75" i="105"/>
  <c r="H115" i="105" s="1"/>
  <c r="H83" i="105"/>
  <c r="X54" i="105"/>
  <c r="J65" i="106" a="1"/>
  <c r="T89" i="105"/>
  <c r="T124" i="105" s="1"/>
  <c r="K158" i="105"/>
  <c r="K60" i="82" s="1"/>
  <c r="K156" i="105"/>
  <c r="K59" i="82" s="1"/>
  <c r="X158" i="105"/>
  <c r="X60" i="82" s="1"/>
  <c r="X130" i="105"/>
  <c r="X58" i="82" s="1"/>
  <c r="X156" i="105"/>
  <c r="X59" i="82" s="1"/>
  <c r="K130" i="105" l="1"/>
  <c r="K58" i="82" s="1"/>
  <c r="M131" i="105"/>
  <c r="M125" i="105"/>
  <c r="AB109" i="105"/>
  <c r="V184" i="105"/>
  <c r="V191" i="105" s="1"/>
  <c r="V69" i="82" s="1"/>
  <c r="Y132" i="105"/>
  <c r="Y126" i="105"/>
  <c r="M132" i="105"/>
  <c r="M126" i="105"/>
  <c r="N109" i="105"/>
  <c r="V109" i="105"/>
  <c r="T109" i="105"/>
  <c r="U109" i="105"/>
  <c r="V130" i="105"/>
  <c r="V58" i="82" s="1"/>
  <c r="V158" i="105"/>
  <c r="V60" i="82" s="1"/>
  <c r="P156" i="105"/>
  <c r="P59" i="82" s="1"/>
  <c r="H93" i="105"/>
  <c r="K109" i="105"/>
  <c r="P109" i="105"/>
  <c r="H104" i="105"/>
  <c r="N184" i="105"/>
  <c r="N191" i="105" s="1"/>
  <c r="N69" i="82" s="1"/>
  <c r="T99" i="105"/>
  <c r="T173" i="105"/>
  <c r="T190" i="105" s="1"/>
  <c r="T68" i="82" s="1"/>
  <c r="H94" i="105"/>
  <c r="U184" i="105"/>
  <c r="U191" i="105" s="1"/>
  <c r="U69" i="82" s="1"/>
  <c r="P184" i="105"/>
  <c r="P191" i="105" s="1"/>
  <c r="P69" i="82" s="1"/>
  <c r="P173" i="105"/>
  <c r="P190" i="105" s="1"/>
  <c r="P68" i="82" s="1"/>
  <c r="H103" i="105"/>
  <c r="P99" i="105"/>
  <c r="AB99" i="105"/>
  <c r="W109" i="105"/>
  <c r="X92" i="105"/>
  <c r="X99" i="105" s="1"/>
  <c r="X166" i="105"/>
  <c r="X173" i="105" s="1"/>
  <c r="X190" i="105" s="1"/>
  <c r="X68" i="82" s="1"/>
  <c r="S102" i="105"/>
  <c r="S109" i="105" s="1"/>
  <c r="S177" i="105"/>
  <c r="S184" i="105" s="1"/>
  <c r="S191" i="105" s="1"/>
  <c r="S69" i="82" s="1"/>
  <c r="V190" i="105"/>
  <c r="V57" i="82"/>
  <c r="U57" i="82"/>
  <c r="S57" i="82"/>
  <c r="U99" i="105"/>
  <c r="U173" i="105"/>
  <c r="U190" i="105" s="1"/>
  <c r="U68" i="82" s="1"/>
  <c r="S92" i="105"/>
  <c r="S99" i="105" s="1"/>
  <c r="S166" i="105"/>
  <c r="S173" i="105" s="1"/>
  <c r="S190" i="105" s="1"/>
  <c r="S68" i="82" s="1"/>
  <c r="P57" i="82"/>
  <c r="AB173" i="105"/>
  <c r="AB190" i="105" s="1"/>
  <c r="AB68" i="82" s="1"/>
  <c r="N57" i="82"/>
  <c r="K173" i="105"/>
  <c r="K190" i="105" s="1"/>
  <c r="K68" i="82" s="1"/>
  <c r="W57" i="82"/>
  <c r="W190" i="105"/>
  <c r="K99" i="105"/>
  <c r="AB57" i="82"/>
  <c r="V156" i="105"/>
  <c r="V59" i="82" s="1"/>
  <c r="AB184" i="105"/>
  <c r="AB191" i="105" s="1"/>
  <c r="AB69" i="82" s="1"/>
  <c r="K184" i="105"/>
  <c r="K191" i="105" s="1"/>
  <c r="K69" i="82" s="1"/>
  <c r="N173" i="105"/>
  <c r="N190" i="105" s="1"/>
  <c r="N68" i="82" s="1"/>
  <c r="T184" i="105"/>
  <c r="T191" i="105" s="1"/>
  <c r="T69" i="82" s="1"/>
  <c r="W184" i="105"/>
  <c r="W191" i="105" s="1"/>
  <c r="W69" i="82" s="1"/>
  <c r="P130" i="105"/>
  <c r="P58" i="82" s="1"/>
  <c r="T57" i="82"/>
  <c r="P158" i="105"/>
  <c r="P60" i="82" s="1"/>
  <c r="S158" i="105"/>
  <c r="S60" i="82" s="1"/>
  <c r="S130" i="105"/>
  <c r="S58" i="82" s="1"/>
  <c r="S156" i="105"/>
  <c r="S59" i="82" s="1"/>
  <c r="P68" i="106"/>
  <c r="J66" i="106"/>
  <c r="K67" i="106"/>
  <c r="O69" i="106"/>
  <c r="L67" i="106"/>
  <c r="J69" i="106"/>
  <c r="K70" i="106"/>
  <c r="P67" i="106"/>
  <c r="N69" i="106"/>
  <c r="L68" i="106"/>
  <c r="K68" i="106"/>
  <c r="K66" i="106"/>
  <c r="M66" i="106"/>
  <c r="K65" i="106"/>
  <c r="M67" i="106"/>
  <c r="N67" i="106"/>
  <c r="O66" i="106"/>
  <c r="M70" i="106"/>
  <c r="L70" i="106"/>
  <c r="N70" i="106"/>
  <c r="N66" i="106"/>
  <c r="P70" i="106"/>
  <c r="O67" i="106"/>
  <c r="P69" i="106"/>
  <c r="O70" i="106"/>
  <c r="M68" i="106"/>
  <c r="J67" i="106"/>
  <c r="L65" i="106"/>
  <c r="P66" i="106"/>
  <c r="O68" i="106"/>
  <c r="M65" i="106"/>
  <c r="L66" i="106"/>
  <c r="L69" i="106"/>
  <c r="M69" i="106"/>
  <c r="N65" i="106"/>
  <c r="J68" i="106"/>
  <c r="N68" i="106"/>
  <c r="J65" i="106"/>
  <c r="J70" i="106"/>
  <c r="P65" i="106"/>
  <c r="O65" i="106"/>
  <c r="K69" i="106"/>
  <c r="W158" i="105"/>
  <c r="W60" i="82" s="1"/>
  <c r="W130" i="105"/>
  <c r="W58" i="82" s="1"/>
  <c r="W156" i="105"/>
  <c r="W59" i="82" s="1"/>
  <c r="J52" i="55"/>
  <c r="A4" i="41"/>
  <c r="AB158" i="105"/>
  <c r="AB60" i="82" s="1"/>
  <c r="AB130" i="105"/>
  <c r="AB58" i="82" s="1"/>
  <c r="AB156" i="105"/>
  <c r="AB59" i="82" s="1"/>
  <c r="K62" i="106"/>
  <c r="M61" i="106"/>
  <c r="N61" i="106"/>
  <c r="N62" i="106"/>
  <c r="K61" i="106"/>
  <c r="P62" i="106"/>
  <c r="J60" i="106"/>
  <c r="M62" i="106"/>
  <c r="M60" i="106"/>
  <c r="N60" i="106"/>
  <c r="L61" i="106"/>
  <c r="K60" i="106"/>
  <c r="L60" i="106"/>
  <c r="O62" i="106"/>
  <c r="O60" i="106"/>
  <c r="L62" i="106"/>
  <c r="P61" i="106"/>
  <c r="O61" i="106"/>
  <c r="P60" i="106"/>
  <c r="J62" i="106"/>
  <c r="J61" i="106"/>
  <c r="O26" i="106"/>
  <c r="T37" i="82" s="1"/>
  <c r="O17" i="106"/>
  <c r="K37" i="82" s="1"/>
  <c r="M46" i="106"/>
  <c r="O36" i="106"/>
  <c r="AD37" i="82" s="1"/>
  <c r="L21" i="106"/>
  <c r="O34" i="82" s="1"/>
  <c r="M26" i="106"/>
  <c r="T35" i="82" s="1"/>
  <c r="P22" i="106"/>
  <c r="P38" i="82" s="1"/>
  <c r="K21" i="106"/>
  <c r="O33" i="82" s="1"/>
  <c r="O40" i="106"/>
  <c r="M20" i="106"/>
  <c r="N35" i="82" s="1"/>
  <c r="N32" i="106"/>
  <c r="Z36" i="82" s="1"/>
  <c r="L41" i="106"/>
  <c r="AG34" i="82" s="1"/>
  <c r="J42" i="106"/>
  <c r="L16" i="106"/>
  <c r="J34" i="82" s="1"/>
  <c r="N26" i="106"/>
  <c r="T36" i="82" s="1"/>
  <c r="K44" i="106"/>
  <c r="N18" i="106"/>
  <c r="L36" i="82" s="1"/>
  <c r="J32" i="106"/>
  <c r="Z32" i="82" s="1"/>
  <c r="P47" i="106"/>
  <c r="AJ38" i="82" s="1"/>
  <c r="P20" i="106"/>
  <c r="N38" i="82" s="1"/>
  <c r="N33" i="106"/>
  <c r="AA36" i="82" s="1"/>
  <c r="N44" i="106"/>
  <c r="L43" i="106"/>
  <c r="AH34" i="82" s="1"/>
  <c r="K16" i="106"/>
  <c r="J33" i="82" s="1"/>
  <c r="L31" i="106"/>
  <c r="Y34" i="82" s="1"/>
  <c r="K23" i="106"/>
  <c r="Q33" i="82" s="1"/>
  <c r="P41" i="106"/>
  <c r="AG38" i="82" s="1"/>
  <c r="M25" i="106"/>
  <c r="S35" i="82" s="1"/>
  <c r="K36" i="106"/>
  <c r="AD33" i="82" s="1"/>
  <c r="L45" i="106"/>
  <c r="AI34" i="82" s="1"/>
  <c r="L23" i="106"/>
  <c r="Q34" i="82" s="1"/>
  <c r="L25" i="106"/>
  <c r="S34" i="82" s="1"/>
  <c r="K31" i="106"/>
  <c r="Y33" i="82" s="1"/>
  <c r="J24" i="106"/>
  <c r="R32" i="82" s="1"/>
  <c r="O35" i="106"/>
  <c r="AC37" i="82" s="1"/>
  <c r="L40" i="106"/>
  <c r="L27" i="106"/>
  <c r="U34" i="82" s="1"/>
  <c r="K46" i="106"/>
  <c r="L48" i="106"/>
  <c r="P23" i="106"/>
  <c r="Q38" i="82" s="1"/>
  <c r="J31" i="106"/>
  <c r="Y32" i="82" s="1"/>
  <c r="M27" i="106"/>
  <c r="U35" i="82" s="1"/>
  <c r="M19" i="106"/>
  <c r="M35" i="82" s="1"/>
  <c r="J39" i="106"/>
  <c r="AF32" i="82" s="1"/>
  <c r="M48" i="106"/>
  <c r="P36" i="106"/>
  <c r="AD38" i="82" s="1"/>
  <c r="K19" i="106"/>
  <c r="M33" i="82" s="1"/>
  <c r="N16" i="106"/>
  <c r="J36" i="82" s="1"/>
  <c r="L47" i="106"/>
  <c r="AJ34" i="82" s="1"/>
  <c r="M35" i="106"/>
  <c r="AC35" i="82" s="1"/>
  <c r="M17" i="106"/>
  <c r="K35" i="82" s="1"/>
  <c r="J27" i="106"/>
  <c r="U32" i="82" s="1"/>
  <c r="K32" i="106"/>
  <c r="Z33" i="82" s="1"/>
  <c r="N43" i="106"/>
  <c r="AH36" i="82" s="1"/>
  <c r="O30" i="106"/>
  <c r="X37" i="82" s="1"/>
  <c r="O28" i="106"/>
  <c r="V37" i="82" s="1"/>
  <c r="O41" i="106"/>
  <c r="AG37" i="82" s="1"/>
  <c r="J40" i="106"/>
  <c r="N37" i="106"/>
  <c r="AE36" i="82" s="1"/>
  <c r="J30" i="106"/>
  <c r="X32" i="82" s="1"/>
  <c r="K47" i="106"/>
  <c r="AJ33" i="82" s="1"/>
  <c r="M28" i="106"/>
  <c r="V35" i="82" s="1"/>
  <c r="J26" i="106"/>
  <c r="T32" i="82" s="1"/>
  <c r="P38" i="106"/>
  <c r="M39" i="106"/>
  <c r="AF35" i="82" s="1"/>
  <c r="P42" i="106"/>
  <c r="K20" i="106"/>
  <c r="N33" i="82" s="1"/>
  <c r="N38" i="106"/>
  <c r="P31" i="106"/>
  <c r="Y38" i="82" s="1"/>
  <c r="L42" i="106"/>
  <c r="L37" i="106"/>
  <c r="AE34" i="82" s="1"/>
  <c r="K43" i="106"/>
  <c r="AH33" i="82" s="1"/>
  <c r="J20" i="106"/>
  <c r="N32" i="82" s="1"/>
  <c r="J21" i="106"/>
  <c r="O32" i="82" s="1"/>
  <c r="M47" i="106"/>
  <c r="AJ35" i="82" s="1"/>
  <c r="N35" i="106"/>
  <c r="AC36" i="82" s="1"/>
  <c r="M43" i="106"/>
  <c r="AH35" i="82" s="1"/>
  <c r="N30" i="106"/>
  <c r="X36" i="82" s="1"/>
  <c r="M31" i="106"/>
  <c r="Y35" i="82" s="1"/>
  <c r="P37" i="106"/>
  <c r="AE38" i="82" s="1"/>
  <c r="K28" i="106"/>
  <c r="V33" i="82" s="1"/>
  <c r="P16" i="106"/>
  <c r="J38" i="82" s="1"/>
  <c r="O19" i="106"/>
  <c r="M37" i="82" s="1"/>
  <c r="O23" i="106"/>
  <c r="Q37" i="82" s="1"/>
  <c r="L39" i="106"/>
  <c r="AF34" i="82" s="1"/>
  <c r="L46" i="106"/>
  <c r="K37" i="106"/>
  <c r="AE33" i="82" s="1"/>
  <c r="N39" i="106"/>
  <c r="AF36" i="82" s="1"/>
  <c r="M18" i="106"/>
  <c r="L35" i="82" s="1"/>
  <c r="M41" i="106"/>
  <c r="AG35" i="82" s="1"/>
  <c r="O31" i="106"/>
  <c r="Y37" i="82" s="1"/>
  <c r="N21" i="106"/>
  <c r="O36" i="82" s="1"/>
  <c r="O45" i="106"/>
  <c r="AI37" i="82" s="1"/>
  <c r="O42" i="106"/>
  <c r="L18" i="106"/>
  <c r="L34" i="82" s="1"/>
  <c r="P40" i="106"/>
  <c r="L26" i="106"/>
  <c r="T34" i="82" s="1"/>
  <c r="N20" i="106"/>
  <c r="N36" i="82" s="1"/>
  <c r="N47" i="106"/>
  <c r="AJ36" i="82" s="1"/>
  <c r="O20" i="106"/>
  <c r="N37" i="82" s="1"/>
  <c r="J29" i="106"/>
  <c r="W32" i="82" s="1"/>
  <c r="P19" i="106"/>
  <c r="M38" i="82" s="1"/>
  <c r="J25" i="106"/>
  <c r="S32" i="82" s="1"/>
  <c r="N28" i="106"/>
  <c r="V36" i="82" s="1"/>
  <c r="M42" i="106"/>
  <c r="P30" i="106"/>
  <c r="X38" i="82" s="1"/>
  <c r="K29" i="106"/>
  <c r="W33" i="82" s="1"/>
  <c r="P25" i="106"/>
  <c r="S38" i="82" s="1"/>
  <c r="J37" i="106"/>
  <c r="AE32" i="82" s="1"/>
  <c r="P27" i="106"/>
  <c r="U38" i="82" s="1"/>
  <c r="M21" i="106"/>
  <c r="O35" i="82" s="1"/>
  <c r="P33" i="106"/>
  <c r="AA38" i="82" s="1"/>
  <c r="O44" i="106"/>
  <c r="N41" i="106"/>
  <c r="AG36" i="82" s="1"/>
  <c r="O32" i="106"/>
  <c r="Z37" i="82" s="1"/>
  <c r="K35" i="106"/>
  <c r="AC33" i="82" s="1"/>
  <c r="N29" i="106"/>
  <c r="W36" i="82" s="1"/>
  <c r="L17" i="106"/>
  <c r="K34" i="82" s="1"/>
  <c r="P44" i="106"/>
  <c r="K42" i="106"/>
  <c r="K22" i="106"/>
  <c r="P33" i="82" s="1"/>
  <c r="O34" i="106"/>
  <c r="AB37" i="82" s="1"/>
  <c r="N36" i="106"/>
  <c r="AD36" i="82" s="1"/>
  <c r="K25" i="106"/>
  <c r="S33" i="82" s="1"/>
  <c r="J16" i="106"/>
  <c r="J32" i="82" s="1"/>
  <c r="P17" i="106"/>
  <c r="K38" i="82" s="1"/>
  <c r="M29" i="106"/>
  <c r="W35" i="82" s="1"/>
  <c r="J35" i="106"/>
  <c r="AC32" i="82" s="1"/>
  <c r="J38" i="106"/>
  <c r="J47" i="106"/>
  <c r="AJ32" i="82" s="1"/>
  <c r="K48" i="106"/>
  <c r="O39" i="106"/>
  <c r="AF37" i="82" s="1"/>
  <c r="M23" i="106"/>
  <c r="Q35" i="82" s="1"/>
  <c r="O29" i="106"/>
  <c r="W37" i="82" s="1"/>
  <c r="O43" i="106"/>
  <c r="AH37" i="82" s="1"/>
  <c r="N48" i="106"/>
  <c r="N31" i="106"/>
  <c r="Y36" i="82" s="1"/>
  <c r="N42" i="106"/>
  <c r="O33" i="106"/>
  <c r="AA37" i="82" s="1"/>
  <c r="N27" i="106"/>
  <c r="U36" i="82" s="1"/>
  <c r="J44" i="106"/>
  <c r="L34" i="106"/>
  <c r="AB34" i="82" s="1"/>
  <c r="O25" i="106"/>
  <c r="S37" i="82" s="1"/>
  <c r="L38" i="106"/>
  <c r="N24" i="106"/>
  <c r="R36" i="82" s="1"/>
  <c r="O37" i="106"/>
  <c r="AE37" i="82" s="1"/>
  <c r="M32" i="106"/>
  <c r="Z35" i="82" s="1"/>
  <c r="J36" i="106"/>
  <c r="AD32" i="82" s="1"/>
  <c r="K33" i="106"/>
  <c r="AA33" i="82" s="1"/>
  <c r="L36" i="106"/>
  <c r="AD34" i="82" s="1"/>
  <c r="P48" i="106"/>
  <c r="N40" i="106"/>
  <c r="M30" i="106"/>
  <c r="X35" i="82" s="1"/>
  <c r="K24" i="106"/>
  <c r="R33" i="82" s="1"/>
  <c r="L19" i="106"/>
  <c r="M34" i="82" s="1"/>
  <c r="J48" i="106"/>
  <c r="P43" i="106"/>
  <c r="AH38" i="82" s="1"/>
  <c r="P34" i="106"/>
  <c r="AB38" i="82" s="1"/>
  <c r="P28" i="106"/>
  <c r="V38" i="82" s="1"/>
  <c r="N25" i="106"/>
  <c r="S36" i="82" s="1"/>
  <c r="O27" i="106"/>
  <c r="U37" i="82" s="1"/>
  <c r="L20" i="106"/>
  <c r="N34" i="82" s="1"/>
  <c r="J19" i="106"/>
  <c r="M32" i="82" s="1"/>
  <c r="N19" i="106"/>
  <c r="M36" i="82" s="1"/>
  <c r="K17" i="106"/>
  <c r="K33" i="82" s="1"/>
  <c r="L30" i="106"/>
  <c r="X34" i="82" s="1"/>
  <c r="L22" i="106"/>
  <c r="P34" i="82" s="1"/>
  <c r="J34" i="106"/>
  <c r="AB32" i="82" s="1"/>
  <c r="L33" i="106"/>
  <c r="AA34" i="82" s="1"/>
  <c r="J33" i="106"/>
  <c r="AA32" i="82" s="1"/>
  <c r="P18" i="106"/>
  <c r="L38" i="82" s="1"/>
  <c r="K40" i="106"/>
  <c r="O16" i="106"/>
  <c r="J37" i="82" s="1"/>
  <c r="O18" i="106"/>
  <c r="L37" i="82" s="1"/>
  <c r="P21" i="106"/>
  <c r="O38" i="82" s="1"/>
  <c r="K39" i="106"/>
  <c r="AF33" i="82" s="1"/>
  <c r="P29" i="106"/>
  <c r="W38" i="82" s="1"/>
  <c r="N34" i="106"/>
  <c r="AB36" i="82" s="1"/>
  <c r="M45" i="106"/>
  <c r="AI35" i="82" s="1"/>
  <c r="P45" i="106"/>
  <c r="AI38" i="82" s="1"/>
  <c r="O24" i="106"/>
  <c r="R37" i="82" s="1"/>
  <c r="M36" i="106"/>
  <c r="AD35" i="82" s="1"/>
  <c r="J28" i="106"/>
  <c r="V32" i="82" s="1"/>
  <c r="O38" i="106"/>
  <c r="N23" i="106"/>
  <c r="Q36" i="82" s="1"/>
  <c r="J43" i="106"/>
  <c r="AH32" i="82" s="1"/>
  <c r="M37" i="106"/>
  <c r="AE35" i="82" s="1"/>
  <c r="O48" i="106"/>
  <c r="J17" i="106"/>
  <c r="K32" i="82" s="1"/>
  <c r="P35" i="106"/>
  <c r="AC38" i="82" s="1"/>
  <c r="N45" i="106"/>
  <c r="AI36" i="82" s="1"/>
  <c r="P26" i="106"/>
  <c r="T38" i="82" s="1"/>
  <c r="M38" i="106"/>
  <c r="L28" i="106"/>
  <c r="V34" i="82" s="1"/>
  <c r="P39" i="106"/>
  <c r="AF38" i="82" s="1"/>
  <c r="M33" i="106"/>
  <c r="AA35" i="82" s="1"/>
  <c r="O46" i="106"/>
  <c r="L35" i="106"/>
  <c r="AC34" i="82" s="1"/>
  <c r="L24" i="106"/>
  <c r="R34" i="82" s="1"/>
  <c r="M16" i="106"/>
  <c r="J35" i="82" s="1"/>
  <c r="L29" i="106"/>
  <c r="W34" i="82" s="1"/>
  <c r="M34" i="106"/>
  <c r="AB35" i="82" s="1"/>
  <c r="P24" i="106"/>
  <c r="R38" i="82" s="1"/>
  <c r="M40" i="106"/>
  <c r="K18" i="106"/>
  <c r="L33" i="82" s="1"/>
  <c r="J22" i="106"/>
  <c r="P32" i="82" s="1"/>
  <c r="N17" i="106"/>
  <c r="K36" i="82" s="1"/>
  <c r="K38" i="106"/>
  <c r="L44" i="106"/>
  <c r="J23" i="106"/>
  <c r="Q32" i="82" s="1"/>
  <c r="P32" i="106"/>
  <c r="Z38" i="82" s="1"/>
  <c r="N22" i="106"/>
  <c r="P36" i="82" s="1"/>
  <c r="O21" i="106"/>
  <c r="O37" i="82" s="1"/>
  <c r="L32" i="106"/>
  <c r="Z34" i="82" s="1"/>
  <c r="J46" i="106"/>
  <c r="P46" i="106"/>
  <c r="J41" i="106"/>
  <c r="AG32" i="82" s="1"/>
  <c r="K41" i="106"/>
  <c r="AG33" i="82" s="1"/>
  <c r="M24" i="106"/>
  <c r="R35" i="82" s="1"/>
  <c r="O47" i="106"/>
  <c r="AJ37" i="82" s="1"/>
  <c r="K34" i="106"/>
  <c r="AB33" i="82" s="1"/>
  <c r="K30" i="106"/>
  <c r="X33" i="82" s="1"/>
  <c r="M22" i="106"/>
  <c r="P35" i="82" s="1"/>
  <c r="J18" i="106"/>
  <c r="L32" i="82" s="1"/>
  <c r="K45" i="106"/>
  <c r="AI33" i="82" s="1"/>
  <c r="M44" i="106"/>
  <c r="N46" i="106"/>
  <c r="K26" i="106"/>
  <c r="T33" i="82" s="1"/>
  <c r="K27" i="106"/>
  <c r="U33" i="82" s="1"/>
  <c r="O22" i="106"/>
  <c r="P37" i="82" s="1"/>
  <c r="J45" i="106"/>
  <c r="AI32" i="82" s="1"/>
  <c r="J82" i="105"/>
  <c r="J86" i="106" a="1"/>
  <c r="J63" i="105"/>
  <c r="J51" i="106" a="1"/>
  <c r="J54" i="105"/>
  <c r="H117" i="65" a="1"/>
  <c r="H117" i="65" s="1"/>
  <c r="T158" i="105"/>
  <c r="T60" i="82" s="1"/>
  <c r="T130" i="105"/>
  <c r="T58" i="82" s="1"/>
  <c r="T156" i="105"/>
  <c r="T59" i="82" s="1"/>
  <c r="U158" i="105"/>
  <c r="U60" i="82" s="1"/>
  <c r="U130" i="105"/>
  <c r="U58" i="82" s="1"/>
  <c r="U156" i="105"/>
  <c r="U59" i="82" s="1"/>
  <c r="O95" i="106"/>
  <c r="M98" i="106"/>
  <c r="J100" i="106"/>
  <c r="L101" i="106"/>
  <c r="K99" i="106"/>
  <c r="L97" i="106"/>
  <c r="L106" i="106"/>
  <c r="O100" i="106"/>
  <c r="P95" i="106"/>
  <c r="P102" i="106"/>
  <c r="P98" i="106"/>
  <c r="J102" i="106"/>
  <c r="P107" i="106"/>
  <c r="J107" i="106"/>
  <c r="K102" i="106"/>
  <c r="J105" i="106"/>
  <c r="N102" i="106"/>
  <c r="L98" i="106"/>
  <c r="L99" i="106"/>
  <c r="L96" i="106"/>
  <c r="L104" i="106"/>
  <c r="N104" i="106"/>
  <c r="K106" i="106"/>
  <c r="P101" i="106"/>
  <c r="L102" i="106"/>
  <c r="L103" i="106"/>
  <c r="O99" i="106"/>
  <c r="O107" i="106"/>
  <c r="M102" i="106"/>
  <c r="O105" i="106"/>
  <c r="L105" i="106"/>
  <c r="N103" i="106"/>
  <c r="L107" i="106"/>
  <c r="M96" i="106"/>
  <c r="N99" i="106"/>
  <c r="P104" i="106"/>
  <c r="K104" i="106"/>
  <c r="P105" i="106"/>
  <c r="K98" i="106"/>
  <c r="M105" i="106"/>
  <c r="K100" i="106"/>
  <c r="K95" i="106"/>
  <c r="K101" i="106"/>
  <c r="N100" i="106"/>
  <c r="N98" i="106"/>
  <c r="N106" i="106"/>
  <c r="N105" i="106"/>
  <c r="O106" i="106"/>
  <c r="O98" i="106"/>
  <c r="M106" i="106"/>
  <c r="P106" i="106"/>
  <c r="J101" i="106"/>
  <c r="M107" i="106"/>
  <c r="M101" i="106"/>
  <c r="J98" i="106"/>
  <c r="M99" i="106"/>
  <c r="K97" i="106"/>
  <c r="J103" i="106"/>
  <c r="P96" i="106"/>
  <c r="L100" i="106"/>
  <c r="P103" i="106"/>
  <c r="J104" i="106"/>
  <c r="N107" i="106"/>
  <c r="M103" i="106"/>
  <c r="J99" i="106"/>
  <c r="M100" i="106"/>
  <c r="P99" i="106"/>
  <c r="N96" i="106"/>
  <c r="O103" i="106"/>
  <c r="O104" i="106"/>
  <c r="K105" i="106"/>
  <c r="O97" i="106"/>
  <c r="J97" i="106"/>
  <c r="P97" i="106"/>
  <c r="O102" i="106"/>
  <c r="M97" i="106"/>
  <c r="O96" i="106"/>
  <c r="M95" i="106"/>
  <c r="J106" i="106"/>
  <c r="J96" i="106"/>
  <c r="J95" i="106"/>
  <c r="M104" i="106"/>
  <c r="K107" i="106"/>
  <c r="O101" i="106"/>
  <c r="L95" i="106"/>
  <c r="P100" i="106"/>
  <c r="K103" i="106"/>
  <c r="N95" i="106"/>
  <c r="N97" i="106"/>
  <c r="N101" i="106"/>
  <c r="K96" i="106"/>
  <c r="N158" i="105"/>
  <c r="N60" i="82" s="1"/>
  <c r="N130" i="105"/>
  <c r="N58" i="82" s="1"/>
  <c r="N156" i="105"/>
  <c r="N59" i="82" s="1"/>
  <c r="U131" i="105" l="1"/>
  <c r="U125" i="105"/>
  <c r="K131" i="105"/>
  <c r="K125" i="105"/>
  <c r="U126" i="105"/>
  <c r="U132" i="105"/>
  <c r="V126" i="105"/>
  <c r="V132" i="105"/>
  <c r="K132" i="105"/>
  <c r="K126" i="105"/>
  <c r="J102" i="105"/>
  <c r="J109" i="105" s="1"/>
  <c r="J177" i="105"/>
  <c r="J184" i="105" s="1"/>
  <c r="J92" i="105"/>
  <c r="H92" i="105" s="1"/>
  <c r="H99" i="105" s="1"/>
  <c r="J166" i="105"/>
  <c r="J173" i="105" s="1"/>
  <c r="J51" i="106"/>
  <c r="P53" i="106"/>
  <c r="L52" i="106"/>
  <c r="M55" i="106"/>
  <c r="O57" i="106"/>
  <c r="J57" i="106"/>
  <c r="P56" i="106"/>
  <c r="K51" i="106"/>
  <c r="L54" i="106"/>
  <c r="P55" i="106"/>
  <c r="O51" i="106"/>
  <c r="M54" i="106"/>
  <c r="P51" i="106"/>
  <c r="K55" i="106"/>
  <c r="M51" i="106"/>
  <c r="J52" i="106"/>
  <c r="N53" i="106"/>
  <c r="O54" i="106"/>
  <c r="L57" i="106"/>
  <c r="O56" i="106"/>
  <c r="O52" i="106"/>
  <c r="L56" i="106"/>
  <c r="O53" i="106"/>
  <c r="N56" i="106"/>
  <c r="N57" i="106"/>
  <c r="J55" i="106"/>
  <c r="L51" i="106"/>
  <c r="K52" i="106"/>
  <c r="P57" i="106"/>
  <c r="J56" i="106"/>
  <c r="M52" i="106"/>
  <c r="K56" i="106"/>
  <c r="K57" i="106"/>
  <c r="N51" i="106"/>
  <c r="J53" i="106"/>
  <c r="K54" i="106"/>
  <c r="L55" i="106"/>
  <c r="N52" i="106"/>
  <c r="P54" i="106"/>
  <c r="M53" i="106"/>
  <c r="J54" i="106"/>
  <c r="N55" i="106"/>
  <c r="O55" i="106"/>
  <c r="L53" i="106"/>
  <c r="K53" i="106"/>
  <c r="P52" i="106"/>
  <c r="N54" i="106"/>
  <c r="M57" i="106"/>
  <c r="M56" i="106"/>
  <c r="O92" i="106"/>
  <c r="J88" i="106"/>
  <c r="J89" i="106"/>
  <c r="M88" i="106"/>
  <c r="J90" i="106"/>
  <c r="L89" i="106"/>
  <c r="K87" i="106"/>
  <c r="J86" i="106"/>
  <c r="K86" i="106"/>
  <c r="K88" i="106"/>
  <c r="M90" i="106"/>
  <c r="N87" i="106"/>
  <c r="L87" i="106"/>
  <c r="K91" i="106"/>
  <c r="P92" i="106"/>
  <c r="K90" i="106"/>
  <c r="M92" i="106"/>
  <c r="J91" i="106"/>
  <c r="P88" i="106"/>
  <c r="M89" i="106"/>
  <c r="L91" i="106"/>
  <c r="J87" i="106"/>
  <c r="P91" i="106"/>
  <c r="O86" i="106"/>
  <c r="O88" i="106"/>
  <c r="J92" i="106"/>
  <c r="L88" i="106"/>
  <c r="K92" i="106"/>
  <c r="N86" i="106"/>
  <c r="K89" i="106"/>
  <c r="M86" i="106"/>
  <c r="N91" i="106"/>
  <c r="M87" i="106"/>
  <c r="N89" i="106"/>
  <c r="O89" i="106"/>
  <c r="M91" i="106"/>
  <c r="L92" i="106"/>
  <c r="P87" i="106"/>
  <c r="P89" i="106"/>
  <c r="O91" i="106"/>
  <c r="O87" i="106"/>
  <c r="L86" i="106"/>
  <c r="N88" i="106"/>
  <c r="N92" i="106"/>
  <c r="N90" i="106"/>
  <c r="O90" i="106"/>
  <c r="P90" i="106"/>
  <c r="P86" i="106"/>
  <c r="L90" i="106"/>
  <c r="J89" i="105"/>
  <c r="J124" i="105" s="1"/>
  <c r="H82" i="105"/>
  <c r="J53" i="55"/>
  <c r="A4" i="65"/>
  <c r="J132" i="105" l="1"/>
  <c r="J126" i="105"/>
  <c r="J99" i="105"/>
  <c r="H102" i="105"/>
  <c r="H109" i="105" s="1"/>
  <c r="J190" i="105"/>
  <c r="J68" i="82" s="1"/>
  <c r="J57" i="82"/>
  <c r="J191" i="105"/>
  <c r="J69" i="82" s="1"/>
  <c r="H122" i="106" a="1"/>
  <c r="H122" i="106" s="1"/>
  <c r="J55" i="55" s="1"/>
  <c r="H89" i="105"/>
  <c r="J158" i="105"/>
  <c r="J60" i="82" s="1"/>
  <c r="J130" i="105"/>
  <c r="J58" i="82" s="1"/>
  <c r="J156" i="105"/>
  <c r="J59" i="82" s="1"/>
  <c r="J131" i="105" l="1"/>
  <c r="J125" i="105"/>
  <c r="H73" i="82" a="1"/>
  <c r="H73" i="82" s="1"/>
  <c r="J56" i="55" s="1"/>
  <c r="H116" i="105"/>
  <c r="H117" i="105" s="1"/>
  <c r="H120" i="105" s="1"/>
  <c r="A4" i="106"/>
  <c r="A4" i="82" l="1"/>
  <c r="H119" i="105"/>
  <c r="H195" i="105" s="1" a="1"/>
  <c r="H195" i="105" s="1"/>
  <c r="J54" i="55" s="1"/>
  <c r="J57" i="55" s="1"/>
  <c r="A4" i="55" s="1"/>
  <c r="A4" i="105" l="1"/>
</calcChain>
</file>

<file path=xl/sharedStrings.xml><?xml version="1.0" encoding="utf-8"?>
<sst xmlns="http://schemas.openxmlformats.org/spreadsheetml/2006/main" count="7114" uniqueCount="1126">
  <si>
    <t>CDCM charging model</t>
  </si>
  <si>
    <t>DISCLAIMER</t>
  </si>
  <si>
    <t>Neither the authors nor Cambridge Economic Policy Associates/TNEI accept or assume any responsibility or duty of care to any third party.</t>
  </si>
  <si>
    <t>© All rights reserved by Cambridge Economic Policy Associates Ltd (CEPA) and TNEI Services Ltd (TNEI).</t>
  </si>
  <si>
    <t>Charging year:</t>
  </si>
  <si>
    <t>DNO name:</t>
  </si>
  <si>
    <t>Data version:</t>
  </si>
  <si>
    <t>Notes:</t>
  </si>
  <si>
    <t>[enter DNO comments, if any]</t>
  </si>
  <si>
    <t>Key:</t>
  </si>
  <si>
    <t>Format</t>
  </si>
  <si>
    <t>Description</t>
  </si>
  <si>
    <t>Cell intentionally blank</t>
  </si>
  <si>
    <t>Value</t>
  </si>
  <si>
    <t>Hardcoded input</t>
  </si>
  <si>
    <t>User input</t>
  </si>
  <si>
    <t>Model output</t>
  </si>
  <si>
    <t>Calculation</t>
  </si>
  <si>
    <t>Value from another worksheet</t>
  </si>
  <si>
    <t>Value used on another worksheet</t>
  </si>
  <si>
    <t>Issue identified in a check</t>
  </si>
  <si>
    <t>Text</t>
  </si>
  <si>
    <t>Label</t>
  </si>
  <si>
    <t>Annotation</t>
  </si>
  <si>
    <t>Column heading</t>
  </si>
  <si>
    <t>Level 1 heading</t>
  </si>
  <si>
    <t>Level 2 heading</t>
  </si>
  <si>
    <t>Level 3 and 4 heading</t>
  </si>
  <si>
    <t>Sheet tab colour</t>
  </si>
  <si>
    <t>Information sheet</t>
  </si>
  <si>
    <t>Input sheet</t>
  </si>
  <si>
    <t>Calculation sheet</t>
  </si>
  <si>
    <t>Output sheet</t>
  </si>
  <si>
    <t>Model version</t>
  </si>
  <si>
    <t>Model date:</t>
  </si>
  <si>
    <t>Development stage:</t>
  </si>
  <si>
    <t>DCUSA text version:</t>
  </si>
  <si>
    <t>DCUSA text schedule:</t>
  </si>
  <si>
    <t>Version log</t>
  </si>
  <si>
    <t>Model date</t>
  </si>
  <si>
    <t>Development stage</t>
  </si>
  <si>
    <t>DCUSA text version</t>
  </si>
  <si>
    <t>DCUSA text schedule</t>
  </si>
  <si>
    <t>Author</t>
  </si>
  <si>
    <t>Description of changes</t>
  </si>
  <si>
    <t>Pre-release</t>
  </si>
  <si>
    <t>2019-20 pre-release plus Expert Panel clarifications</t>
  </si>
  <si>
    <t>Schedule 16</t>
  </si>
  <si>
    <t>CEPA-TNEI</t>
  </si>
  <si>
    <t>-</t>
  </si>
  <si>
    <t>DCUSA v10.3 (released 28/06/2018)</t>
  </si>
  <si>
    <t>References to DCUSA text updated to comply with version 10.3 (released 28/06/2018).</t>
  </si>
  <si>
    <t>Model checks</t>
  </si>
  <si>
    <t>Issues identified by in-built model checks, by sheet</t>
  </si>
  <si>
    <t>Fixed inputs</t>
  </si>
  <si>
    <t>Input 101</t>
  </si>
  <si>
    <t>number of issues</t>
  </si>
  <si>
    <t>Inputs by customer type</t>
  </si>
  <si>
    <t>Input 102</t>
  </si>
  <si>
    <t>Inputs by network level</t>
  </si>
  <si>
    <t>Input 103</t>
  </si>
  <si>
    <t>General inputs</t>
  </si>
  <si>
    <t>Input 104</t>
  </si>
  <si>
    <t>Standing Charge Factors</t>
  </si>
  <si>
    <t>Section 101</t>
  </si>
  <si>
    <t>Load &amp; loss characteristics</t>
  </si>
  <si>
    <t>Section 102</t>
  </si>
  <si>
    <t>Customer contributions</t>
  </si>
  <si>
    <t>Section 103</t>
  </si>
  <si>
    <t>Volume adjustments</t>
  </si>
  <si>
    <t>Section 104</t>
  </si>
  <si>
    <t>Pseudo-load coefficients</t>
  </si>
  <si>
    <t>Section 105</t>
  </si>
  <si>
    <t>System peak demand</t>
  </si>
  <si>
    <t>Section 106</t>
  </si>
  <si>
    <t>Service model assets</t>
  </si>
  <si>
    <t>Section 107</t>
  </si>
  <si>
    <t>Unit costs</t>
  </si>
  <si>
    <t>Section 108</t>
  </si>
  <si>
    <t>Initial unit rates</t>
  </si>
  <si>
    <t>Section 109</t>
  </si>
  <si>
    <t>Service model charges</t>
  </si>
  <si>
    <t>Section 110</t>
  </si>
  <si>
    <t>Unit rate charges</t>
  </si>
  <si>
    <t>Section 111</t>
  </si>
  <si>
    <t>Reactive power charges</t>
  </si>
  <si>
    <t>Section 112</t>
  </si>
  <si>
    <t>Capacity charges</t>
  </si>
  <si>
    <t>Section 113</t>
  </si>
  <si>
    <t>Fixed charges</t>
  </si>
  <si>
    <t>Section 114</t>
  </si>
  <si>
    <t>Revenue matching</t>
  </si>
  <si>
    <t>Section 115</t>
  </si>
  <si>
    <t>Rounding</t>
  </si>
  <si>
    <t>Section 116</t>
  </si>
  <si>
    <t>Net revenue summary</t>
  </si>
  <si>
    <t>Section 117</t>
  </si>
  <si>
    <t>Tariff summary</t>
  </si>
  <si>
    <t>Output 101</t>
  </si>
  <si>
    <t>Output to other models</t>
  </si>
  <si>
    <t>Output 102</t>
  </si>
  <si>
    <t>Total</t>
  </si>
  <si>
    <t>Version log lists</t>
  </si>
  <si>
    <t>Development stages</t>
  </si>
  <si>
    <t>Working draft</t>
  </si>
  <si>
    <t>Interim release</t>
  </si>
  <si>
    <t>…</t>
  </si>
  <si>
    <t>End of sheet</t>
  </si>
  <si>
    <t>Model map</t>
  </si>
  <si>
    <t>This sheet contains links to each sheet of the model and the main sections within them.</t>
  </si>
  <si>
    <t>It also contains links to more granular sections within the sheets for inputs, calculations and outputs.</t>
  </si>
  <si>
    <t>Index of sheets and main sections</t>
  </si>
  <si>
    <t>The following table provides links to all the sheets within this model and the main sections within them.</t>
  </si>
  <si>
    <t>Sheet</t>
  </si>
  <si>
    <t>Section</t>
  </si>
  <si>
    <t>Cover</t>
  </si>
  <si>
    <t>Version control</t>
  </si>
  <si>
    <t/>
  </si>
  <si>
    <t>Named ranges</t>
  </si>
  <si>
    <t>Index of inputs, calculation sections and outputs</t>
  </si>
  <si>
    <t>The following table provides links to each input, calculation and output section. Each has a unique identifier for ease of reference.</t>
  </si>
  <si>
    <t>Standing charge factors</t>
  </si>
  <si>
    <t>List of named ranges</t>
  </si>
  <si>
    <t>charging_year</t>
  </si>
  <si>
    <t>Year for which charges are being calculated</t>
  </si>
  <si>
    <t>check_decimals</t>
  </si>
  <si>
    <t>Number of decimal places of precision for in-built model checks</t>
  </si>
  <si>
    <t>days_in_year</t>
  </si>
  <si>
    <t>Days in the charging year</t>
  </si>
  <si>
    <t>DNO_name</t>
  </si>
  <si>
    <t>Name of DNO</t>
  </si>
  <si>
    <t>hours_in_day</t>
  </si>
  <si>
    <t>Hours per day</t>
  </si>
  <si>
    <t>hours_in_year</t>
  </si>
  <si>
    <t>Hours in the charging year</t>
  </si>
  <si>
    <t>hundred</t>
  </si>
  <si>
    <t>Equal to 100</t>
  </si>
  <si>
    <t>live_results_tariffs</t>
  </si>
  <si>
    <t>Tariffs for selected charging year</t>
  </si>
  <si>
    <t>PowerFactor</t>
  </si>
  <si>
    <t>Power factor, equal to 0.95</t>
  </si>
  <si>
    <t>ten</t>
  </si>
  <si>
    <t>Equal to 10</t>
  </si>
  <si>
    <t>thousand</t>
  </si>
  <si>
    <t>Equal to 1000</t>
  </si>
  <si>
    <t>Click here to return to model map</t>
  </si>
  <si>
    <t>Units</t>
  </si>
  <si>
    <t>Constants</t>
  </si>
  <si>
    <t>Domestic Unrestricted</t>
  </si>
  <si>
    <t>Domestic Two Rate</t>
  </si>
  <si>
    <t>Domestic Off Peak (related MPAN)</t>
  </si>
  <si>
    <t>Small Non Domestic Unrestricted</t>
  </si>
  <si>
    <t>Small Non Domestic Two Rate</t>
  </si>
  <si>
    <t>Small Non Domestic Off Peak (related MPAN)</t>
  </si>
  <si>
    <t>LV Medium Non-Domestic</t>
  </si>
  <si>
    <t>LV Sub Medium Non-Domestic</t>
  </si>
  <si>
    <t>HV Medium Non-Domestic</t>
  </si>
  <si>
    <t>LV Network Domestic</t>
  </si>
  <si>
    <t>LV Network Non-Domestic Non-CT</t>
  </si>
  <si>
    <t>LV HH Metered</t>
  </si>
  <si>
    <t>LV Sub HH Metered</t>
  </si>
  <si>
    <t>HV HH Metered</t>
  </si>
  <si>
    <t>NHH UMS category A</t>
  </si>
  <si>
    <t>NHH UMS category B</t>
  </si>
  <si>
    <t>NHH UMS category C</t>
  </si>
  <si>
    <t>NHH UMS category D</t>
  </si>
  <si>
    <t>LV UMS (Pseudo HH Metered)</t>
  </si>
  <si>
    <t>LV Generation NHH or Aggregate HH</t>
  </si>
  <si>
    <t>LV Sub Generation NHH</t>
  </si>
  <si>
    <t>LV Generation Intermittent</t>
  </si>
  <si>
    <t>LV Generation Intermittent no RP charge</t>
  </si>
  <si>
    <t>LV Generation Non-Intermittent</t>
  </si>
  <si>
    <t>LV Generation Non-Intermittent no RP charge</t>
  </si>
  <si>
    <t>LV Sub Generation Intermittent</t>
  </si>
  <si>
    <t>LV Sub Generation Intermittent no RP charge</t>
  </si>
  <si>
    <t>LV Sub Generation Non-Intermittent</t>
  </si>
  <si>
    <t>LV Sub Generation Non-Intermittent no RP charge</t>
  </si>
  <si>
    <t>HV Generation Intermittent</t>
  </si>
  <si>
    <t>HV Generation Intermittent no RP charge</t>
  </si>
  <si>
    <t>HV Generation Non-Intermittent</t>
  </si>
  <si>
    <t>HV Generation Non-Intermittent no RP charge</t>
  </si>
  <si>
    <t>Legal text reference</t>
  </si>
  <si>
    <t>This sheet sets out the inputs that should be constant across DNOs</t>
  </si>
  <si>
    <t>hours</t>
  </si>
  <si>
    <t>Ten</t>
  </si>
  <si>
    <t>integer</t>
  </si>
  <si>
    <t>One hundred</t>
  </si>
  <si>
    <t>One thousand</t>
  </si>
  <si>
    <t>Number of decimal places each final charge should be rounded to, specified in Paragraph 14.</t>
  </si>
  <si>
    <t>Decimal places</t>
  </si>
  <si>
    <t>&gt;</t>
  </si>
  <si>
    <t>Paragraph 14</t>
  </si>
  <si>
    <t>Unit rate 1</t>
  </si>
  <si>
    <t>Unit rate 2</t>
  </si>
  <si>
    <t>Unit rate 3</t>
  </si>
  <si>
    <t>Fixed charge</t>
  </si>
  <si>
    <t>Capacity charge</t>
  </si>
  <si>
    <t>Exceeded capacity charge</t>
  </si>
  <si>
    <t>Reactive power charge</t>
  </si>
  <si>
    <t>Annualisation period</t>
  </si>
  <si>
    <t>years</t>
  </si>
  <si>
    <t>Paragraph 57</t>
  </si>
  <si>
    <t>Power factor</t>
  </si>
  <si>
    <t>%</t>
  </si>
  <si>
    <t>Paragraphs 21 &amp; 79</t>
  </si>
  <si>
    <t>Indirect cost proportion</t>
  </si>
  <si>
    <t>Paragraph 39</t>
  </si>
  <si>
    <t>Network model GSP peak demand</t>
  </si>
  <si>
    <t>MW</t>
  </si>
  <si>
    <t>Paragraph 20</t>
  </si>
  <si>
    <t>LDNO discount map</t>
  </si>
  <si>
    <t>LDNO LV: LV user</t>
  </si>
  <si>
    <t>1 or 0</t>
  </si>
  <si>
    <t>LDNO HV: LV user</t>
  </si>
  <si>
    <t>LDNO HV: LV Sub user</t>
  </si>
  <si>
    <t>LDNO HV: HV user</t>
  </si>
  <si>
    <t>Network level at which users are supplied</t>
  </si>
  <si>
    <t>Paragraph 30</t>
  </si>
  <si>
    <t>Network use factors based on customer contributed assets</t>
  </si>
  <si>
    <t>HV substation</t>
  </si>
  <si>
    <t>HV network</t>
  </si>
  <si>
    <t>LV substation</t>
  </si>
  <si>
    <t>LV network</t>
  </si>
  <si>
    <t>Network use factors (assuming generation contributes at level of connection)</t>
  </si>
  <si>
    <t>These assume demand and generation use the network from the point of connection.</t>
  </si>
  <si>
    <t>Transmission exit</t>
  </si>
  <si>
    <t>1, 0 or -1</t>
  </si>
  <si>
    <t>GSPs</t>
  </si>
  <si>
    <t>132kV</t>
  </si>
  <si>
    <t>132kV/EHV</t>
  </si>
  <si>
    <t>EHV</t>
  </si>
  <si>
    <t>EHV/HV</t>
  </si>
  <si>
    <t>132kV/HV</t>
  </si>
  <si>
    <t>HV</t>
  </si>
  <si>
    <t>HV/LV</t>
  </si>
  <si>
    <t>LV circuits</t>
  </si>
  <si>
    <t>Network use factors (assuming generation makes no contribution at level of connection)</t>
  </si>
  <si>
    <t>Paragraphs 62 &amp; 71</t>
  </si>
  <si>
    <t>Equal to 0 for the network level at which generation is connected, otherwise equal to network use factor</t>
  </si>
  <si>
    <t>Paragraph 74</t>
  </si>
  <si>
    <t>Override discount rate applied</t>
  </si>
  <si>
    <t xml:space="preserve">See Schedule 16, para 125. This has been interpreted to mean that MPANs are fully discounted, </t>
  </si>
  <si>
    <t>and everything else is not</t>
  </si>
  <si>
    <t>MWh</t>
  </si>
  <si>
    <t>Override discount</t>
  </si>
  <si>
    <t>TRUE / FALSE</t>
  </si>
  <si>
    <t>Paragraph 99</t>
  </si>
  <si>
    <t>Discount %</t>
  </si>
  <si>
    <t>MPANs</t>
  </si>
  <si>
    <t>Import capacity (kVA)</t>
  </si>
  <si>
    <t>Exceeded capacity (kVA)</t>
  </si>
  <si>
    <t>Reactive power units (MVArh)</t>
  </si>
  <si>
    <t>Override to use flat annual load</t>
  </si>
  <si>
    <t>These are used to identify customers where a flat annual load should be assumed</t>
  </si>
  <si>
    <t>Flag to use flat annual load</t>
  </si>
  <si>
    <t>Unmetered supply flags</t>
  </si>
  <si>
    <t>These are used to flag UMS tariff forecast in the pseudo load coefficient calculations, because UMS</t>
  </si>
  <si>
    <t>customers are subject to a different timebanding</t>
  </si>
  <si>
    <t>Flags used in calculation of LV diversity allowance</t>
  </si>
  <si>
    <t>FALSE = exclude</t>
  </si>
  <si>
    <t>Flag for customers included in aggregate maximum demand</t>
  </si>
  <si>
    <t>Flags for applicability of capacity &amp; reactive charges</t>
  </si>
  <si>
    <t>Paragraphs 141 &amp; 146</t>
  </si>
  <si>
    <t>0 = charges not applicable to customer type</t>
  </si>
  <si>
    <t>For fixed charges, 1 = capacity element is allocated to fixed charges</t>
  </si>
  <si>
    <t>Reactive power</t>
  </si>
  <si>
    <t>Capacity charge allocated to fixed charge</t>
  </si>
  <si>
    <t>Groupings for fixed charges</t>
  </si>
  <si>
    <t>Sets out the groups that are aggregated when calculating fixed charges. Each group is given an identifier.</t>
  </si>
  <si>
    <t>Groupings for equalising unit rates</t>
  </si>
  <si>
    <t>Sets out the groups that are equalised for unit rates, as set out in Paragraph 72A.</t>
  </si>
  <si>
    <t>Profile class group</t>
  </si>
  <si>
    <t>text</t>
  </si>
  <si>
    <t>1&amp;2</t>
  </si>
  <si>
    <t>3&amp;4</t>
  </si>
  <si>
    <t>LV Network Non-Domestic</t>
  </si>
  <si>
    <t>Equalisation group</t>
  </si>
  <si>
    <t>Domestic</t>
  </si>
  <si>
    <t>Non-domestic</t>
  </si>
  <si>
    <t>Decimals of precision for error checks</t>
  </si>
  <si>
    <t>Checks</t>
  </si>
  <si>
    <t>Check for error values</t>
  </si>
  <si>
    <t>Check that UMS flags apply only to UMS</t>
  </si>
  <si>
    <t>Check that discount overrides are either FALSE, or non-zero</t>
  </si>
  <si>
    <t>MWh override</t>
  </si>
  <si>
    <t>MPAN override</t>
  </si>
  <si>
    <t>Import capacity override</t>
  </si>
  <si>
    <t>Exceeded capacity override</t>
  </si>
  <si>
    <t>Reactive power override</t>
  </si>
  <si>
    <t>Summary of checks</t>
  </si>
  <si>
    <t>This sheet sets out the inputs by customer type to be filled in by DNOs.</t>
  </si>
  <si>
    <t>Load factor</t>
  </si>
  <si>
    <t>Paragraph 42 (a)</t>
  </si>
  <si>
    <t>Coincidence factor</t>
  </si>
  <si>
    <t>Paragraph 42 (b)</t>
  </si>
  <si>
    <t>All the way volume forecast</t>
  </si>
  <si>
    <t>Paragraph 52</t>
  </si>
  <si>
    <t>Rate 1 units</t>
  </si>
  <si>
    <t>Rate 2 units</t>
  </si>
  <si>
    <t>Rate 3 units</t>
  </si>
  <si>
    <t>Import capacity</t>
  </si>
  <si>
    <t>kVA</t>
  </si>
  <si>
    <t>Exceeded capacity</t>
  </si>
  <si>
    <t>Reactive power units</t>
  </si>
  <si>
    <t>MVArh</t>
  </si>
  <si>
    <t>LDNO LV volume forecast</t>
  </si>
  <si>
    <t>LDNO HV volume forecast</t>
  </si>
  <si>
    <t>UMS customers are under special time band regime (Black &amp; Yellow)</t>
  </si>
  <si>
    <t>All other customers are under normal time band regime (Red &amp; Amber)</t>
  </si>
  <si>
    <t>Unit rate 1 split of units by distribution timeband</t>
  </si>
  <si>
    <t>Paragraphs 42 (c) &amp; 45</t>
  </si>
  <si>
    <t>Red / Black</t>
  </si>
  <si>
    <t>Amber / Yellow</t>
  </si>
  <si>
    <t>Green</t>
  </si>
  <si>
    <t>Unit rate 2 split of units by distribution timeband</t>
  </si>
  <si>
    <t>Unit rate 3 split of units by distribution timeband</t>
  </si>
  <si>
    <t>Service model costs should be entered per customer or per MWh for unmetered customers</t>
  </si>
  <si>
    <t>Paragraphs 32 to 37</t>
  </si>
  <si>
    <t>LV customer service model asset values</t>
  </si>
  <si>
    <t>£ per MPAN</t>
  </si>
  <si>
    <t>HV customer service model asset values</t>
  </si>
  <si>
    <t>LV UMS customer service model asset values</t>
  </si>
  <si>
    <t>£/MWh/year</t>
  </si>
  <si>
    <t>Paragraph 36</t>
  </si>
  <si>
    <t xml:space="preserve">Previous year tariff forecast are not an input to tariff calculations in the CDCM itself, </t>
  </si>
  <si>
    <t>but are used by some DNOs to complete 'Tariff Movement Explanation' reports.</t>
  </si>
  <si>
    <t>Previous year all-the-way tariff forecast</t>
  </si>
  <si>
    <t>p/kWh</t>
  </si>
  <si>
    <t>p/MPAN/day</t>
  </si>
  <si>
    <t>p/kVA/day</t>
  </si>
  <si>
    <t>p/kVArh</t>
  </si>
  <si>
    <t xml:space="preserve">Previous year net revenue is not an input to tariff calculations in the CDCM itself, </t>
  </si>
  <si>
    <t>but is used by some DNOs to complete 'Tariff Movement Explanation' reports.</t>
  </si>
  <si>
    <t>If this table is left blank the model will estimate previous year net revenue using volume forecasts for the current charging year.</t>
  </si>
  <si>
    <t>Previous year net revenue</t>
  </si>
  <si>
    <t>£</t>
  </si>
  <si>
    <t>Check for split of units by timeband</t>
  </si>
  <si>
    <t>This sheet sets out the inputs by network level to be filled in by DNOs.</t>
  </si>
  <si>
    <t>Diversity allowance between top and bottom of network level</t>
  </si>
  <si>
    <t>Paragraphs 26 to 28</t>
  </si>
  <si>
    <t>Proportion of load going through 132kV/HV direct transformation</t>
  </si>
  <si>
    <t>Loss adjustment factors to transmission</t>
  </si>
  <si>
    <t>scalar</t>
  </si>
  <si>
    <t>Paragraph 47</t>
  </si>
  <si>
    <t>Average kVAr by kVA, by network level</t>
  </si>
  <si>
    <t>kVAr/kVA</t>
  </si>
  <si>
    <t>Paragraphs 50 to 51</t>
  </si>
  <si>
    <t>Paragraphs 29 to 31</t>
  </si>
  <si>
    <t>Customer contributions under current connection charging policy</t>
  </si>
  <si>
    <t>Gross asset cost by network level</t>
  </si>
  <si>
    <t>Red, Amber &amp; Green peaking probabilities must sum to 100%, except for unused network levels, which should sum to 0%</t>
  </si>
  <si>
    <t>Peaking probabilities by network level</t>
  </si>
  <si>
    <t>Paragraphs 48 to 49</t>
  </si>
  <si>
    <t>Red</t>
  </si>
  <si>
    <t>Amber</t>
  </si>
  <si>
    <t>Black</t>
  </si>
  <si>
    <t>Check that loss adjustment factor = 1 at grid supply point</t>
  </si>
  <si>
    <t>Peaking probabilities check</t>
  </si>
  <si>
    <t>0% peaking probabilities are permitted for 132kV, 132kV/EHV &amp; 132kV/HV network levels, which do not exist for all DNOs</t>
  </si>
  <si>
    <t>General</t>
  </si>
  <si>
    <t>This sheet sets out the other inputs to be filled in by DNOs</t>
  </si>
  <si>
    <t>Typical annual hours by special distribution time band</t>
  </si>
  <si>
    <t>Paragraphs 40 to 41</t>
  </si>
  <si>
    <t>hours per year</t>
  </si>
  <si>
    <t>Yellow</t>
  </si>
  <si>
    <t>Typical annual hours by distribution time band</t>
  </si>
  <si>
    <t>Inputs sourced from the PCDM</t>
  </si>
  <si>
    <t>Embedded network (LDNO) discount percentages</t>
  </si>
  <si>
    <t>Paragraph 53</t>
  </si>
  <si>
    <t>The contents of this table are defined in Paragraph 1.5 of Schedule 15 (Table 1)</t>
  </si>
  <si>
    <t>Paragraph 54 and Schedule 15 Table 1</t>
  </si>
  <si>
    <t>"CDCM Revenue used in Charging Model" is the only row used as an input to the model itself</t>
  </si>
  <si>
    <t>Base Demand Revenue before inflation</t>
  </si>
  <si>
    <t>Annual Iteration adjustment before inflation</t>
  </si>
  <si>
    <t>RPI True-up before inflation</t>
  </si>
  <si>
    <t>Price index adjustment (RPI index)</t>
  </si>
  <si>
    <t>Base demand revenue</t>
  </si>
  <si>
    <t>Inflation adjustment</t>
  </si>
  <si>
    <t>Pass-Through Licence Fees</t>
  </si>
  <si>
    <t>Pass-Through Business Rates</t>
  </si>
  <si>
    <t>Pass-Through Transmission Connection Point Charges</t>
  </si>
  <si>
    <t>Pass-through Smart Meter Communication Licence Costs</t>
  </si>
  <si>
    <t>Pass-through Smart Meter IT Costs</t>
  </si>
  <si>
    <t>Pass-through Ring Fence Costs</t>
  </si>
  <si>
    <t>Pass-Through Others</t>
  </si>
  <si>
    <t>Allowed Pass-Through Items</t>
  </si>
  <si>
    <t>Broad Measure of Customer Service incentive</t>
  </si>
  <si>
    <t>Quality of Service incentive</t>
  </si>
  <si>
    <t>Connections Engagement incentive</t>
  </si>
  <si>
    <t>Time to Connect incentive</t>
  </si>
  <si>
    <t>Losses Discretionary Reward incentive</t>
  </si>
  <si>
    <t>Network Innovation Allowance</t>
  </si>
  <si>
    <t>Low Carbon Network Fund - Tier 1 unrecoverable</t>
  </si>
  <si>
    <t>Low Carbon Network Fund - Tier 2 &amp; Discretionary Funding</t>
  </si>
  <si>
    <t>Connection Guaranteed Standards Systems &amp; Processes penalty</t>
  </si>
  <si>
    <t>Residual Losses and Growth Incentive - Losses</t>
  </si>
  <si>
    <t>Residual Losses and Growth Incentive - Growth</t>
  </si>
  <si>
    <t>Incentive Revenue and Other Adjustments</t>
  </si>
  <si>
    <t>Correction Factor</t>
  </si>
  <si>
    <t>Total allowed Revenue</t>
  </si>
  <si>
    <t>Other 1. Excluded services - Top-up, standby, and enhanced system security</t>
  </si>
  <si>
    <t>Other 2. Excluded services - Revenue protection services</t>
  </si>
  <si>
    <t>Other 3. Excluded services - Miscellaneous</t>
  </si>
  <si>
    <t>Other 4. Please describe if used</t>
  </si>
  <si>
    <t>Other 5. Please describe if used</t>
  </si>
  <si>
    <t>Total other revenue recovered by Use of System Charges</t>
  </si>
  <si>
    <t>Total Revenue for Use of System Charges</t>
  </si>
  <si>
    <t>1. Revenue raised outside CDCM - EDCM and Certain Interconnector Revenue</t>
  </si>
  <si>
    <t>2. Revenue raised outside CDCM - Voluntary under-recovery</t>
  </si>
  <si>
    <t>3. Revenue raised outside CDCM - Please describe if used</t>
  </si>
  <si>
    <t>4. Revenue raised outside CDCM - Please describe if used</t>
  </si>
  <si>
    <t>Total Revenue to be raised outside the CDCM</t>
  </si>
  <si>
    <t>Latest forecast of CDCM Revenue</t>
  </si>
  <si>
    <t>Real pre-tax cost of capital</t>
  </si>
  <si>
    <t>days</t>
  </si>
  <si>
    <t>Hours in charging year</t>
  </si>
  <si>
    <t>Transmission exit charges</t>
  </si>
  <si>
    <t>£ per year</t>
  </si>
  <si>
    <t>Paragraph 38</t>
  </si>
  <si>
    <t>Other expenditure</t>
  </si>
  <si>
    <t>Direct cost</t>
  </si>
  <si>
    <t>Indirect cost</t>
  </si>
  <si>
    <t>Network rates</t>
  </si>
  <si>
    <t>Hours in charging year check</t>
  </si>
  <si>
    <t>Normal distribution timebands</t>
  </si>
  <si>
    <t>Special distribution timebands</t>
  </si>
  <si>
    <t>This sheet contains standing charge factors, as described in DCUSA Schedule 16, Paragraphs 74-76.</t>
  </si>
  <si>
    <t xml:space="preserve">Standing charge factors are used to split network costs between those to be recovered through unit rate charges </t>
  </si>
  <si>
    <t xml:space="preserve">and those to be recovered through standing (capacity or fixed) charges, depending on the customer class and </t>
  </si>
  <si>
    <t>the network level at which costs occur.</t>
  </si>
  <si>
    <t>Standing charge factors are only applied for demand users.</t>
  </si>
  <si>
    <t>A factor of 100% implies that all costs will be allocated to standing charges.</t>
  </si>
  <si>
    <t>Adjustments to standing charges</t>
  </si>
  <si>
    <t>Brings in standing charge factors and adjusts them for share of load going through 132/HV</t>
  </si>
  <si>
    <t>Raw inputs for standing charge factors, by network level</t>
  </si>
  <si>
    <t>Standing charge factors as specified in Paragraph 74</t>
  </si>
  <si>
    <t>LV customers</t>
  </si>
  <si>
    <t>HV customers</t>
  </si>
  <si>
    <t>Standing charges factors adapted to use 132kV/HV, by network level</t>
  </si>
  <si>
    <t>Adjustments as described in Paragraph 75 and 76</t>
  </si>
  <si>
    <t>Paragraph 76</t>
  </si>
  <si>
    <t>Paragraph 75</t>
  </si>
  <si>
    <t>This sheet adjusts diversity allowances, coincidence factors and loss adjustment factors for use in the model</t>
  </si>
  <si>
    <t>This sheet then uses network use factors and loss adjustment factors to calculate user loss factors</t>
  </si>
  <si>
    <t>Network use factors and user loss factors are also adjusted for the share of load going through 132/HV transformation</t>
  </si>
  <si>
    <t>Load and loss characteristics</t>
  </si>
  <si>
    <t>Brings in diversity allowances to calculate coincidence and cumulative diversity factors. Also adjusts loss adjustment factors.</t>
  </si>
  <si>
    <t>Network model diversity allowances</t>
  </si>
  <si>
    <t>Network model cumulative diversity factor</t>
  </si>
  <si>
    <t>Adjustment for 132/HV diversity</t>
  </si>
  <si>
    <t>Adjusted network model cumulative diversity factor</t>
  </si>
  <si>
    <t>Paragraphs 42 to 44</t>
  </si>
  <si>
    <t>Loss adjustment factor to transmission</t>
  </si>
  <si>
    <t>Adjustment for 132/HV transformation &amp; transmission exit</t>
  </si>
  <si>
    <t>Loss adjustment factor to transmission for each DRM network level</t>
  </si>
  <si>
    <t>User loss factor adjustments</t>
  </si>
  <si>
    <t>Calculates user loss factors and makes adjustments for share of load going through 132kV/HV</t>
  </si>
  <si>
    <t>Adjustment to network use factors for 132/HV share</t>
  </si>
  <si>
    <t>Network use factors assume demand and generation use the network from the point of connection.</t>
  </si>
  <si>
    <t>These values are drawn from the "Fixed inputs" sheet.</t>
  </si>
  <si>
    <t>Network use factors (assuming generation contributes at level of connection) scaled for 132/HV</t>
  </si>
  <si>
    <t>These have been adjusted for the share of load going through 132/HV transformation</t>
  </si>
  <si>
    <t>Paragraphs 62 and 71</t>
  </si>
  <si>
    <t>Network use factors (assuming generation makes no contribution at level of connection), scaled for 132/HV</t>
  </si>
  <si>
    <t>User loss factor (assuming generation contributes at level of connection)</t>
  </si>
  <si>
    <t>For demand, it is the loss factor at network level which user is supplied.</t>
  </si>
  <si>
    <t>For generation, it is the loss factor at network level which user is supplied.</t>
  </si>
  <si>
    <t>Maximum</t>
  </si>
  <si>
    <t>User loss factor (assuming generation does not contribute at level of connection)</t>
  </si>
  <si>
    <t>Paragraph 70 (a)</t>
  </si>
  <si>
    <t xml:space="preserve">This sheet calculates customer contributions towards assets (i.e. assets that are paid for, and should not be </t>
  </si>
  <si>
    <t>recovered under UoS charges)</t>
  </si>
  <si>
    <t>Maps customer contributions to customer categories</t>
  </si>
  <si>
    <t>Customer contributions, by network level of supply</t>
  </si>
  <si>
    <t>Paragraph 29</t>
  </si>
  <si>
    <t>Share of customer contributions by network level and asset type</t>
  </si>
  <si>
    <t>Customer contributions, by network level</t>
  </si>
  <si>
    <t>Customer contributions by network level and customer type based on mappings above</t>
  </si>
  <si>
    <t>This sheet calculates volumes (kWh, MPAN, import and exceeded capacity) to be used throughout the model.</t>
  </si>
  <si>
    <t xml:space="preserve">This sheet first calculates the discounts to be applied to LDNO volumes, then combines these with volumes for </t>
  </si>
  <si>
    <t>all the way customers.</t>
  </si>
  <si>
    <t>LDNO discounts</t>
  </si>
  <si>
    <t>This section maps the LDNO discounts from the PCDM to different customer categories</t>
  </si>
  <si>
    <t>Generation LDNO customers do not receive the standard LDNO discounts, and this adjustment is made in this section</t>
  </si>
  <si>
    <t>Discounts from PCDM</t>
  </si>
  <si>
    <t>LDNO discounts calculated in the PCDM</t>
  </si>
  <si>
    <t>Paragraph 97</t>
  </si>
  <si>
    <t>Discount mapping</t>
  </si>
  <si>
    <t>Paragraphs 98 &amp; 99</t>
  </si>
  <si>
    <t xml:space="preserve">Maps customer types to LDNO discount categories and calculates the appropriate discount to be applied to </t>
  </si>
  <si>
    <t>each customer</t>
  </si>
  <si>
    <t>LV discount</t>
  </si>
  <si>
    <t>HV discount</t>
  </si>
  <si>
    <t>Discount override</t>
  </si>
  <si>
    <t>This table overrides discount factors for certain categories of user</t>
  </si>
  <si>
    <t>Flag for overriding MWh discount rate</t>
  </si>
  <si>
    <t>Flag for overriding MPAN discount rate</t>
  </si>
  <si>
    <t>Flag for overriding import capacity discount rate</t>
  </si>
  <si>
    <t>Flag for overriding exceeded capacity discount rate</t>
  </si>
  <si>
    <t>Flag for overriding reactive power units discount rate</t>
  </si>
  <si>
    <t>Override MWh discount rate</t>
  </si>
  <si>
    <t>Override MPAN discount rate</t>
  </si>
  <si>
    <t>Override import capacity discount rate</t>
  </si>
  <si>
    <t>Override exceeded capacity discount rate</t>
  </si>
  <si>
    <t>Override reactive power units discount rate</t>
  </si>
  <si>
    <t>Volume discounting</t>
  </si>
  <si>
    <t>Applies LDNO discounts and aggregates with volumes from all the way customers</t>
  </si>
  <si>
    <t>All the way customers</t>
  </si>
  <si>
    <t>LDNO LV</t>
  </si>
  <si>
    <t>LDNO HV</t>
  </si>
  <si>
    <t>LDNO LV discount rate applied</t>
  </si>
  <si>
    <t>LDNO HV discount rate applied</t>
  </si>
  <si>
    <t>LDNO LV, discounted</t>
  </si>
  <si>
    <t>LDNO HV, discounted</t>
  </si>
  <si>
    <t>Total after discounting</t>
  </si>
  <si>
    <t>Total units</t>
  </si>
  <si>
    <t xml:space="preserve">This sheet calculates the pseudo load coefficients used in the calculation of unit rates and system simultaneous </t>
  </si>
  <si>
    <t>peak demand.</t>
  </si>
  <si>
    <t>The pseudo load coefficient is specified by customer category, network level and unit rate.</t>
  </si>
  <si>
    <t>The calculations in this sheet follow the steps set out in Paragraph 70.</t>
  </si>
  <si>
    <t>UMS customers are treated slightly differently, as the values calculated up to step 2 are aggregated values.</t>
  </si>
  <si>
    <t>Step 1: Ratio of coincidence to load factor assuming units evenly spread within time bands, and peak falls in Red period</t>
  </si>
  <si>
    <t>Paragraph 70 (c) i</t>
  </si>
  <si>
    <t>This section first calculates the split of MWh by unit rate and distribution timeband for all customers.</t>
  </si>
  <si>
    <t>Aggregated splits of MWh are then calculated for UMS customers.</t>
  </si>
  <si>
    <t>The last part of this section then calculates the ratio of coincidence to load factor based on a simplified load profile.</t>
  </si>
  <si>
    <t>Flags</t>
  </si>
  <si>
    <t>Flag for unmetered customers</t>
  </si>
  <si>
    <t>TRUE/FALSE</t>
  </si>
  <si>
    <t>Override to use flat annual load (unit rate 1 only)</t>
  </si>
  <si>
    <t>Paragraph 145</t>
  </si>
  <si>
    <t>Hours per timeband</t>
  </si>
  <si>
    <t>Paragraph 40</t>
  </si>
  <si>
    <t>UMS customers use Black &amp; Yellow timebands, other customers use Red &amp; Amber</t>
  </si>
  <si>
    <t>Red or Black</t>
  </si>
  <si>
    <t>Amber or Yellow</t>
  </si>
  <si>
    <t>Split of units by time pattern regime</t>
  </si>
  <si>
    <t>Total units split by distribution timeband</t>
  </si>
  <si>
    <t>Split of units by timeband for UMS group</t>
  </si>
  <si>
    <t>Hours in black timeband</t>
  </si>
  <si>
    <t>Ratio of coincidence to load factor</t>
  </si>
  <si>
    <t>Aggregated ratio for UMS customers</t>
  </si>
  <si>
    <t>Paragraph 70 (c) iv</t>
  </si>
  <si>
    <t>Ratio of coincidence to load factor, adjusted for UMS customers</t>
  </si>
  <si>
    <t>Step 2: Calculate correction factor</t>
  </si>
  <si>
    <t>This section calculates the correction factor described in Paragraph 70 (c) ii</t>
  </si>
  <si>
    <t>Calculation of maximum load</t>
  </si>
  <si>
    <t>Average load</t>
  </si>
  <si>
    <t>Maximum load</t>
  </si>
  <si>
    <t>System peak load</t>
  </si>
  <si>
    <t>Load and coincidence factor for UMS group</t>
  </si>
  <si>
    <t>Load coefficient</t>
  </si>
  <si>
    <t>Aggregated load coefficient for UMS customers</t>
  </si>
  <si>
    <t>Paragraph 70 (c.iv)</t>
  </si>
  <si>
    <t>Load coefficient, adjusted for UMS customers</t>
  </si>
  <si>
    <t>Correction factor</t>
  </si>
  <si>
    <t>Correction factor, for UMS customers</t>
  </si>
  <si>
    <t>Correction factor, adjusted for UMS customers</t>
  </si>
  <si>
    <t>Paragraph 70 (c.ii)</t>
  </si>
  <si>
    <t>Step 3: Ratio of coincidence factor (to network asset peak) to load factor, given peaking probabilities, multiplied by correction factor</t>
  </si>
  <si>
    <t>Paragraph 70 (c.iii)</t>
  </si>
  <si>
    <t>This section calculates the pseudo load coefficient in line with Paragraph 70 (c) iii</t>
  </si>
  <si>
    <t>Mathematical simplifications have been used to avoid errors when estimated volumes are zero</t>
  </si>
  <si>
    <t>GSPs peaking probabilities</t>
  </si>
  <si>
    <t>132kV peaking probabilities</t>
  </si>
  <si>
    <t>132kV/EHV peaking probabilities</t>
  </si>
  <si>
    <t>EHV peaking probabilities</t>
  </si>
  <si>
    <t>EHV/HV peaking probabilities</t>
  </si>
  <si>
    <t>132kV/HV peaking probabilities</t>
  </si>
  <si>
    <t>HV peaking probabilities</t>
  </si>
  <si>
    <t>HV/LV peaking probabilities</t>
  </si>
  <si>
    <t>LV circuits peaking probabilities</t>
  </si>
  <si>
    <t>Inverse of hours in timeband</t>
  </si>
  <si>
    <t>1 / hours</t>
  </si>
  <si>
    <t>Adjustment for domestic and non-domestic charge equalisation</t>
  </si>
  <si>
    <t>Calculates adjustments to the pseudo load coefficient required by Paragraph 72A</t>
  </si>
  <si>
    <t>Paragraph 72A</t>
  </si>
  <si>
    <t>This adjustment equalises the weighted average unit rates for the following groups:</t>
  </si>
  <si>
    <t xml:space="preserve">- weighted average (Domestic unrestricted, Domestic Two Rate, Domestic Off Peak) = </t>
  </si>
  <si>
    <t xml:space="preserve">   average(LV Network Domestic)</t>
  </si>
  <si>
    <t xml:space="preserve">- weighted average (Small Non Domestic Unrestricted, Small Non Domestic Two Rate, </t>
  </si>
  <si>
    <t xml:space="preserve">   Small Non Domestic Off Peak) = average(LV Network Non-Domestic Non-CT)</t>
  </si>
  <si>
    <t>The model user guide contains additional detail on this adjustment</t>
  </si>
  <si>
    <t>Aggregated pseudo load coefficient by network level, pre-normalisation</t>
  </si>
  <si>
    <t>Peak load based on average pseudo load coefficient</t>
  </si>
  <si>
    <t>Adjustment group flags</t>
  </si>
  <si>
    <t>Flag</t>
  </si>
  <si>
    <t>Profile class 1 and 2 split of units by timeband</t>
  </si>
  <si>
    <t>Profile class</t>
  </si>
  <si>
    <t>Profile class 3 and 4 split of units by timeband</t>
  </si>
  <si>
    <t>Combined split of units by timeband by profile class</t>
  </si>
  <si>
    <t>Aggregated half hourly tariff pseudo load coefficient, using average non half hourly unit mix</t>
  </si>
  <si>
    <t>Profile class 1 and 2</t>
  </si>
  <si>
    <t>Profile class 3 and 4</t>
  </si>
  <si>
    <t>Unadjusted correction factor for domestic tariff forecast</t>
  </si>
  <si>
    <t>Correction factor for non half hourly tariff forecast</t>
  </si>
  <si>
    <t>Correction factor for profile classes 1&amp;2</t>
  </si>
  <si>
    <t>Correction factor for profile classes 3&amp;4</t>
  </si>
  <si>
    <t>Adjusted correction factor for HH tariff forecast</t>
  </si>
  <si>
    <t>Final correction factors for Paragraph 72A adjustment</t>
  </si>
  <si>
    <t>Step 4: Results of Step 3, including aggregated values for UMS customers &amp; Paragraph 72A adjustment</t>
  </si>
  <si>
    <t>This section summarises the load coefficient, and pseudo load coefficients</t>
  </si>
  <si>
    <t>This sheet calculates load at system peak based on chargeable load.</t>
  </si>
  <si>
    <t>This is used to calculate notional asset values used in the allocation of other operating costs in the 'Unit costs' tab.</t>
  </si>
  <si>
    <t>Chargeable volumes are made up of three components:</t>
  </si>
  <si>
    <t>1. Load charged to unit rates</t>
  </si>
  <si>
    <t>2.  Import and exceeded capacity charged to capacity charges.</t>
  </si>
  <si>
    <t>3. Estimated maximum load (i.e. capacity) used to calculate fixed charges.</t>
  </si>
  <si>
    <t>Common inputs for chargeable load calculations</t>
  </si>
  <si>
    <t>This section brings in common inputs used for the three elements of chargeable load</t>
  </si>
  <si>
    <t>User loss factor</t>
  </si>
  <si>
    <t>Paragraph 61 (b)</t>
  </si>
  <si>
    <t>Network loss factor</t>
  </si>
  <si>
    <t>Discounted volumes (MWh)</t>
  </si>
  <si>
    <t>Paragraph 61 (a)</t>
  </si>
  <si>
    <t>Total discounted MWh</t>
  </si>
  <si>
    <t xml:space="preserve">Paragraph 61 (c) </t>
  </si>
  <si>
    <t>Load at system peak charged to unit rates</t>
  </si>
  <si>
    <t>This section calculates the system peak load based on load charged to unit rates</t>
  </si>
  <si>
    <t>Pseudo load coefficient, unit rate 1</t>
  </si>
  <si>
    <t>System peak load, based on unit rate 1 MWh</t>
  </si>
  <si>
    <t>This is the load charged to unit rate 1, before application of standing charge factors</t>
  </si>
  <si>
    <t>Pseudo load coefficient, unit rate 2</t>
  </si>
  <si>
    <t>System peak load, based on unit rate 2 MWh</t>
  </si>
  <si>
    <t>This is the load charged to unit rate 2, before application of standing charge factors</t>
  </si>
  <si>
    <t>Pseudo load coefficient, unit rate 3</t>
  </si>
  <si>
    <t>System peak load, based on unit rate 3 MWh</t>
  </si>
  <si>
    <t>This is the load charged to unit rate 3, before application of standing charge factors</t>
  </si>
  <si>
    <t>System peak load, all unit rates, by customer category</t>
  </si>
  <si>
    <t>This is the load charged to unit rates, before application of standing charge factors</t>
  </si>
  <si>
    <t>System peak load, all unit rates, total</t>
  </si>
  <si>
    <t>This step sums system peak load by network level in kW, which is an input to the EDCM model</t>
  </si>
  <si>
    <t>kW</t>
  </si>
  <si>
    <t>Unit rate contributions to chargeable peak load</t>
  </si>
  <si>
    <t>This is the load charged to unit rates (adjusted for standing charge factors)</t>
  </si>
  <si>
    <t>Load at system peak charged to standing charges</t>
  </si>
  <si>
    <t>This section calculates load subject to fixed and capacity charges</t>
  </si>
  <si>
    <t>As part of this, it also calculates the LV diversity factor in line with Paragraph 80</t>
  </si>
  <si>
    <t>This brings in import and exceeded capacity (in kVA), and converts it to MW</t>
  </si>
  <si>
    <t>Import and exceeded capacity</t>
  </si>
  <si>
    <t>Adjusted import capacities and exceeded capacity</t>
  </si>
  <si>
    <t>Recalculates LV diversity factor in line with Paragraph 80. See the User Guide for additional detail.</t>
  </si>
  <si>
    <t>Paragraph 80</t>
  </si>
  <si>
    <t>Estimated capacity (maximum load)</t>
  </si>
  <si>
    <t>Import + exceeded capacity, LV circuits</t>
  </si>
  <si>
    <t>Estimated capacity, LV circuits, excluding related MPANs</t>
  </si>
  <si>
    <t>Aggregate maximum load, LV circuits</t>
  </si>
  <si>
    <t>LV peak load</t>
  </si>
  <si>
    <t>Calculated LV diversity factor</t>
  </si>
  <si>
    <t>Cumulative diversity factor from the network model</t>
  </si>
  <si>
    <t>Network model diversity factor, with calculated LV value</t>
  </si>
  <si>
    <t>Substitutes the calculated LV diversity factor for the LV diversity factor from the network model</t>
  </si>
  <si>
    <t>System peak load based on load charged to import &amp; exceeded capacity charges</t>
  </si>
  <si>
    <t>System peak load based on load used to determine fixed charges</t>
  </si>
  <si>
    <t>System peak based on chargeable load</t>
  </si>
  <si>
    <t>This section aggregates the system peak load charged to unit rates, capacity charges, and fixed charges</t>
  </si>
  <si>
    <t>System peak load charged to unit rates, capacity charges, and fixed charges</t>
  </si>
  <si>
    <t>Sum</t>
  </si>
  <si>
    <t>This sheet calculates the notional asset value of the typical service models used by HV and LV customers</t>
  </si>
  <si>
    <t>Service model and network model notional asset values are combined on the 'Unit costs' sheet</t>
  </si>
  <si>
    <t>Service model notional asset values</t>
  </si>
  <si>
    <t>Discounted MPANs</t>
  </si>
  <si>
    <t>Discounted annual load</t>
  </si>
  <si>
    <t>Service model costs per MPAN / unit</t>
  </si>
  <si>
    <t>Presents service model costs per customer for metered customers and per MWh for unmetered customers</t>
  </si>
  <si>
    <t>LV UMS customers</t>
  </si>
  <si>
    <t>Service model notional asset value</t>
  </si>
  <si>
    <t>Converts cost per customer / MWh to £s of notional asset value</t>
  </si>
  <si>
    <t>Total service model notional asset value</t>
  </si>
  <si>
    <t>Sums across customer categories to give total service model notional asset value</t>
  </si>
  <si>
    <t>Total LV customers</t>
  </si>
  <si>
    <t>Total HV customers</t>
  </si>
  <si>
    <t>This sheet calculates unit costs used in the calculation of unit rates.</t>
  </si>
  <si>
    <t>Two types of unit costs are calculated:</t>
  </si>
  <si>
    <t>1. Cost per kW for incremental assets in the 500MW model.</t>
  </si>
  <si>
    <t>2. Cost per kW for other operating costs, based on notional asset values and estimated system peak load.</t>
  </si>
  <si>
    <t>This sheet covers areas in Schedule 16 from Paragraph 57 to 66.</t>
  </si>
  <si>
    <t>500MW model costs</t>
  </si>
  <si>
    <t>This section calculates the incremental asset cost, per kW, based on the 500MW distribution reinforcement model</t>
  </si>
  <si>
    <t>Calculates the annuity rate to be applied to asset costs</t>
  </si>
  <si>
    <t>Annuity rate</t>
  </si>
  <si>
    <t>Brings in loss adjustment factors, and calculates the coincidence factor to for GSPs</t>
  </si>
  <si>
    <t>Loss adjustment factor to transmission for each DRM level</t>
  </si>
  <si>
    <t>no.</t>
  </si>
  <si>
    <t>Diversity allowance between top and bottom network level</t>
  </si>
  <si>
    <t>Coincidence to system peak</t>
  </si>
  <si>
    <t>Calculates additional simultaneous load at each network level from an increment of 500MW at GSP</t>
  </si>
  <si>
    <t>Exit load at system peak, assuming single stage transformation at each network level</t>
  </si>
  <si>
    <t>Paragraph 60</t>
  </si>
  <si>
    <t>Adjusts load going through 132/EHV transformation for networks also containing 132/HV transformation</t>
  </si>
  <si>
    <t>Rerouting for DRM network levels</t>
  </si>
  <si>
    <t>GSP simultaneous maximum load assumed through each network level</t>
  </si>
  <si>
    <t>Calculates the annuitised asset cost per kW of simultaneous load from the 500MW model</t>
  </si>
  <si>
    <t>Gross assets</t>
  </si>
  <si>
    <t>Network level assets per kW (simultaneous peak)</t>
  </si>
  <si>
    <t>£/kW</t>
  </si>
  <si>
    <t>Network level assets per kW (simultaneous peak) per year</t>
  </si>
  <si>
    <t>£/kW/year</t>
  </si>
  <si>
    <t>Paragraph 59</t>
  </si>
  <si>
    <t>Allocation of other costs</t>
  </si>
  <si>
    <t>This section allocates operating costs based on notional asset value (£) by network level, then divides this by load on each network level at time of system peak</t>
  </si>
  <si>
    <t>Estimated load at system peak</t>
  </si>
  <si>
    <t>Adjustment for transmission exit level</t>
  </si>
  <si>
    <t>Calculates the notional asset value, and its relative shares, by network level</t>
  </si>
  <si>
    <t>Notional asset value (network model)</t>
  </si>
  <si>
    <t>Notional asset value (service model)</t>
  </si>
  <si>
    <t>Total notional asset value</t>
  </si>
  <si>
    <t>Paragraph 63</t>
  </si>
  <si>
    <t>Share of total notional asset value</t>
  </si>
  <si>
    <t>Calculates other operating costs to be allocated to charges</t>
  </si>
  <si>
    <t>Other operating costs for allocation</t>
  </si>
  <si>
    <t>Calculates operating costs per kW for unit rates, based on share of notional asset values by network level.</t>
  </si>
  <si>
    <t>Costs allocated to service model users are ignored here as they form part of fixed/capacity charges</t>
  </si>
  <si>
    <t>Other operating costs (allocated)</t>
  </si>
  <si>
    <t>Paragraph 65</t>
  </si>
  <si>
    <t>Other operating costs (excl. service models)</t>
  </si>
  <si>
    <t>£/kW/ year</t>
  </si>
  <si>
    <t>Paragraph 66</t>
  </si>
  <si>
    <t>Outputs</t>
  </si>
  <si>
    <t>Exported to 'Output to other models'!</t>
  </si>
  <si>
    <t>Exported to 'Initial unit rates'!</t>
  </si>
  <si>
    <t>Exported to 'Service model charges'!</t>
  </si>
  <si>
    <t>Check for DRM assets with zero load (and vice versa)</t>
  </si>
  <si>
    <t>This sheet calculates yardstick charges and unit rates 1, 2 and 3 (before application of standing charge factors).</t>
  </si>
  <si>
    <t>Inputs for yardstick and unit rate calculations</t>
  </si>
  <si>
    <t>This section brings in inputs for calculating unit rates</t>
  </si>
  <si>
    <t>Network level assets per kW per year</t>
  </si>
  <si>
    <t>Paragraph 67</t>
  </si>
  <si>
    <t>Other operating costs (excl. service models) per kW per year</t>
  </si>
  <si>
    <t>Loss adjustment factors,  by network level</t>
  </si>
  <si>
    <t>Loss adjustment factor to transmission for each core level</t>
  </si>
  <si>
    <t>Calculation of yardstick &amp; unit rate charges</t>
  </si>
  <si>
    <t>Calculates yardstick charges using formulae in Paragraphs 68 &amp; 71, except using the load coefficient</t>
  </si>
  <si>
    <t>Asset costs</t>
  </si>
  <si>
    <t>Other operating costs</t>
  </si>
  <si>
    <t>Calculates unit rate 1 value using formulae in Paragraphs 68 &amp; 71</t>
  </si>
  <si>
    <t>As explained in the User Guide, there is a deviation from the legal text for generation</t>
  </si>
  <si>
    <t>Paragraphs 68 &amp; 71</t>
  </si>
  <si>
    <t>Calculates unit rate 2 value using formulae in Paragraph 68 &amp; 71</t>
  </si>
  <si>
    <t>Calculates unit rate 3 value using formulae in Paragraph 68 &amp; 71</t>
  </si>
  <si>
    <t>As explained in the User Guide, there is a deviation from the current legal text for generation</t>
  </si>
  <si>
    <t>Paragraph 72A checks</t>
  </si>
  <si>
    <t>This section checks that the adjustments applied to the pseudo load coefficient achieve the intention of Paragraph 72A</t>
  </si>
  <si>
    <t>Discounted volumes</t>
  </si>
  <si>
    <t>Discounted volumes, assuming LV network tariff forecast have same unit split by timeband as equivalent NHH metered tariff forecast</t>
  </si>
  <si>
    <t>Discounted volumes, with LV network tariff forecast adjustment</t>
  </si>
  <si>
    <t>Revenue</t>
  </si>
  <si>
    <t>Weighted average charges check, domestic group</t>
  </si>
  <si>
    <t>Domestic group</t>
  </si>
  <si>
    <t>£/MWh</t>
  </si>
  <si>
    <t>Domestic group check</t>
  </si>
  <si>
    <t>Weighted average charges check, non-domestic group</t>
  </si>
  <si>
    <t>Non-domestic group</t>
  </si>
  <si>
    <t>Non-domestic group check</t>
  </si>
  <si>
    <t>Other checks</t>
  </si>
  <si>
    <t>Non-zero tariff check</t>
  </si>
  <si>
    <t>Check summary</t>
  </si>
  <si>
    <t>This sheet calculates costs allocated to service models.</t>
  </si>
  <si>
    <t>Costs allocated to service models are attributed to either fixed charges, or to unit charges (in the case</t>
  </si>
  <si>
    <t>of UMS customers).</t>
  </si>
  <si>
    <t>Inputs to service model charge calculation</t>
  </si>
  <si>
    <t>Brings in inputs used in allocation of costs to service models.</t>
  </si>
  <si>
    <t>Notional asset value</t>
  </si>
  <si>
    <t>Service model asset values</t>
  </si>
  <si>
    <t>This table pulls in service model costs per customer (or per MWh for UMS)</t>
  </si>
  <si>
    <t>Allocation of service model costs</t>
  </si>
  <si>
    <t>This section allocates other operating costs to service model customers</t>
  </si>
  <si>
    <t>Other operating expenditure per £ of notional asset value</t>
  </si>
  <si>
    <t>Paragraphs 66, 85 &amp; 86</t>
  </si>
  <si>
    <t>LV and HV added to fixed charges in 'Fixed charges' tab. For UMS, added to unit rates in 'Unit rate charges' tab.</t>
  </si>
  <si>
    <t>Operating expenditure for customer assets</t>
  </si>
  <si>
    <t>Paragraphs 66 &amp; 85</t>
  </si>
  <si>
    <t xml:space="preserve">This sheet adjusts unit rates 1, 2 and 3 to account for costs that will be recovered through fixed </t>
  </si>
  <si>
    <t xml:space="preserve">or capacity charges instead. This is done by multiplying unit rates by (1 - [standing charge factors]). </t>
  </si>
  <si>
    <t xml:space="preserve">Where these factors are greater than zero, unit charges are reduced; where they are equal </t>
  </si>
  <si>
    <t>to one, unit charges will be zero.</t>
  </si>
  <si>
    <t>Unit rates 1, 2 and 3, are summarised at the bottom. These are scaled later in the model for revenue matching.</t>
  </si>
  <si>
    <t>Inputs to unit rate charge calculations</t>
  </si>
  <si>
    <t>Brings in inputs used in the application of standing charges to unit rates</t>
  </si>
  <si>
    <t>Paragraph 86</t>
  </si>
  <si>
    <t>Application of standing charges to unit rates</t>
  </si>
  <si>
    <t>Paragraph 77</t>
  </si>
  <si>
    <t>Unit rates</t>
  </si>
  <si>
    <t>Total unit rate 1</t>
  </si>
  <si>
    <t>Total unit rate 2</t>
  </si>
  <si>
    <t>Total unit rate 3</t>
  </si>
  <si>
    <t>This sheet calculates reactive power charges (p/kVArh) in line with Paragraph 87-88.</t>
  </si>
  <si>
    <t xml:space="preserve">Reactive charges are based on yardstick charges. For generation, yardstick charges are </t>
  </si>
  <si>
    <t>re-calculated to account for a contribution at the network level they are connected (para 88).</t>
  </si>
  <si>
    <t>Inputs to reactive power charge calculations</t>
  </si>
  <si>
    <t>Bring in inputs required to calculate reactive power charges</t>
  </si>
  <si>
    <t xml:space="preserve">This table transposes 'Average kVAr by kVA, by network level' from DNO inputs. </t>
  </si>
  <si>
    <t>kVAr/ kVA</t>
  </si>
  <si>
    <t>Network level assets per kW of system simultaneous peak load per year</t>
  </si>
  <si>
    <t>Other operating costs (excl. service models) per kW of system simultaneous peak load per year</t>
  </si>
  <si>
    <t>Flag for applicability of reactive charges</t>
  </si>
  <si>
    <t>This flag is used to filter out customers that do not receive reactive power charges</t>
  </si>
  <si>
    <t>Reactive power charge flag</t>
  </si>
  <si>
    <t>0 or 1</t>
  </si>
  <si>
    <t>Paragraphs 146 &amp; 88</t>
  </si>
  <si>
    <t>Calculation of yardstick charges for generation</t>
  </si>
  <si>
    <t xml:space="preserve">Recalculates yardstick charge for generation assuming a full contribution at the network level in which they are </t>
  </si>
  <si>
    <t>connected, and all levels above that</t>
  </si>
  <si>
    <t>Paragraphs 87 (a)</t>
  </si>
  <si>
    <t>Calculation of reactive power charges</t>
  </si>
  <si>
    <t>Calculates reactive power charges for demand and generation</t>
  </si>
  <si>
    <t>Average kVAr by kVA at transmission exit is assumed equal to kVAr by kVA at the GSP, as per Paragraph 51</t>
  </si>
  <si>
    <t>Paragraph 51</t>
  </si>
  <si>
    <t>Paragraphs 146, 87 &amp; 88</t>
  </si>
  <si>
    <t>Reactive charge</t>
  </si>
  <si>
    <t>For demand users (other than UMS), this sheet allocates unit rates to capacity charge elements</t>
  </si>
  <si>
    <t xml:space="preserve">(p/kVA/day) in line with Paragraph 78. </t>
  </si>
  <si>
    <t xml:space="preserve">As per DCUSA Schedule 16, Paragraphs 81 to 82, non half-hourly settled tariff forecast </t>
  </si>
  <si>
    <t>recover capacity-related costs through a fixed charge (p/MPAN/day). For these tariff forecast, the</t>
  </si>
  <si>
    <t xml:space="preserve">elements calculated here are further transformed into fixed charges on a separate sheet. </t>
  </si>
  <si>
    <t xml:space="preserve">Exceeded capacity charges (p/kVA/day) are calculated for half-hourly settled tariff forecast in accordance with </t>
  </si>
  <si>
    <t>Paragraph 81.</t>
  </si>
  <si>
    <t>Inputs to capacity charge calculations</t>
  </si>
  <si>
    <t>Network model diversity factor</t>
  </si>
  <si>
    <t>Uses re-calculated LV circuit value in line with Paragraph 80</t>
  </si>
  <si>
    <t>Customer contributions by network level</t>
  </si>
  <si>
    <t>Flag for applicability of capacity charges and exceeded capacity charges</t>
  </si>
  <si>
    <t>Paragraphs 141, 146 &amp; 81 to 84</t>
  </si>
  <si>
    <t xml:space="preserve">These flags are used to filter customers into those that receive capacity charges, exceeded </t>
  </si>
  <si>
    <t>capacity charges, and fixed charges</t>
  </si>
  <si>
    <t>Capacity charge flag</t>
  </si>
  <si>
    <t>Exceeded capacity charge flag</t>
  </si>
  <si>
    <t>Calculation of capacity charges</t>
  </si>
  <si>
    <t>Calculates capacity element of charges in line with Paragraph 78</t>
  </si>
  <si>
    <t>Paragraph 73 and 78</t>
  </si>
  <si>
    <t>Paragraph 73, 78</t>
  </si>
  <si>
    <t>Paragraphs 81 &amp; 153</t>
  </si>
  <si>
    <t>Capacity charges (and elements allocated to fixed charges)</t>
  </si>
  <si>
    <t>Exports capacity and exceeded capacity charges</t>
  </si>
  <si>
    <t>Exports capacity element of charges that is allocated to fixed charges</t>
  </si>
  <si>
    <t>Total capacity charge</t>
  </si>
  <si>
    <t>Paragraph 81</t>
  </si>
  <si>
    <t>Total exceeded capacity charge</t>
  </si>
  <si>
    <t>Paragraphs 73 &amp; 78</t>
  </si>
  <si>
    <t>Other costs</t>
  </si>
  <si>
    <t>Check that costs are not allocated to both capacity and fixed charges</t>
  </si>
  <si>
    <t>This sheet calculates fixed charges (p/MPAN/day) for non half-hourly settled demand</t>
  </si>
  <si>
    <t xml:space="preserve">users (pre-matching) in accordance with Paragraphs 82 to 86. </t>
  </si>
  <si>
    <t>The calculations transform capacity elements of the yardstick charge into a fixed charge. As</t>
  </si>
  <si>
    <t>explained in, Paragraphs 83 to 84, this calculation differs slightly by customer type.</t>
  </si>
  <si>
    <t>Inputs to fixed charge calculations</t>
  </si>
  <si>
    <t>Paragraph 73 &amp; 78</t>
  </si>
  <si>
    <t>Paragraphs 85 &amp; 86</t>
  </si>
  <si>
    <t xml:space="preserve">This table flags user categories to be summed together for the sake of setting a common fixed </t>
  </si>
  <si>
    <t>charge, as identified in Schedule 16, Paragraph 83.</t>
  </si>
  <si>
    <t>Aggregation group identified</t>
  </si>
  <si>
    <t>Paragraphs 83 &amp; 84</t>
  </si>
  <si>
    <t>Calculation of fixed charges</t>
  </si>
  <si>
    <t>pence per day</t>
  </si>
  <si>
    <t>Total MPANs by aggregation group</t>
  </si>
  <si>
    <t xml:space="preserve">This sheet adjusts unit charges for demand only, such that expected revenue to be collected </t>
  </si>
  <si>
    <t>through the CDCM matches allowed revenue determined through the company's price control.</t>
  </si>
  <si>
    <t>This is done by applying an algorithm that complies with Paragraphs 89-95.</t>
  </si>
  <si>
    <t>Pre-matching net revenue calculations</t>
  </si>
  <si>
    <t>Brings in charges, volumes and revenues</t>
  </si>
  <si>
    <t>Summary of charges before revenue matching</t>
  </si>
  <si>
    <t>Volumes (discounted)</t>
  </si>
  <si>
    <t>Capacity</t>
  </si>
  <si>
    <t>Target CDCM net revenue</t>
  </si>
  <si>
    <t xml:space="preserve">This section calculates the shortfall (or surplus) between the net revenue that would be expected </t>
  </si>
  <si>
    <t>if pre-matching charges are used, and the net revenue which the company is allowed to collect.</t>
  </si>
  <si>
    <t>Net revenue before matching</t>
  </si>
  <si>
    <t>Net revenue shortfall (or surplus)</t>
  </si>
  <si>
    <t>Paragraph 92</t>
  </si>
  <si>
    <t>Adder calculation</t>
  </si>
  <si>
    <t xml:space="preserve">This section calculates a "fixed adder" to unit rate charges for demand users that would equalise </t>
  </si>
  <si>
    <t xml:space="preserve">expected and allowed net revenue. This section includes a simple algorithm to account for </t>
  </si>
  <si>
    <t>the requirement that demand customers should not have negative unit rates.</t>
  </si>
  <si>
    <t>Adder value at which the non-negative demand charge constraint is breached</t>
  </si>
  <si>
    <t xml:space="preserve">Negative unit rates are not permitted for demand customers. This table calculates the lowest value </t>
  </si>
  <si>
    <t xml:space="preserve">a fixed adder could take before this constraint binds (for each unit rate and customer category). This is </t>
  </si>
  <si>
    <t xml:space="preserve">the negative of each pre-matching charge. </t>
  </si>
  <si>
    <t>Unit rate 1 - Adder threshold</t>
  </si>
  <si>
    <t>Unit rate 2 - Adder threshold</t>
  </si>
  <si>
    <t>Unit rate 3 - Adder threshold</t>
  </si>
  <si>
    <t>Expected units to be charged</t>
  </si>
  <si>
    <t xml:space="preserve">Calculates the effect on expected net revenue from the addition of a 1 p/kWh fixed adder to each unit </t>
  </si>
  <si>
    <t xml:space="preserve">rate charge for each customer category - driven by the units of energy each customer category is expected </t>
  </si>
  <si>
    <t>to use.</t>
  </si>
  <si>
    <t>Unit rate 1 - expected units to be charged</t>
  </si>
  <si>
    <t>Unit rate 2 - expected units to be charged</t>
  </si>
  <si>
    <t>Unit rate 3 - expected units to be charged</t>
  </si>
  <si>
    <t>Unconstrained adder solution (i.e. unit rates for demand can be negative)</t>
  </si>
  <si>
    <t>Paragraph 93</t>
  </si>
  <si>
    <t xml:space="preserve">Calculates the value of fixed adder that would equalise expected and allowed net revenue if it was </t>
  </si>
  <si>
    <t xml:space="preserve">unconstrained by the requirement that demand charges be non-negative. In some cases, the constraints </t>
  </si>
  <si>
    <t xml:space="preserve">will not bind, and this equal the constrained solution. </t>
  </si>
  <si>
    <t>Constraint-free adder solution</t>
  </si>
  <si>
    <t xml:space="preserve">This algorithm only affects the adder solution if pre-match net revenue exceeds target net revenue, in </t>
  </si>
  <si>
    <t xml:space="preserve">which case the unconstrained adder solution will be negative and the non-negative adder constraint may </t>
  </si>
  <si>
    <t xml:space="preserve">bind. If this is not the case the following steps can be ignored. </t>
  </si>
  <si>
    <t xml:space="preserve">Step 1 - Arrange all unit rate : customer category pre-match charges (and expected units to be charged) </t>
  </si>
  <si>
    <t xml:space="preserve">onto a single row. </t>
  </si>
  <si>
    <t xml:space="preserve">Unit rate_customer category (arbitrary order)&gt;&gt; </t>
  </si>
  <si>
    <t>Unit rate 1 p/kWh_Domestic Unrestricted</t>
  </si>
  <si>
    <t>Unit rate 1 p/kWh_Domestic Two Rate</t>
  </si>
  <si>
    <t>Unit rate 1 p/kWh_Domestic Off Peak (related MPAN)</t>
  </si>
  <si>
    <t>Unit rate 1 p/kWh_Small Non Domestic Unrestricted</t>
  </si>
  <si>
    <t>Unit rate 1 p/kWh_Small Non Domestic Two Rate</t>
  </si>
  <si>
    <t>Unit rate 1 p/kWh_Small Non Domestic Off Peak (related MPAN)</t>
  </si>
  <si>
    <t>Unit rate 1 p/kWh_LV Medium Non-Domestic</t>
  </si>
  <si>
    <t>Unit rate 1 p/kWh_LV Sub Medium Non-Domestic</t>
  </si>
  <si>
    <t>Unit rate 1 p/kWh_HV Medium Non-Domestic</t>
  </si>
  <si>
    <t>Unit rate 1 p/kWh_LV Network Domestic</t>
  </si>
  <si>
    <t>Unit rate 1 p/kWh_LV Network Non-Domestic Non-CT</t>
  </si>
  <si>
    <t>Unit rate 1 p/kWh_LV HH Metered</t>
  </si>
  <si>
    <t>Unit rate 1 p/kWh_LV Sub HH Metered</t>
  </si>
  <si>
    <t>Unit rate 1 p/kWh_HV HH Metered</t>
  </si>
  <si>
    <t>Unit rate 1 p/kWh_NHH UMS category A</t>
  </si>
  <si>
    <t>Unit rate 1 p/kWh_NHH UMS category B</t>
  </si>
  <si>
    <t>Unit rate 1 p/kWh_NHH UMS category C</t>
  </si>
  <si>
    <t>Unit rate 1 p/kWh_NHH UMS category D</t>
  </si>
  <si>
    <t>Unit rate 1 p/kWh_LV UMS (Pseudo HH Metered)</t>
  </si>
  <si>
    <t>Unit rate 1 p/kWh_LV Generation NHH or Aggregate HH</t>
  </si>
  <si>
    <t>Unit rate 1 p/kWh_LV Sub Generation NHH</t>
  </si>
  <si>
    <t>Unit rate 1 p/kWh_LV Generation Intermittent</t>
  </si>
  <si>
    <t>Unit rate 1 p/kWh_LV Generation Intermittent no RP charge</t>
  </si>
  <si>
    <t>Unit rate 1 p/kWh_LV Generation Non-Intermittent</t>
  </si>
  <si>
    <t>Unit rate 1 p/kWh_LV Generation Non-Intermittent no RP charge</t>
  </si>
  <si>
    <t>Unit rate 1 p/kWh_LV Sub Generation Intermittent</t>
  </si>
  <si>
    <t>Unit rate 1 p/kWh_LV Sub Generation Intermittent no RP charge</t>
  </si>
  <si>
    <t>Unit rate 1 p/kWh_LV Sub Generation Non-Intermittent</t>
  </si>
  <si>
    <t>Unit rate 1 p/kWh_LV Sub Generation Non-Intermittent no RP charge</t>
  </si>
  <si>
    <t>Unit rate 1 p/kWh_HV Generation Intermittent</t>
  </si>
  <si>
    <t>Unit rate 1 p/kWh_HV Generation Intermittent no RP charge</t>
  </si>
  <si>
    <t>Unit rate 1 p/kWh_HV Generation Non-Intermittent</t>
  </si>
  <si>
    <t>Unit rate 1 p/kWh_HV Generation Non-Intermittent no RP charge</t>
  </si>
  <si>
    <t>Unit rate 2 p/kWh_Domestic Unrestricted</t>
  </si>
  <si>
    <t>Unit rate 2 p/kWh_Domestic Two Rate</t>
  </si>
  <si>
    <t>Unit rate 2 p/kWh_Domestic Off Peak (related MPAN)</t>
  </si>
  <si>
    <t>Unit rate 2 p/kWh_Small Non Domestic Unrestricted</t>
  </si>
  <si>
    <t>Unit rate 2 p/kWh_Small Non Domestic Two Rate</t>
  </si>
  <si>
    <t>Unit rate 2 p/kWh_Small Non Domestic Off Peak (related MPAN)</t>
  </si>
  <si>
    <t>Unit rate 2 p/kWh_LV Medium Non-Domestic</t>
  </si>
  <si>
    <t>Unit rate 2 p/kWh_LV Sub Medium Non-Domestic</t>
  </si>
  <si>
    <t>Unit rate 2 p/kWh_HV Medium Non-Domestic</t>
  </si>
  <si>
    <t>Unit rate 2 p/kWh_LV Network Domestic</t>
  </si>
  <si>
    <t>Unit rate 2 p/kWh_LV Network Non-Domestic Non-CT</t>
  </si>
  <si>
    <t>Unit rate 2 p/kWh_LV HH Metered</t>
  </si>
  <si>
    <t>Unit rate 2 p/kWh_LV Sub HH Metered</t>
  </si>
  <si>
    <t>Unit rate 2 p/kWh_HV HH Metered</t>
  </si>
  <si>
    <t>Unit rate 2 p/kWh_NHH UMS category A</t>
  </si>
  <si>
    <t>Unit rate 2 p/kWh_NHH UMS category B</t>
  </si>
  <si>
    <t>Unit rate 2 p/kWh_NHH UMS category C</t>
  </si>
  <si>
    <t>Unit rate 2 p/kWh_NHH UMS category D</t>
  </si>
  <si>
    <t>Unit rate 2 p/kWh_LV UMS (Pseudo HH Metered)</t>
  </si>
  <si>
    <t>Unit rate 2 p/kWh_LV Generation NHH or Aggregate HH</t>
  </si>
  <si>
    <t>Unit rate 2 p/kWh_LV Sub Generation NHH</t>
  </si>
  <si>
    <t>Unit rate 2 p/kWh_LV Generation Intermittent</t>
  </si>
  <si>
    <t>Unit rate 2 p/kWh_LV Generation Intermittent no RP charge</t>
  </si>
  <si>
    <t>Unit rate 2 p/kWh_LV Generation Non-Intermittent</t>
  </si>
  <si>
    <t>Unit rate 2 p/kWh_LV Generation Non-Intermittent no RP charge</t>
  </si>
  <si>
    <t>Unit rate 2 p/kWh_LV Sub Generation Intermittent</t>
  </si>
  <si>
    <t>Unit rate 2 p/kWh_LV Sub Generation Intermittent no RP charge</t>
  </si>
  <si>
    <t>Unit rate 2 p/kWh_LV Sub Generation Non-Intermittent</t>
  </si>
  <si>
    <t>Unit rate 2 p/kWh_LV Sub Generation Non-Intermittent no RP charge</t>
  </si>
  <si>
    <t>Unit rate 2 p/kWh_HV Generation Intermittent</t>
  </si>
  <si>
    <t>Unit rate 2 p/kWh_HV Generation Intermittent no RP charge</t>
  </si>
  <si>
    <t>Unit rate 2 p/kWh_HV Generation Non-Intermittent</t>
  </si>
  <si>
    <t>Unit rate 2 p/kWh_HV Generation Non-Intermittent no RP charge</t>
  </si>
  <si>
    <t>Unit rate 3 p/kWh_Domestic Unrestricted</t>
  </si>
  <si>
    <t>Unit rate 3 p/kWh_Domestic Two Rate</t>
  </si>
  <si>
    <t>Unit rate 3 p/kWh_Domestic Off Peak (related MPAN)</t>
  </si>
  <si>
    <t>Unit rate 3 p/kWh_Small Non Domestic Unrestricted</t>
  </si>
  <si>
    <t>Unit rate 3 p/kWh_Small Non Domestic Two Rate</t>
  </si>
  <si>
    <t>Unit rate 3 p/kWh_Small Non Domestic Off Peak (related MPAN)</t>
  </si>
  <si>
    <t>Unit rate 3 p/kWh_LV Medium Non-Domestic</t>
  </si>
  <si>
    <t>Unit rate 3 p/kWh_LV Sub Medium Non-Domestic</t>
  </si>
  <si>
    <t>Unit rate 3 p/kWh_HV Medium Non-Domestic</t>
  </si>
  <si>
    <t>Unit rate 3 p/kWh_LV Network Domestic</t>
  </si>
  <si>
    <t>Unit rate 3 p/kWh_LV Network Non-Domestic Non-CT</t>
  </si>
  <si>
    <t>Unit rate 3 p/kWh_LV HH Metered</t>
  </si>
  <si>
    <t>Unit rate 3 p/kWh_LV Sub HH Metered</t>
  </si>
  <si>
    <t>Unit rate 3 p/kWh_HV HH Metered</t>
  </si>
  <si>
    <t>Unit rate 3 p/kWh_NHH UMS category A</t>
  </si>
  <si>
    <t>Unit rate 3 p/kWh_NHH UMS category B</t>
  </si>
  <si>
    <t>Unit rate 3 p/kWh_NHH UMS category C</t>
  </si>
  <si>
    <t>Unit rate 3 p/kWh_NHH UMS category D</t>
  </si>
  <si>
    <t>Unit rate 3 p/kWh_LV UMS (Pseudo HH Metered)</t>
  </si>
  <si>
    <t>Unit rate 3 p/kWh_LV Generation NHH or Aggregate HH</t>
  </si>
  <si>
    <t>Unit rate 3 p/kWh_LV Sub Generation NHH</t>
  </si>
  <si>
    <t>Unit rate 3 p/kWh_LV Generation Intermittent</t>
  </si>
  <si>
    <t>Unit rate 3 p/kWh_LV Generation Intermittent no RP charge</t>
  </si>
  <si>
    <t>Unit rate 3 p/kWh_LV Generation Non-Intermittent</t>
  </si>
  <si>
    <t>Unit rate 3 p/kWh_LV Generation Non-Intermittent no RP charge</t>
  </si>
  <si>
    <t>Unit rate 3 p/kWh_LV Sub Generation Intermittent</t>
  </si>
  <si>
    <t>Unit rate 3 p/kWh_LV Sub Generation Intermittent no RP charge</t>
  </si>
  <si>
    <t>Unit rate 3 p/kWh_LV Sub Generation Non-Intermittent</t>
  </si>
  <si>
    <t>Unit rate 3 p/kWh_LV Sub Generation Non-Intermittent no RP charge</t>
  </si>
  <si>
    <t>Unit rate 3 p/kWh_HV Generation Intermittent</t>
  </si>
  <si>
    <t>Unit rate 3 p/kWh_HV Generation Intermittent no RP charge</t>
  </si>
  <si>
    <t>Unit rate 3 p/kWh_HV Generation Non-Intermittent</t>
  </si>
  <si>
    <t>Unit rate 3 p/kWh_HV Generation Non-Intermittent no RP charge</t>
  </si>
  <si>
    <t>Combined - Adder threshold</t>
  </si>
  <si>
    <t>Combined - expected units to be charged</t>
  </si>
  <si>
    <t xml:space="preserve">Step 2 - Rank the unit rate : customer category pre-match charges by their adder threshold values - from </t>
  </si>
  <si>
    <t xml:space="preserve">lowest to highest. </t>
  </si>
  <si>
    <t>Adder thresholds ranked from lowest (1) to highest (99)</t>
  </si>
  <si>
    <t>Tie-breaker between equal threshold rates</t>
  </si>
  <si>
    <t>Adder thresholds ranked from lowest (1) to highest (99), post tie-breaker</t>
  </si>
  <si>
    <t xml:space="preserve">Step 3 - Reorder adder thresholds (and their respective numbers of units to be charged) by rank. Identify </t>
  </si>
  <si>
    <t xml:space="preserve">the value at which the fixed adder would equalise expected and allowed net revenue. </t>
  </si>
  <si>
    <t>Rank&gt;&gt;</t>
  </si>
  <si>
    <t>Starting point</t>
  </si>
  <si>
    <t>Reordered adder threshold values for each tariff / unit rate (lowest to highest)</t>
  </si>
  <si>
    <t>Cumulative units, aggregating across tariff / unit rates from lowest to highest adder threshold.</t>
  </si>
  <si>
    <t>Unscaleable net revenue</t>
  </si>
  <si>
    <t>Scaleable net revenue, for a given (threshold) adder value</t>
  </si>
  <si>
    <t>Total net revenue, for a given (threshold) adder value</t>
  </si>
  <si>
    <t>Exact constrained adder value at which expected net revenue = allowed net revenue</t>
  </si>
  <si>
    <t>Constrained adder solution</t>
  </si>
  <si>
    <t>Paragraph 94</t>
  </si>
  <si>
    <t xml:space="preserve">Shows the adder value that would equalise expected and allowed net revenue, subject to the constraint </t>
  </si>
  <si>
    <t>that demand charges be non-negative. The solution is selected from the last row of the table above.</t>
  </si>
  <si>
    <t xml:space="preserve">This section presents the amount by which unit charges for demand users will be raised or lowered </t>
  </si>
  <si>
    <t xml:space="preserve">to equalise expected and allowed revenue, subject to the constraint that demand charges are non-negative. </t>
  </si>
  <si>
    <t>Adder to be applied to unit rates</t>
  </si>
  <si>
    <t>Allocates an adder to each unit rate and customer type which will equalise expected and allowed revenue,</t>
  </si>
  <si>
    <t xml:space="preserve"> subject to the constraint that demand charges be non-negative. Adders are applied for demand users only.</t>
  </si>
  <si>
    <t>Adder on Unit rate 1</t>
  </si>
  <si>
    <t>Adder on Unit rate 2</t>
  </si>
  <si>
    <t>Adder on Unit rate 3</t>
  </si>
  <si>
    <t xml:space="preserve">Check that adder constraint is compatible with revenue matching </t>
  </si>
  <si>
    <t>Expected revenue, by tariff (pre-rounding)</t>
  </si>
  <si>
    <t>Total expected revenue, post scaling (pre-rounding)</t>
  </si>
  <si>
    <t>Total revenue check</t>
  </si>
  <si>
    <t>Summary of error checks</t>
  </si>
  <si>
    <t>This sheet rounds charges to the number of decimal places specified in Paragraph 14.</t>
  </si>
  <si>
    <t>These include 'all the way' tariff forecast and LDNO tariff forecast.</t>
  </si>
  <si>
    <t>Inputs</t>
  </si>
  <si>
    <t>Pulls in tariff forecast, adder and inputs for the number of decimal places</t>
  </si>
  <si>
    <t>Pre-match, pre-rounding tariff forecast</t>
  </si>
  <si>
    <t>Tariff forecast before revenue matching</t>
  </si>
  <si>
    <t>Adder calculated in revenue matching</t>
  </si>
  <si>
    <t>LDNO discounts (LV)</t>
  </si>
  <si>
    <t>LDNO discounts (HV)</t>
  </si>
  <si>
    <t>Decimal places for rounding</t>
  </si>
  <si>
    <t>Rounding of tariff forecast</t>
  </si>
  <si>
    <t>Calculates rounded tariff forecast</t>
  </si>
  <si>
    <t>All the way tariff forecast, pre-rounding</t>
  </si>
  <si>
    <t>All the way tariff forecast, post-rounding</t>
  </si>
  <si>
    <t>LDNO LV tariff forecast, post-rounding</t>
  </si>
  <si>
    <t>LDNO HV tariff forecast, post-rounding</t>
  </si>
  <si>
    <t>This sheet calculates a summary of net revenue and other non-tariff outputs included for users' information</t>
  </si>
  <si>
    <t>Inputs to net revenue summary calculation</t>
  </si>
  <si>
    <t>All the way tariff forecast</t>
  </si>
  <si>
    <t>LDNO LV tariff forecast</t>
  </si>
  <si>
    <t>LDNO HV tariff forecast</t>
  </si>
  <si>
    <t>Net revenue before matching and rounding</t>
  </si>
  <si>
    <t>Net revenue after matching (pre-rounding)</t>
  </si>
  <si>
    <t>Typical bills</t>
  </si>
  <si>
    <t>All the way customer net revenue</t>
  </si>
  <si>
    <t>LDNO LV customer net revenue</t>
  </si>
  <si>
    <t>LDNO HV customer net revenue</t>
  </si>
  <si>
    <t>Pre-matching net revenue</t>
  </si>
  <si>
    <t>Net revenue from adder</t>
  </si>
  <si>
    <t>Net revenue from rounding</t>
  </si>
  <si>
    <t>Total net revenue</t>
  </si>
  <si>
    <t>Deviation from target revenue</t>
  </si>
  <si>
    <t>Typical bills for all the way customers</t>
  </si>
  <si>
    <t>£/MPAN</t>
  </si>
  <si>
    <t>All the way</t>
  </si>
  <si>
    <t>Typical bills for LDNO LV customers</t>
  </si>
  <si>
    <t>Typical bills for LDNO HV customers</t>
  </si>
  <si>
    <t>Average bill per kWh for all the way customers</t>
  </si>
  <si>
    <t>Average bill per kWh for LDNO LV customers</t>
  </si>
  <si>
    <t>Average bill per kWh for LDNO HV customers</t>
  </si>
  <si>
    <t>Comparison with previous year</t>
  </si>
  <si>
    <t>Previous year all the way tariff forecast</t>
  </si>
  <si>
    <t>If previous year net revenue is not entered as an input, this section estimates previous year net revenue</t>
  </si>
  <si>
    <t>by assuming volumes equal to forecasts for the current charging year.</t>
  </si>
  <si>
    <t>Previous year net revenue from all the way tariff forecast (if known)</t>
  </si>
  <si>
    <t>Previous year net revenue from all the way tariff forecast (estimated if unknown)</t>
  </si>
  <si>
    <t>% change in net revenue from preceding year - all the way customers</t>
  </si>
  <si>
    <t>Absolute change in average bill per kWh - all the way customers</t>
  </si>
  <si>
    <t>LDNO margins</t>
  </si>
  <si>
    <t>LDNO LV typical bills, using all-the-way volumes</t>
  </si>
  <si>
    <t>This table calculates the typical bills that all-the-way customers would receive if they were on LDNO LV tariff forecast</t>
  </si>
  <si>
    <t>£ / MPAN</t>
  </si>
  <si>
    <t>LDNO HV typical bills, using all-the-way volumes</t>
  </si>
  <si>
    <t>This table calculates the typical bills that all-the-way customers would receive if they were on LDNO HV tariff forecast</t>
  </si>
  <si>
    <t>This table expresses the difference between LDNO and all the way charges as a proportion of the typical bill</t>
  </si>
  <si>
    <t>LDNO LV margin</t>
  </si>
  <si>
    <t>LDNO HV margin</t>
  </si>
  <si>
    <t>Identifier</t>
  </si>
  <si>
    <t>Unit rate 1 
p/kWh</t>
  </si>
  <si>
    <t>Unit rate 2 
p/kWh</t>
  </si>
  <si>
    <t>Unit rate 3 
p/kWh</t>
  </si>
  <si>
    <t>Fixed charge 
p/MPAN/day</t>
  </si>
  <si>
    <t>Capacity charge 
p/kVA/day</t>
  </si>
  <si>
    <t>Exceeded capacity charge 
p/kVA/day</t>
  </si>
  <si>
    <t>Reactive power charge 
p/kVArh</t>
  </si>
  <si>
    <t>This sheet presents tariff forecast for 'all the way' customers and LDNO LV/HV customers</t>
  </si>
  <si>
    <t>All the way tariffs</t>
  </si>
  <si>
    <t>LDNO LV tariffs</t>
  </si>
  <si>
    <t>LDNO HV tariffs</t>
  </si>
  <si>
    <t>Collates model results used by the PCDM and EDCM</t>
  </si>
  <si>
    <t>and for DNOs' internal processes (e.g. publishing Tariff Movement Explanation reports)</t>
  </si>
  <si>
    <t>Outputs for PCDM</t>
  </si>
  <si>
    <t>These asset values are used as Input 402-C on the "DNO inputs" sheet of the PCDM</t>
  </si>
  <si>
    <t>CDCM notional EHV asset values</t>
  </si>
  <si>
    <t>Outputs for EDCM</t>
  </si>
  <si>
    <t>These end-user tariff forecast are used as Input 207-A / 307-A on the "LDNO inputs" sheet of the EDCM - LRIC/FCP</t>
  </si>
  <si>
    <t>CDCM end user tariff forecast</t>
  </si>
  <si>
    <t>These non-tariff outputs are used as Input 202-D / 302-D on the "General inputs" sheet of the EDCM - LRIC/FCP</t>
  </si>
  <si>
    <t>Assets in CDCM model</t>
  </si>
  <si>
    <t>Outputs for users' internal use</t>
  </si>
  <si>
    <t>These non-tariff outputs are provided for DNOs' internal use - namely to populate "tariff movement explanation reports"</t>
  </si>
  <si>
    <t>These non-tariff outputs are provided for IDNOs' internal use</t>
  </si>
  <si>
    <t>They express the difference between LDNO and all the way charges as a proportion of the typical bill</t>
  </si>
  <si>
    <t>Model number</t>
  </si>
  <si>
    <t>Release for charge setting</t>
  </si>
  <si>
    <t>01 April 2020 DCUSA Charging Methodologies Pre-Release (released 09/10/2018)</t>
  </si>
  <si>
    <t>Release for 2020/21 charge setting</t>
  </si>
  <si>
    <t>2020/21</t>
  </si>
  <si>
    <t>Model number:</t>
  </si>
  <si>
    <t>Updated references to legal text version, corrected issue with data validation on 'Inputs by customer type' sheet, added outdated table references to 'Output to other models' sheet for consistency with DCUSA text.</t>
  </si>
  <si>
    <t>Diversity allowance between level exit and GSP Group (Table 2611)</t>
  </si>
  <si>
    <t>System simultaneous maximum load (Table 2506)</t>
  </si>
  <si>
    <t xml:space="preserve">SHEPD </t>
  </si>
  <si>
    <t>Final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</si>
</sst>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0.000;\-0.000;;@"/>
    <numFmt numFmtId="169" formatCode="0.0%"/>
    <numFmt numFmtId="170" formatCode="[$-F800]dddd\,\ mmmm\ dd\,\ yyyy"/>
    <numFmt numFmtId="171" formatCode="0.000;\-0.000;\-;@"/>
    <numFmt numFmtId="172" formatCode="0.00;\-0.00;\-;@"/>
    <numFmt numFmtId="173" formatCode="0.00000000"/>
    <numFmt numFmtId="174" formatCode="0;\-0;\-;@"/>
    <numFmt numFmtId="175" formatCode="#,##0.00;\-#,##0.00;\-"/>
    <numFmt numFmtId="176" formatCode="#,##0.000;\-#,##0.000;\-"/>
  </numFmts>
  <fonts count="39"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sz val="11"/>
      <color rgb="FF275792"/>
      <name val="Calibri"/>
      <family val="2"/>
      <scheme val="minor"/>
    </font>
    <font>
      <i/>
      <sz val="11"/>
      <color theme="1"/>
      <name val="Calibri"/>
      <family val="2"/>
      <scheme val="minor"/>
    </font>
    <font>
      <sz val="11"/>
      <color rgb="FFD46112"/>
      <name val="Calibri"/>
      <family val="2"/>
      <scheme val="minor"/>
    </font>
    <font>
      <sz val="11"/>
      <color theme="1"/>
      <name val="Calibri"/>
      <family val="2"/>
      <scheme val="minor"/>
    </font>
    <font>
      <sz val="1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name val="Calibri"/>
      <family val="2"/>
      <scheme val="minor"/>
    </font>
    <font>
      <b/>
      <i/>
      <sz val="11"/>
      <color theme="1"/>
      <name val="Calibri"/>
      <family val="2"/>
      <scheme val="minor"/>
    </font>
    <font>
      <b/>
      <sz val="22"/>
      <color rgb="FF275192"/>
      <name val="Calibri"/>
      <family val="2"/>
      <scheme val="minor"/>
    </font>
    <font>
      <b/>
      <sz val="16"/>
      <color rgb="FFC00000"/>
      <name val="Calibri"/>
      <family val="2"/>
      <scheme val="minor"/>
    </font>
    <font>
      <u/>
      <sz val="11"/>
      <color theme="10"/>
      <name val="Calibri"/>
      <family val="2"/>
      <scheme val="minor"/>
    </font>
    <font>
      <sz val="11"/>
      <color theme="4"/>
      <name val="Calibri"/>
      <family val="2"/>
      <scheme val="minor"/>
    </font>
    <font>
      <i/>
      <sz val="11"/>
      <color theme="0"/>
      <name val="Calibri"/>
      <family val="2"/>
      <scheme val="minor"/>
    </font>
    <font>
      <b/>
      <i/>
      <sz val="11"/>
      <color theme="0"/>
      <name val="Calibri"/>
      <family val="2"/>
      <scheme val="minor"/>
    </font>
    <font>
      <sz val="11"/>
      <color rgb="FF9C6500"/>
      <name val="Calibri"/>
      <family val="2"/>
      <scheme val="minor"/>
    </font>
    <font>
      <i/>
      <sz val="11"/>
      <color rgb="FFFF0000"/>
      <name val="Calibri"/>
      <family val="2"/>
      <scheme val="minor"/>
    </font>
    <font>
      <sz val="11"/>
      <color rgb="FF000000"/>
      <name val="Calibri"/>
      <family val="2"/>
    </font>
    <font>
      <b/>
      <u/>
      <sz val="11"/>
      <color theme="0"/>
      <name val="Calibri"/>
      <family val="2"/>
      <scheme val="minor"/>
    </font>
    <font>
      <b/>
      <sz val="11"/>
      <color theme="4"/>
      <name val="Calibri"/>
      <family val="2"/>
      <scheme val="minor"/>
    </font>
    <font>
      <u/>
      <sz val="11"/>
      <color theme="5"/>
      <name val="Calibri"/>
      <family val="2"/>
      <scheme val="minor"/>
    </font>
    <font>
      <i/>
      <sz val="11"/>
      <color rgb="FF333F4F"/>
      <name val="Calibri"/>
      <family val="2"/>
      <scheme val="minor"/>
    </font>
    <font>
      <i/>
      <sz val="11"/>
      <color theme="0" tint="-0.499984740745262"/>
      <name val="Calibri"/>
      <family val="2"/>
      <scheme val="minor"/>
    </font>
    <font>
      <u/>
      <sz val="11"/>
      <color theme="11"/>
      <name val="Calibri"/>
      <family val="2"/>
      <scheme val="minor"/>
    </font>
  </fonts>
  <fills count="47">
    <fill>
      <patternFill patternType="none"/>
    </fill>
    <fill>
      <patternFill patternType="gray125"/>
    </fill>
    <fill>
      <patternFill patternType="solid">
        <fgColor rgb="FFFFFFCC"/>
        <bgColor indexed="64"/>
      </patternFill>
    </fill>
    <fill>
      <patternFill patternType="solid">
        <fgColor rgb="FF4B86CD"/>
        <bgColor indexed="64"/>
      </patternFill>
    </fill>
    <fill>
      <patternFill patternType="lightUp">
        <fgColor theme="0" tint="-0.499984740745262"/>
        <bgColor rgb="FFFFFFFF"/>
      </patternFill>
    </fill>
    <fill>
      <patternFill patternType="solid">
        <fgColor rgb="FF27579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B4C6E7"/>
        <bgColor indexed="64"/>
      </patternFill>
    </fill>
    <fill>
      <patternFill patternType="solid">
        <fgColor rgb="FFFF9999"/>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C9C9C9"/>
        <bgColor indexed="64"/>
      </patternFill>
    </fill>
    <fill>
      <patternFill patternType="solid">
        <fgColor rgb="FFF8CBAD"/>
        <bgColor indexed="64"/>
      </patternFill>
    </fill>
    <fill>
      <patternFill patternType="solid">
        <fgColor rgb="FFA9D08E"/>
        <bgColor indexed="64"/>
      </patternFill>
    </fill>
  </fills>
  <borders count="21">
    <border>
      <left/>
      <right/>
      <top/>
      <bottom/>
      <diagonal/>
    </border>
    <border>
      <left/>
      <right/>
      <top style="hair">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999999"/>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rgb="FFFF0000"/>
      </left>
      <right style="thin">
        <color rgb="FFFF0000"/>
      </right>
      <top style="thin">
        <color rgb="FFFF0000"/>
      </top>
      <bottom style="thin">
        <color rgb="FFFF0000"/>
      </bottom>
      <diagonal/>
    </border>
    <border>
      <left/>
      <right/>
      <top/>
      <bottom style="thick">
        <color rgb="FFFFFFFF"/>
      </bottom>
      <diagonal/>
    </border>
    <border>
      <left/>
      <right/>
      <top style="thick">
        <color rgb="FFFFFFFF"/>
      </top>
      <bottom/>
      <diagonal/>
    </border>
  </borders>
  <cellStyleXfs count="68">
    <xf numFmtId="0" fontId="0" fillId="0" borderId="0"/>
    <xf numFmtId="49" fontId="1" fillId="3" borderId="0" applyNumberFormat="0" applyBorder="0" applyAlignment="0">
      <alignment horizontal="left" vertical="center" wrapText="1"/>
    </xf>
    <xf numFmtId="167" fontId="7" fillId="0" borderId="0" applyFont="0" applyFill="0" applyBorder="0" applyAlignment="0" applyProtection="0"/>
    <xf numFmtId="165" fontId="7" fillId="0" borderId="0" applyFont="0" applyFill="0" applyBorder="0" applyAlignment="0" applyProtection="0"/>
    <xf numFmtId="166" fontId="7" fillId="0" borderId="0" applyFont="0" applyFill="0" applyBorder="0" applyAlignment="0" applyProtection="0"/>
    <xf numFmtId="164" fontId="7" fillId="0" borderId="0" applyFont="0" applyFill="0" applyBorder="0" applyAlignment="0" applyProtection="0"/>
    <xf numFmtId="9" fontId="7" fillId="0" borderId="0" applyFont="0" applyFill="0" applyBorder="0" applyAlignment="0" applyProtection="0"/>
    <xf numFmtId="0" fontId="9" fillId="0" borderId="0" applyNumberFormat="0" applyFill="0" applyBorder="0" applyAlignment="0" applyProtection="0"/>
    <xf numFmtId="0" fontId="10" fillId="0" borderId="5" applyNumberFormat="0" applyFill="0" applyAlignment="0" applyProtection="0"/>
    <xf numFmtId="0" fontId="11" fillId="0" borderId="6" applyNumberFormat="0" applyFill="0" applyAlignment="0" applyProtection="0"/>
    <xf numFmtId="0" fontId="12" fillId="0" borderId="7" applyNumberFormat="0" applyFill="0" applyAlignment="0" applyProtection="0"/>
    <xf numFmtId="0" fontId="12" fillId="0" borderId="0" applyNumberFormat="0" applyFill="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0" applyNumberFormat="0" applyBorder="0" applyAlignment="0" applyProtection="0"/>
    <xf numFmtId="0" fontId="16" fillId="9" borderId="8" applyNumberFormat="0" applyAlignment="0" applyProtection="0"/>
    <xf numFmtId="0" fontId="17" fillId="10" borderId="9" applyNumberFormat="0" applyAlignment="0" applyProtection="0"/>
    <xf numFmtId="0" fontId="18" fillId="10" borderId="8" applyNumberFormat="0" applyAlignment="0" applyProtection="0"/>
    <xf numFmtId="0" fontId="19" fillId="0" borderId="10" applyNumberFormat="0" applyFill="0" applyAlignment="0" applyProtection="0"/>
    <xf numFmtId="0" fontId="1" fillId="11" borderId="11" applyNumberFormat="0" applyAlignment="0" applyProtection="0"/>
    <xf numFmtId="0" fontId="20" fillId="0" borderId="0" applyNumberFormat="0" applyFill="0" applyBorder="0" applyAlignment="0" applyProtection="0"/>
    <xf numFmtId="0" fontId="7" fillId="12" borderId="12" applyNumberFormat="0" applyFont="0" applyAlignment="0" applyProtection="0"/>
    <xf numFmtId="0" fontId="21" fillId="0" borderId="0" applyNumberFormat="0" applyFill="0" applyBorder="0" applyAlignment="0" applyProtection="0"/>
    <xf numFmtId="0" fontId="2" fillId="0" borderId="13" applyNumberFormat="0" applyFill="0" applyAlignment="0" applyProtection="0"/>
    <xf numFmtId="0" fontId="3"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3" fillId="17"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3" fillId="21"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3" fillId="25"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3" fillId="29"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3" fillId="33" borderId="0" applyNumberFormat="0" applyBorder="0" applyAlignment="0" applyProtection="0"/>
    <xf numFmtId="0" fontId="7" fillId="34"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22" fillId="37" borderId="0" applyBorder="0" applyAlignment="0"/>
    <xf numFmtId="0" fontId="1" fillId="5" borderId="0" applyNumberFormat="0" applyBorder="0" applyAlignment="0"/>
    <xf numFmtId="0" fontId="7" fillId="0" borderId="0" applyNumberFormat="0" applyBorder="0" applyAlignment="0"/>
    <xf numFmtId="0" fontId="8" fillId="2" borderId="0" applyNumberFormat="0" applyBorder="0" applyAlignment="0" applyProtection="0"/>
    <xf numFmtId="0" fontId="35" fillId="0" borderId="14" applyNumberFormat="0" applyBorder="0" applyAlignment="0"/>
    <xf numFmtId="0" fontId="2" fillId="0" borderId="0" applyNumberFormat="0" applyBorder="0" applyAlignment="0"/>
    <xf numFmtId="0" fontId="26" fillId="0" borderId="0" applyNumberFormat="0" applyFill="0" applyBorder="0" applyAlignment="0" applyProtection="0"/>
    <xf numFmtId="168" fontId="8" fillId="4" borderId="0" applyNumberFormat="0" applyBorder="0">
      <alignment vertical="top"/>
    </xf>
    <xf numFmtId="9" fontId="34" fillId="0" borderId="0" applyNumberFormat="0" applyBorder="0"/>
    <xf numFmtId="167" fontId="7" fillId="0" borderId="0" applyFont="0" applyFill="0" applyBorder="0" applyAlignment="0" applyProtection="0"/>
    <xf numFmtId="0" fontId="36" fillId="0" borderId="0"/>
    <xf numFmtId="0" fontId="7" fillId="38" borderId="0" applyNumberFormat="0" applyBorder="0" applyAlignment="0" applyProtection="0">
      <alignment horizontal="center"/>
    </xf>
    <xf numFmtId="3" fontId="8" fillId="0" borderId="0" applyNumberFormat="0" applyBorder="0" applyAlignment="0">
      <alignment horizontal="right" vertical="top"/>
    </xf>
    <xf numFmtId="0" fontId="14" fillId="7" borderId="0" applyNumberFormat="0" applyBorder="0" applyAlignment="0" applyProtection="0"/>
    <xf numFmtId="9" fontId="7" fillId="0" borderId="0" applyFont="0" applyFill="0" applyBorder="0" applyAlignment="0" applyProtection="0"/>
    <xf numFmtId="0" fontId="30" fillId="8" borderId="0" applyNumberFormat="0" applyBorder="0" applyAlignment="0" applyProtection="0"/>
    <xf numFmtId="0" fontId="7" fillId="0" borderId="0" applyNumberFormat="0" applyFont="0" applyBorder="0" applyAlignment="0"/>
    <xf numFmtId="0" fontId="7" fillId="39" borderId="0" applyNumberFormat="0" applyFont="0" applyBorder="0" applyAlignment="0"/>
    <xf numFmtId="0" fontId="26" fillId="0" borderId="0" applyNumberFormat="0" applyFill="0" applyBorder="0" applyAlignment="0"/>
    <xf numFmtId="0" fontId="38" fillId="0" borderId="0" applyNumberFormat="0" applyFill="0" applyBorder="0" applyAlignment="0"/>
  </cellStyleXfs>
  <cellXfs count="343">
    <xf numFmtId="0" fontId="0" fillId="0" borderId="0" xfId="0"/>
    <xf numFmtId="0" fontId="1" fillId="3" borderId="0" xfId="1" applyNumberFormat="1" applyAlignment="1"/>
    <xf numFmtId="0" fontId="5" fillId="0" borderId="0" xfId="0" applyFont="1"/>
    <xf numFmtId="0" fontId="0" fillId="0" borderId="0" xfId="0" applyAlignment="1">
      <alignment vertical="top"/>
    </xf>
    <xf numFmtId="0" fontId="0" fillId="0" borderId="0" xfId="0" applyAlignment="1">
      <alignment vertical="top" wrapText="1"/>
    </xf>
    <xf numFmtId="0" fontId="29" fillId="3" borderId="0" xfId="1" applyNumberFormat="1" applyFont="1" applyAlignment="1"/>
    <xf numFmtId="0" fontId="8" fillId="0" borderId="0" xfId="0" applyFont="1"/>
    <xf numFmtId="0" fontId="25" fillId="0" borderId="0" xfId="0" applyFont="1" applyAlignment="1">
      <alignment horizontal="left" vertical="center" wrapText="1"/>
    </xf>
    <xf numFmtId="0" fontId="7" fillId="0" borderId="0" xfId="50" applyAlignment="1">
      <alignment vertical="top" wrapText="1"/>
    </xf>
    <xf numFmtId="0" fontId="0" fillId="0" borderId="0" xfId="0" applyAlignment="1">
      <alignment vertical="center"/>
    </xf>
    <xf numFmtId="170" fontId="35" fillId="0" borderId="0" xfId="52" applyNumberFormat="1" applyBorder="1" applyAlignment="1">
      <alignment horizontal="left" vertical="center"/>
    </xf>
    <xf numFmtId="0" fontId="0" fillId="0" borderId="0" xfId="0" applyAlignment="1">
      <alignment vertical="center" wrapText="1"/>
    </xf>
    <xf numFmtId="0" fontId="37" fillId="0" borderId="0" xfId="0" applyFont="1" applyAlignment="1">
      <alignment horizontal="left" indent="1"/>
    </xf>
    <xf numFmtId="0" fontId="0" fillId="0" borderId="0" xfId="0" applyAlignment="1">
      <alignment horizontal="left"/>
    </xf>
    <xf numFmtId="0" fontId="0" fillId="0" borderId="0" xfId="0" applyAlignment="1">
      <alignment horizontal="right"/>
    </xf>
    <xf numFmtId="0" fontId="0" fillId="0" borderId="0" xfId="0" applyAlignment="1">
      <alignment horizontal="left" vertical="center" wrapText="1"/>
    </xf>
    <xf numFmtId="0" fontId="24" fillId="0" borderId="0" xfId="0" applyFont="1" applyAlignment="1">
      <alignment vertical="top" wrapText="1"/>
    </xf>
    <xf numFmtId="0" fontId="0" fillId="0" borderId="0" xfId="0" applyAlignment="1">
      <alignment horizontal="left" vertical="top" wrapText="1"/>
    </xf>
    <xf numFmtId="0" fontId="23" fillId="0" borderId="0" xfId="0" applyFont="1" applyAlignment="1">
      <alignment vertical="top"/>
    </xf>
    <xf numFmtId="170" fontId="34" fillId="0" borderId="0" xfId="56" applyNumberFormat="1" applyAlignment="1">
      <alignment horizontal="left"/>
    </xf>
    <xf numFmtId="0" fontId="34" fillId="0" borderId="0" xfId="56" applyNumberFormat="1" applyAlignment="1">
      <alignment horizontal="left"/>
    </xf>
    <xf numFmtId="0" fontId="1" fillId="3" borderId="0" xfId="1" applyNumberFormat="1" applyAlignment="1">
      <alignment horizontal="left"/>
    </xf>
    <xf numFmtId="168" fontId="8" fillId="4" borderId="2" xfId="55" applyBorder="1" applyAlignment="1"/>
    <xf numFmtId="0" fontId="0" fillId="0" borderId="2" xfId="0" applyBorder="1"/>
    <xf numFmtId="0" fontId="8" fillId="0" borderId="0" xfId="60" applyNumberFormat="1" applyAlignment="1"/>
    <xf numFmtId="9" fontId="34" fillId="0" borderId="0" xfId="56"/>
    <xf numFmtId="0" fontId="35" fillId="0" borderId="0" xfId="52" applyBorder="1"/>
    <xf numFmtId="0" fontId="8" fillId="0" borderId="18" xfId="60" applyNumberFormat="1" applyBorder="1" applyAlignment="1"/>
    <xf numFmtId="0" fontId="7" fillId="0" borderId="0" xfId="50"/>
    <xf numFmtId="0" fontId="36" fillId="0" borderId="0" xfId="58"/>
    <xf numFmtId="0" fontId="1" fillId="5" borderId="0" xfId="49"/>
    <xf numFmtId="0" fontId="22" fillId="37" borderId="0" xfId="48"/>
    <xf numFmtId="0" fontId="2" fillId="0" borderId="0" xfId="53"/>
    <xf numFmtId="0" fontId="0" fillId="40" borderId="0" xfId="0" applyFill="1"/>
    <xf numFmtId="0" fontId="0" fillId="41" borderId="0" xfId="0" applyFill="1"/>
    <xf numFmtId="0" fontId="0" fillId="42" borderId="0" xfId="0" applyFill="1"/>
    <xf numFmtId="0" fontId="0" fillId="43" borderId="3" xfId="0" applyFill="1" applyBorder="1"/>
    <xf numFmtId="0" fontId="0" fillId="0" borderId="3" xfId="0" applyBorder="1"/>
    <xf numFmtId="0" fontId="27" fillId="0" borderId="0" xfId="0" applyFont="1" applyAlignment="1">
      <alignment horizontal="left"/>
    </xf>
    <xf numFmtId="0" fontId="26" fillId="0" borderId="0" xfId="54" applyAlignment="1">
      <alignment vertical="top"/>
    </xf>
    <xf numFmtId="0" fontId="8" fillId="0" borderId="0" xfId="0" applyFont="1" applyAlignment="1">
      <alignment vertical="center"/>
    </xf>
    <xf numFmtId="0" fontId="1" fillId="5" borderId="0" xfId="49" applyAlignment="1">
      <alignment vertical="center"/>
    </xf>
    <xf numFmtId="0" fontId="1" fillId="5" borderId="0" xfId="49" applyAlignment="1">
      <alignment vertical="center" wrapText="1"/>
    </xf>
    <xf numFmtId="0" fontId="8" fillId="0" borderId="0" xfId="0" applyFont="1" applyAlignment="1">
      <alignment vertical="center" wrapText="1"/>
    </xf>
    <xf numFmtId="170" fontId="6" fillId="0" borderId="0" xfId="52" applyNumberFormat="1" applyFont="1" applyBorder="1" applyAlignment="1">
      <alignment horizontal="left" vertical="center" wrapText="1"/>
    </xf>
    <xf numFmtId="0" fontId="35" fillId="0" borderId="0" xfId="52" applyBorder="1" applyAlignment="1">
      <alignment horizontal="left" vertical="center"/>
    </xf>
    <xf numFmtId="0" fontId="6" fillId="0" borderId="0" xfId="52" applyFont="1" applyBorder="1" applyAlignment="1">
      <alignment horizontal="left" vertical="center" wrapText="1"/>
    </xf>
    <xf numFmtId="0" fontId="1" fillId="3" borderId="0" xfId="1" applyNumberFormat="1" applyAlignment="1">
      <alignment vertical="center" wrapText="1"/>
    </xf>
    <xf numFmtId="0" fontId="1" fillId="3" borderId="0" xfId="1" applyNumberFormat="1" applyAlignment="1">
      <alignment vertical="center"/>
    </xf>
    <xf numFmtId="0" fontId="2" fillId="0" borderId="3" xfId="53" applyBorder="1"/>
    <xf numFmtId="0" fontId="8" fillId="0" borderId="3" xfId="0" applyFont="1" applyBorder="1"/>
    <xf numFmtId="0" fontId="34" fillId="0" borderId="0" xfId="56" applyNumberFormat="1"/>
    <xf numFmtId="3" fontId="34" fillId="0" borderId="0" xfId="56" applyNumberFormat="1"/>
    <xf numFmtId="0" fontId="8" fillId="0" borderId="4" xfId="0" applyFont="1" applyBorder="1"/>
    <xf numFmtId="0" fontId="8" fillId="0" borderId="4" xfId="60" applyNumberFormat="1" applyBorder="1" applyAlignment="1"/>
    <xf numFmtId="0" fontId="25" fillId="0" borderId="0" xfId="0" applyFont="1" applyAlignment="1">
      <alignment horizontal="left" vertical="top"/>
    </xf>
    <xf numFmtId="0" fontId="24" fillId="0" borderId="0" xfId="0" applyFont="1" applyAlignment="1">
      <alignment vertical="top"/>
    </xf>
    <xf numFmtId="0" fontId="0" fillId="0" borderId="0" xfId="0" applyAlignment="1">
      <alignment horizontal="center" vertical="center"/>
    </xf>
    <xf numFmtId="0" fontId="26" fillId="0" borderId="0" xfId="54"/>
    <xf numFmtId="49" fontId="33" fillId="3" borderId="0" xfId="1" applyFont="1" applyAlignment="1">
      <alignment horizontal="left" vertical="center"/>
    </xf>
    <xf numFmtId="49" fontId="1" fillId="3" borderId="0" xfId="1">
      <alignment horizontal="left" vertical="center" wrapText="1"/>
    </xf>
    <xf numFmtId="49" fontId="1" fillId="3" borderId="0" xfId="0" applyNumberFormat="1" applyFont="1" applyFill="1" applyAlignment="1">
      <alignment horizontal="left" vertical="center" wrapText="1"/>
    </xf>
    <xf numFmtId="49" fontId="1" fillId="3" borderId="0" xfId="0" applyNumberFormat="1" applyFont="1" applyFill="1" applyAlignment="1">
      <alignment horizontal="right" vertical="center" wrapText="1"/>
    </xf>
    <xf numFmtId="4" fontId="0" fillId="0" borderId="0" xfId="0" applyNumberFormat="1"/>
    <xf numFmtId="0" fontId="7" fillId="0" borderId="2" xfId="50" applyBorder="1"/>
    <xf numFmtId="0" fontId="8" fillId="4" borderId="2" xfId="55" applyNumberFormat="1" applyBorder="1">
      <alignment vertical="top"/>
    </xf>
    <xf numFmtId="0" fontId="8" fillId="4" borderId="0" xfId="55" applyNumberFormat="1">
      <alignment vertical="top"/>
    </xf>
    <xf numFmtId="0" fontId="7" fillId="0" borderId="3" xfId="50" applyBorder="1"/>
    <xf numFmtId="0" fontId="8" fillId="4" borderId="3" xfId="55" applyNumberFormat="1" applyBorder="1">
      <alignment vertical="top"/>
    </xf>
    <xf numFmtId="0" fontId="0" fillId="0" borderId="2" xfId="0" applyBorder="1" applyAlignment="1">
      <alignment vertical="top"/>
    </xf>
    <xf numFmtId="9" fontId="8" fillId="4" borderId="0" xfId="55" applyNumberFormat="1">
      <alignment vertical="top"/>
    </xf>
    <xf numFmtId="9" fontId="8" fillId="4" borderId="3" xfId="55" applyNumberFormat="1" applyBorder="1">
      <alignment vertical="top"/>
    </xf>
    <xf numFmtId="0" fontId="7" fillId="0" borderId="0" xfId="50" applyAlignment="1">
      <alignment horizontal="left"/>
    </xf>
    <xf numFmtId="0" fontId="8" fillId="0" borderId="2" xfId="0" applyFont="1" applyBorder="1"/>
    <xf numFmtId="0" fontId="8" fillId="0" borderId="2" xfId="60" applyNumberFormat="1" applyBorder="1" applyAlignment="1"/>
    <xf numFmtId="0" fontId="8" fillId="0" borderId="3" xfId="60" applyNumberFormat="1" applyBorder="1" applyAlignment="1"/>
    <xf numFmtId="0" fontId="0" fillId="0" borderId="3" xfId="0" applyBorder="1" applyAlignment="1">
      <alignment vertical="top"/>
    </xf>
    <xf numFmtId="4" fontId="8" fillId="4" borderId="0" xfId="55" applyNumberFormat="1">
      <alignment vertical="top"/>
    </xf>
    <xf numFmtId="0" fontId="7" fillId="0" borderId="2" xfId="50" applyBorder="1" applyAlignment="1">
      <alignment horizontal="left"/>
    </xf>
    <xf numFmtId="175" fontId="8" fillId="4" borderId="0" xfId="55" applyNumberFormat="1">
      <alignment vertical="top"/>
    </xf>
    <xf numFmtId="0" fontId="7" fillId="0" borderId="3" xfId="50" applyBorder="1" applyAlignment="1">
      <alignment horizontal="left"/>
    </xf>
    <xf numFmtId="175" fontId="8" fillId="4" borderId="3" xfId="55" applyNumberFormat="1" applyBorder="1">
      <alignment vertical="top"/>
    </xf>
    <xf numFmtId="175" fontId="0" fillId="0" borderId="3" xfId="0" applyNumberFormat="1" applyBorder="1"/>
    <xf numFmtId="175" fontId="8" fillId="4" borderId="2" xfId="55" applyNumberFormat="1" applyBorder="1">
      <alignment vertical="top"/>
    </xf>
    <xf numFmtId="9" fontId="0" fillId="0" borderId="0" xfId="0" applyNumberFormat="1"/>
    <xf numFmtId="0" fontId="0" fillId="0" borderId="2" xfId="0" applyBorder="1" applyAlignment="1">
      <alignment horizontal="left"/>
    </xf>
    <xf numFmtId="9" fontId="8" fillId="4" borderId="2" xfId="55" applyNumberFormat="1" applyBorder="1">
      <alignment vertical="top"/>
    </xf>
    <xf numFmtId="0" fontId="0" fillId="0" borderId="3" xfId="0" applyBorder="1" applyAlignment="1">
      <alignment horizontal="left"/>
    </xf>
    <xf numFmtId="4" fontId="8" fillId="4" borderId="2" xfId="55" applyNumberFormat="1" applyBorder="1">
      <alignment vertical="top"/>
    </xf>
    <xf numFmtId="4" fontId="8" fillId="4" borderId="3" xfId="55" applyNumberFormat="1" applyBorder="1">
      <alignment vertical="top"/>
    </xf>
    <xf numFmtId="0" fontId="7" fillId="0" borderId="0" xfId="50" applyAlignment="1">
      <alignment horizontal="left" wrapText="1"/>
    </xf>
    <xf numFmtId="0" fontId="2" fillId="0" borderId="0" xfId="0" applyFont="1"/>
    <xf numFmtId="175" fontId="0" fillId="0" borderId="0" xfId="0" applyNumberFormat="1"/>
    <xf numFmtId="175" fontId="22" fillId="37" borderId="0" xfId="48" applyNumberFormat="1"/>
    <xf numFmtId="0" fontId="36" fillId="0" borderId="0" xfId="58" applyAlignment="1">
      <alignment horizontal="left"/>
    </xf>
    <xf numFmtId="0" fontId="1" fillId="5" borderId="0" xfId="49" applyAlignment="1">
      <alignment horizontal="left"/>
    </xf>
    <xf numFmtId="0" fontId="1" fillId="3" borderId="0" xfId="1" applyNumberFormat="1" applyAlignment="1">
      <alignment horizontal="right"/>
    </xf>
    <xf numFmtId="10" fontId="8" fillId="4" borderId="0" xfId="55" applyNumberFormat="1">
      <alignment vertical="top"/>
    </xf>
    <xf numFmtId="10" fontId="8" fillId="0" borderId="0" xfId="55" applyNumberFormat="1" applyFill="1">
      <alignment vertical="top"/>
    </xf>
    <xf numFmtId="0" fontId="22" fillId="37" borderId="0" xfId="48" applyAlignment="1">
      <alignment horizontal="left"/>
    </xf>
    <xf numFmtId="0" fontId="35" fillId="0" borderId="0" xfId="52" applyBorder="1" applyAlignment="1">
      <alignment horizontal="left"/>
    </xf>
    <xf numFmtId="175" fontId="8" fillId="0" borderId="0" xfId="60" applyNumberFormat="1" applyAlignment="1"/>
    <xf numFmtId="175" fontId="8" fillId="0" borderId="1" xfId="60" applyNumberFormat="1" applyBorder="1" applyAlignment="1"/>
    <xf numFmtId="175" fontId="8" fillId="0" borderId="3" xfId="60" applyNumberFormat="1" applyBorder="1" applyAlignment="1"/>
    <xf numFmtId="175" fontId="35" fillId="0" borderId="2" xfId="52" applyNumberFormat="1" applyBorder="1"/>
    <xf numFmtId="4" fontId="8" fillId="0" borderId="0" xfId="60" applyNumberFormat="1" applyAlignment="1"/>
    <xf numFmtId="3" fontId="35" fillId="0" borderId="0" xfId="52" applyNumberFormat="1" applyBorder="1"/>
    <xf numFmtId="0" fontId="1" fillId="5" borderId="0" xfId="0" applyFont="1" applyFill="1"/>
    <xf numFmtId="0" fontId="0" fillId="5" borderId="0" xfId="0" applyFill="1"/>
    <xf numFmtId="0" fontId="5" fillId="5" borderId="0" xfId="0" applyFont="1" applyFill="1"/>
    <xf numFmtId="9" fontId="34" fillId="0" borderId="2" xfId="56" applyBorder="1"/>
    <xf numFmtId="0" fontId="0" fillId="0" borderId="4" xfId="0" applyBorder="1"/>
    <xf numFmtId="9" fontId="35" fillId="0" borderId="4" xfId="52" applyNumberFormat="1" applyBorder="1"/>
    <xf numFmtId="0" fontId="8" fillId="4" borderId="4" xfId="55" applyNumberFormat="1" applyBorder="1">
      <alignment vertical="top"/>
    </xf>
    <xf numFmtId="9" fontId="35" fillId="0" borderId="0" xfId="52" applyNumberFormat="1" applyBorder="1"/>
    <xf numFmtId="0" fontId="28" fillId="5" borderId="0" xfId="0" applyFont="1" applyFill="1"/>
    <xf numFmtId="0" fontId="0" fillId="0" borderId="0" xfId="0" applyAlignment="1">
      <alignment horizontal="right" vertical="top"/>
    </xf>
    <xf numFmtId="49" fontId="1" fillId="3" borderId="0" xfId="1" applyAlignment="1">
      <alignment horizontal="right" vertical="center" wrapText="1"/>
    </xf>
    <xf numFmtId="0" fontId="0" fillId="0" borderId="0" xfId="0" applyAlignment="1">
      <alignment wrapText="1"/>
    </xf>
    <xf numFmtId="10" fontId="34" fillId="0" borderId="0" xfId="56" applyNumberFormat="1"/>
    <xf numFmtId="9" fontId="0" fillId="0" borderId="0" xfId="0" applyNumberFormat="1" applyAlignment="1">
      <alignment vertical="top"/>
    </xf>
    <xf numFmtId="9" fontId="35" fillId="0" borderId="0" xfId="52" applyNumberFormat="1" applyBorder="1" applyAlignment="1">
      <alignment vertical="top"/>
    </xf>
    <xf numFmtId="0" fontId="7" fillId="0" borderId="0" xfId="50" applyAlignment="1">
      <alignment wrapText="1"/>
    </xf>
    <xf numFmtId="175" fontId="34" fillId="0" borderId="0" xfId="56" applyNumberFormat="1"/>
    <xf numFmtId="175" fontId="35" fillId="0" borderId="0" xfId="52" applyNumberFormat="1" applyBorder="1"/>
    <xf numFmtId="10" fontId="0" fillId="0" borderId="0" xfId="0" applyNumberFormat="1" applyAlignment="1">
      <alignment vertical="top"/>
    </xf>
    <xf numFmtId="10" fontId="0" fillId="0" borderId="17" xfId="0" applyNumberFormat="1" applyBorder="1"/>
    <xf numFmtId="175" fontId="34" fillId="0" borderId="2" xfId="56" applyNumberFormat="1" applyBorder="1"/>
    <xf numFmtId="175" fontId="34" fillId="0" borderId="3" xfId="56" applyNumberFormat="1" applyBorder="1"/>
    <xf numFmtId="175" fontId="8" fillId="0" borderId="2" xfId="60" applyNumberFormat="1" applyBorder="1" applyAlignment="1"/>
    <xf numFmtId="175" fontId="0" fillId="0" borderId="0" xfId="0" applyNumberFormat="1" applyAlignment="1">
      <alignment vertical="top"/>
    </xf>
    <xf numFmtId="0" fontId="23" fillId="0" borderId="0" xfId="0" applyFont="1" applyAlignment="1">
      <alignment horizontal="right"/>
    </xf>
    <xf numFmtId="4" fontId="0" fillId="0" borderId="2" xfId="0" applyNumberFormat="1" applyBorder="1"/>
    <xf numFmtId="4" fontId="0" fillId="0" borderId="3" xfId="0" applyNumberFormat="1" applyBorder="1"/>
    <xf numFmtId="175" fontId="35" fillId="0" borderId="3" xfId="52" applyNumberFormat="1" applyBorder="1"/>
    <xf numFmtId="0" fontId="0" fillId="5" borderId="0" xfId="0" applyFill="1" applyAlignment="1">
      <alignment horizontal="left"/>
    </xf>
    <xf numFmtId="4" fontId="1" fillId="5" borderId="0" xfId="49" applyNumberFormat="1"/>
    <xf numFmtId="0" fontId="1" fillId="3" borderId="2" xfId="1" applyNumberFormat="1" applyBorder="1" applyAlignment="1"/>
    <xf numFmtId="0" fontId="1" fillId="3" borderId="2" xfId="1" applyNumberFormat="1" applyBorder="1" applyAlignment="1">
      <alignment vertical="top"/>
    </xf>
    <xf numFmtId="0" fontId="1" fillId="3" borderId="2" xfId="1" applyNumberFormat="1" applyBorder="1" applyAlignment="1">
      <alignment horizontal="right" vertical="top"/>
    </xf>
    <xf numFmtId="174" fontId="34" fillId="0" borderId="0" xfId="56" applyNumberFormat="1"/>
    <xf numFmtId="174" fontId="34" fillId="0" borderId="3" xfId="56" applyNumberFormat="1" applyBorder="1"/>
    <xf numFmtId="0" fontId="1" fillId="3" borderId="2" xfId="1" applyNumberFormat="1" applyBorder="1" applyAlignment="1">
      <alignment horizontal="right"/>
    </xf>
    <xf numFmtId="49" fontId="1" fillId="3" borderId="2" xfId="1" applyBorder="1" applyAlignment="1">
      <alignment horizontal="right" vertical="center" wrapText="1"/>
    </xf>
    <xf numFmtId="9" fontId="34" fillId="0" borderId="3" xfId="56" applyBorder="1"/>
    <xf numFmtId="0" fontId="1" fillId="3" borderId="2" xfId="1" applyNumberFormat="1" applyBorder="1" applyAlignment="1">
      <alignment horizontal="left"/>
    </xf>
    <xf numFmtId="9" fontId="35" fillId="0" borderId="3" xfId="52" applyNumberFormat="1" applyBorder="1"/>
    <xf numFmtId="174" fontId="34" fillId="0" borderId="2" xfId="56" applyNumberFormat="1" applyBorder="1"/>
    <xf numFmtId="9" fontId="8" fillId="0" borderId="0" xfId="60" applyNumberFormat="1" applyAlignment="1"/>
    <xf numFmtId="3" fontId="34" fillId="0" borderId="0" xfId="56" applyNumberFormat="1" applyAlignment="1">
      <alignment horizontal="right"/>
    </xf>
    <xf numFmtId="0" fontId="36" fillId="0" borderId="0" xfId="58" applyAlignment="1">
      <alignment horizontal="left" indent="1"/>
    </xf>
    <xf numFmtId="0" fontId="34" fillId="0" borderId="2" xfId="56" applyNumberFormat="1" applyBorder="1" applyAlignment="1">
      <alignment horizontal="right"/>
    </xf>
    <xf numFmtId="0" fontId="34" fillId="0" borderId="3" xfId="56" applyNumberFormat="1" applyBorder="1" applyAlignment="1">
      <alignment horizontal="right"/>
    </xf>
    <xf numFmtId="4" fontId="34" fillId="0" borderId="2" xfId="56" applyNumberFormat="1" applyBorder="1"/>
    <xf numFmtId="4" fontId="34" fillId="0" borderId="0" xfId="56" applyNumberFormat="1"/>
    <xf numFmtId="4" fontId="34" fillId="0" borderId="3" xfId="56" applyNumberFormat="1" applyBorder="1"/>
    <xf numFmtId="0" fontId="7" fillId="0" borderId="4" xfId="50" applyBorder="1"/>
    <xf numFmtId="175" fontId="8" fillId="0" borderId="4" xfId="60" applyNumberFormat="1" applyBorder="1" applyAlignment="1"/>
    <xf numFmtId="9" fontId="8" fillId="0" borderId="2" xfId="60" applyNumberFormat="1" applyBorder="1" applyAlignment="1"/>
    <xf numFmtId="9" fontId="8" fillId="0" borderId="3" xfId="60" applyNumberFormat="1" applyBorder="1" applyAlignment="1"/>
    <xf numFmtId="9" fontId="0" fillId="0" borderId="2" xfId="0" applyNumberFormat="1" applyBorder="1"/>
    <xf numFmtId="9" fontId="0" fillId="0" borderId="3" xfId="0" applyNumberFormat="1" applyBorder="1"/>
    <xf numFmtId="9" fontId="8" fillId="0" borderId="4" xfId="60" applyNumberFormat="1" applyBorder="1" applyAlignment="1"/>
    <xf numFmtId="175" fontId="0" fillId="0" borderId="2" xfId="0" applyNumberFormat="1" applyBorder="1"/>
    <xf numFmtId="9" fontId="7" fillId="0" borderId="2" xfId="50" applyNumberFormat="1" applyBorder="1"/>
    <xf numFmtId="9" fontId="7" fillId="0" borderId="0" xfId="50" applyNumberFormat="1"/>
    <xf numFmtId="9" fontId="7" fillId="0" borderId="3" xfId="50" applyNumberFormat="1" applyBorder="1"/>
    <xf numFmtId="0" fontId="2" fillId="0" borderId="0" xfId="50" applyFont="1"/>
    <xf numFmtId="175" fontId="0" fillId="5" borderId="0" xfId="0" applyNumberFormat="1" applyFill="1"/>
    <xf numFmtId="175" fontId="0" fillId="0" borderId="0" xfId="0" applyNumberFormat="1" applyAlignment="1">
      <alignment horizontal="right"/>
    </xf>
    <xf numFmtId="0" fontId="36" fillId="0" borderId="0" xfId="58" quotePrefix="1"/>
    <xf numFmtId="175" fontId="7" fillId="0" borderId="0" xfId="50" applyNumberFormat="1"/>
    <xf numFmtId="0" fontId="7" fillId="0" borderId="0" xfId="50" applyAlignment="1">
      <alignment horizontal="left" indent="2"/>
    </xf>
    <xf numFmtId="4" fontId="0" fillId="0" borderId="0" xfId="0" applyNumberFormat="1" applyAlignment="1">
      <alignment horizontal="right"/>
    </xf>
    <xf numFmtId="0" fontId="0" fillId="0" borderId="2" xfId="0" applyBorder="1" applyAlignment="1">
      <alignment horizontal="right"/>
    </xf>
    <xf numFmtId="10" fontId="8" fillId="0" borderId="2" xfId="60" applyNumberFormat="1" applyBorder="1" applyAlignment="1"/>
    <xf numFmtId="10" fontId="8" fillId="4" borderId="2" xfId="55" applyNumberFormat="1" applyBorder="1">
      <alignment vertical="top"/>
    </xf>
    <xf numFmtId="10" fontId="8" fillId="0" borderId="0" xfId="60" applyNumberFormat="1" applyAlignment="1"/>
    <xf numFmtId="0" fontId="0" fillId="0" borderId="3" xfId="0" applyBorder="1" applyAlignment="1">
      <alignment horizontal="right"/>
    </xf>
    <xf numFmtId="10" fontId="8" fillId="0" borderId="3" xfId="60" applyNumberFormat="1" applyBorder="1" applyAlignment="1"/>
    <xf numFmtId="10" fontId="8" fillId="4" borderId="3" xfId="55" applyNumberFormat="1" applyBorder="1">
      <alignment vertical="top"/>
    </xf>
    <xf numFmtId="10" fontId="0" fillId="0" borderId="0" xfId="0" applyNumberFormat="1"/>
    <xf numFmtId="9" fontId="8" fillId="0" borderId="0" xfId="55" applyNumberFormat="1" applyFill="1">
      <alignment vertical="top"/>
    </xf>
    <xf numFmtId="175" fontId="8" fillId="0" borderId="0" xfId="55" applyNumberFormat="1" applyFill="1">
      <alignment vertical="top"/>
    </xf>
    <xf numFmtId="175" fontId="0" fillId="0" borderId="4" xfId="0" applyNumberFormat="1" applyBorder="1"/>
    <xf numFmtId="4" fontId="0" fillId="0" borderId="4" xfId="0" applyNumberFormat="1" applyBorder="1"/>
    <xf numFmtId="0" fontId="34" fillId="0" borderId="0" xfId="56" applyNumberFormat="1" applyAlignment="1">
      <alignment horizontal="right"/>
    </xf>
    <xf numFmtId="0" fontId="5" fillId="0" borderId="0" xfId="0" applyFont="1" applyAlignment="1">
      <alignment horizontal="right"/>
    </xf>
    <xf numFmtId="169" fontId="0" fillId="0" borderId="0" xfId="0" applyNumberFormat="1"/>
    <xf numFmtId="9" fontId="35" fillId="0" borderId="2" xfId="52" applyNumberFormat="1" applyBorder="1"/>
    <xf numFmtId="10" fontId="23" fillId="0" borderId="0" xfId="0" applyNumberFormat="1" applyFont="1" applyAlignment="1">
      <alignment horizontal="right"/>
    </xf>
    <xf numFmtId="0" fontId="34" fillId="0" borderId="2" xfId="56" applyNumberFormat="1" applyBorder="1"/>
    <xf numFmtId="0" fontId="22" fillId="37" borderId="0" xfId="48" applyAlignment="1">
      <alignment vertical="top"/>
    </xf>
    <xf numFmtId="169" fontId="8" fillId="0" borderId="0" xfId="60" applyNumberFormat="1" applyAlignment="1"/>
    <xf numFmtId="49" fontId="7" fillId="0" borderId="0" xfId="50" applyNumberFormat="1" applyAlignment="1">
      <alignment wrapText="1"/>
    </xf>
    <xf numFmtId="168" fontId="8" fillId="4" borderId="0" xfId="55">
      <alignment vertical="top"/>
    </xf>
    <xf numFmtId="169" fontId="34" fillId="0" borderId="0" xfId="56" applyNumberFormat="1"/>
    <xf numFmtId="169" fontId="8" fillId="4" borderId="0" xfId="55" applyNumberFormat="1">
      <alignment vertical="top"/>
    </xf>
    <xf numFmtId="49" fontId="0" fillId="0" borderId="0" xfId="0" applyNumberFormat="1"/>
    <xf numFmtId="175" fontId="8" fillId="0" borderId="0" xfId="60" applyNumberFormat="1" applyAlignment="1">
      <alignment vertical="center"/>
    </xf>
    <xf numFmtId="4" fontId="4" fillId="0" borderId="0" xfId="0" applyNumberFormat="1" applyFont="1" applyAlignment="1">
      <alignment vertical="top"/>
    </xf>
    <xf numFmtId="175" fontId="1" fillId="5" borderId="0" xfId="49" applyNumberFormat="1"/>
    <xf numFmtId="175" fontId="22" fillId="37" borderId="0" xfId="48" applyNumberFormat="1" applyAlignment="1">
      <alignment vertical="top"/>
    </xf>
    <xf numFmtId="169" fontId="35" fillId="0" borderId="0" xfId="52" applyNumberFormat="1" applyBorder="1"/>
    <xf numFmtId="3" fontId="8" fillId="0" borderId="0" xfId="60" applyAlignment="1"/>
    <xf numFmtId="3" fontId="8" fillId="4" borderId="0" xfId="55" applyNumberFormat="1">
      <alignment vertical="top"/>
    </xf>
    <xf numFmtId="0" fontId="22" fillId="37" borderId="0" xfId="48" applyAlignment="1">
      <alignment horizontal="right"/>
    </xf>
    <xf numFmtId="49" fontId="0" fillId="0" borderId="2" xfId="50" applyNumberFormat="1" applyFont="1" applyBorder="1"/>
    <xf numFmtId="49" fontId="7" fillId="0" borderId="0" xfId="50" applyNumberFormat="1"/>
    <xf numFmtId="49" fontId="7" fillId="0" borderId="3" xfId="50" applyNumberFormat="1" applyBorder="1"/>
    <xf numFmtId="175" fontId="34" fillId="0" borderId="2" xfId="56" applyNumberFormat="1" applyBorder="1" applyAlignment="1">
      <alignment horizontal="right"/>
    </xf>
    <xf numFmtId="175" fontId="34" fillId="0" borderId="0" xfId="56" applyNumberFormat="1" applyAlignment="1">
      <alignment horizontal="right"/>
    </xf>
    <xf numFmtId="175" fontId="34" fillId="0" borderId="3" xfId="56" applyNumberFormat="1" applyBorder="1" applyAlignment="1">
      <alignment horizontal="right"/>
    </xf>
    <xf numFmtId="175" fontId="8" fillId="4" borderId="2" xfId="55" applyNumberFormat="1" applyBorder="1" applyAlignment="1">
      <alignment horizontal="right" vertical="top"/>
    </xf>
    <xf numFmtId="175" fontId="8" fillId="4" borderId="0" xfId="55" applyNumberFormat="1" applyAlignment="1">
      <alignment horizontal="right" vertical="top"/>
    </xf>
    <xf numFmtId="175" fontId="22" fillId="37" borderId="0" xfId="48" applyNumberFormat="1" applyAlignment="1">
      <alignment horizontal="right"/>
    </xf>
    <xf numFmtId="175" fontId="35" fillId="0" borderId="0" xfId="52" applyNumberFormat="1" applyBorder="1" applyAlignment="1">
      <alignment horizontal="right"/>
    </xf>
    <xf numFmtId="0" fontId="1" fillId="5" borderId="0" xfId="49" applyAlignment="1">
      <alignment horizontal="right"/>
    </xf>
    <xf numFmtId="49" fontId="7" fillId="0" borderId="2" xfId="50" applyNumberFormat="1" applyBorder="1"/>
    <xf numFmtId="175" fontId="8" fillId="4" borderId="3" xfId="55" applyNumberFormat="1" applyBorder="1" applyAlignment="1">
      <alignment horizontal="right" vertical="top"/>
    </xf>
    <xf numFmtId="49" fontId="7" fillId="0" borderId="4" xfId="50" applyNumberFormat="1" applyBorder="1"/>
    <xf numFmtId="175" fontId="0" fillId="0" borderId="4" xfId="0" applyNumberFormat="1" applyBorder="1" applyAlignment="1">
      <alignment horizontal="right"/>
    </xf>
    <xf numFmtId="175" fontId="8" fillId="4" borderId="4" xfId="55" applyNumberFormat="1" applyBorder="1" applyAlignment="1">
      <alignment horizontal="right" vertical="top"/>
    </xf>
    <xf numFmtId="175" fontId="0" fillId="0" borderId="2" xfId="0" applyNumberFormat="1" applyBorder="1" applyAlignment="1">
      <alignment horizontal="right"/>
    </xf>
    <xf numFmtId="175" fontId="0" fillId="0" borderId="3" xfId="0" applyNumberFormat="1" applyBorder="1" applyAlignment="1">
      <alignment horizontal="right"/>
    </xf>
    <xf numFmtId="3" fontId="8" fillId="0" borderId="4" xfId="60" applyBorder="1" applyAlignment="1">
      <alignment horizontal="right"/>
    </xf>
    <xf numFmtId="3" fontId="8" fillId="0" borderId="0" xfId="60" applyAlignment="1">
      <alignment horizontal="right"/>
    </xf>
    <xf numFmtId="3" fontId="0" fillId="0" borderId="0" xfId="0" applyNumberFormat="1"/>
    <xf numFmtId="0" fontId="31" fillId="0" borderId="0" xfId="0" applyFont="1"/>
    <xf numFmtId="173" fontId="0" fillId="0" borderId="0" xfId="0" applyNumberFormat="1"/>
    <xf numFmtId="0" fontId="5" fillId="0" borderId="0" xfId="53" applyFont="1"/>
    <xf numFmtId="0" fontId="1" fillId="0" borderId="0" xfId="0" applyFont="1"/>
    <xf numFmtId="9" fontId="34" fillId="0" borderId="4" xfId="56" applyBorder="1"/>
    <xf numFmtId="171" fontId="34" fillId="0" borderId="2" xfId="56" applyNumberFormat="1" applyBorder="1"/>
    <xf numFmtId="171" fontId="34" fillId="0" borderId="0" xfId="56" applyNumberFormat="1"/>
    <xf numFmtId="4" fontId="2" fillId="0" borderId="0" xfId="0" applyNumberFormat="1" applyFont="1"/>
    <xf numFmtId="167" fontId="0" fillId="0" borderId="0" xfId="0" applyNumberFormat="1"/>
    <xf numFmtId="49" fontId="1" fillId="3" borderId="0" xfId="0" applyNumberFormat="1" applyFont="1" applyFill="1" applyAlignment="1">
      <alignment horizontal="left" vertical="center"/>
    </xf>
    <xf numFmtId="49" fontId="1" fillId="3" borderId="0" xfId="0" applyNumberFormat="1" applyFont="1" applyFill="1" applyAlignment="1">
      <alignment horizontal="right" vertical="center"/>
    </xf>
    <xf numFmtId="175" fontId="8" fillId="0" borderId="15" xfId="60" applyNumberFormat="1" applyBorder="1" applyAlignment="1"/>
    <xf numFmtId="3" fontId="1" fillId="3" borderId="0" xfId="0" applyNumberFormat="1" applyFont="1" applyFill="1" applyAlignment="1">
      <alignment horizontal="right" vertical="center"/>
    </xf>
    <xf numFmtId="0" fontId="34" fillId="0" borderId="3" xfId="56" applyNumberFormat="1" applyBorder="1"/>
    <xf numFmtId="0" fontId="0" fillId="0" borderId="0" xfId="0" applyAlignment="1">
      <alignment horizontal="left" vertical="top"/>
    </xf>
    <xf numFmtId="175" fontId="23" fillId="0" borderId="0" xfId="0" applyNumberFormat="1" applyFont="1" applyAlignment="1">
      <alignment horizontal="right"/>
    </xf>
    <xf numFmtId="0" fontId="0" fillId="0" borderId="4" xfId="0" applyBorder="1" applyAlignment="1">
      <alignment horizontal="left"/>
    </xf>
    <xf numFmtId="175" fontId="8" fillId="0" borderId="0" xfId="60" applyNumberFormat="1" applyAlignment="1">
      <alignment horizontal="right"/>
    </xf>
    <xf numFmtId="175" fontId="8" fillId="0" borderId="4" xfId="60" applyNumberFormat="1" applyBorder="1" applyAlignment="1">
      <alignment horizontal="right"/>
    </xf>
    <xf numFmtId="175" fontId="34" fillId="0" borderId="4" xfId="56" applyNumberFormat="1" applyBorder="1"/>
    <xf numFmtId="4" fontId="8" fillId="0" borderId="2" xfId="60" applyNumberFormat="1" applyBorder="1" applyAlignment="1"/>
    <xf numFmtId="4" fontId="8" fillId="0" borderId="4" xfId="60" applyNumberFormat="1" applyBorder="1" applyAlignment="1"/>
    <xf numFmtId="171" fontId="8" fillId="39" borderId="2" xfId="65" applyNumberFormat="1" applyFont="1" applyBorder="1" applyAlignment="1">
      <alignment horizontal="right"/>
    </xf>
    <xf numFmtId="172" fontId="8" fillId="39" borderId="2" xfId="65" applyNumberFormat="1" applyFont="1" applyBorder="1" applyAlignment="1">
      <alignment horizontal="right"/>
    </xf>
    <xf numFmtId="171" fontId="8" fillId="39" borderId="0" xfId="65" applyNumberFormat="1" applyFont="1" applyAlignment="1">
      <alignment horizontal="right"/>
    </xf>
    <xf numFmtId="172" fontId="8" fillId="39" borderId="0" xfId="65" applyNumberFormat="1" applyFont="1" applyAlignment="1">
      <alignment horizontal="right"/>
    </xf>
    <xf numFmtId="171" fontId="8" fillId="39" borderId="3" xfId="65" applyNumberFormat="1" applyFont="1" applyBorder="1" applyAlignment="1">
      <alignment horizontal="right"/>
    </xf>
    <xf numFmtId="172" fontId="8" fillId="39" borderId="3" xfId="65" applyNumberFormat="1" applyFont="1" applyBorder="1" applyAlignment="1">
      <alignment horizontal="right"/>
    </xf>
    <xf numFmtId="172" fontId="0" fillId="0" borderId="0" xfId="0" applyNumberFormat="1" applyAlignment="1">
      <alignment horizontal="right"/>
    </xf>
    <xf numFmtId="171" fontId="8" fillId="4" borderId="0" xfId="55" applyNumberFormat="1">
      <alignment vertical="top"/>
    </xf>
    <xf numFmtId="172" fontId="8" fillId="4" borderId="0" xfId="55" applyNumberFormat="1">
      <alignment vertical="top"/>
    </xf>
    <xf numFmtId="171" fontId="8" fillId="4" borderId="3" xfId="55" applyNumberFormat="1" applyBorder="1">
      <alignment vertical="top"/>
    </xf>
    <xf numFmtId="172" fontId="8" fillId="4" borderId="3" xfId="55" applyNumberFormat="1" applyBorder="1">
      <alignment vertical="top"/>
    </xf>
    <xf numFmtId="172" fontId="0" fillId="0" borderId="0" xfId="0" applyNumberFormat="1"/>
    <xf numFmtId="172" fontId="2" fillId="0" borderId="0" xfId="53" applyNumberFormat="1"/>
    <xf numFmtId="172" fontId="1" fillId="5" borderId="0" xfId="0" applyNumberFormat="1" applyFont="1" applyFill="1"/>
    <xf numFmtId="175" fontId="8" fillId="39" borderId="2" xfId="65" applyNumberFormat="1" applyFont="1" applyBorder="1"/>
    <xf numFmtId="175" fontId="8" fillId="39" borderId="0" xfId="65" applyNumberFormat="1" applyFont="1"/>
    <xf numFmtId="175" fontId="8" fillId="39" borderId="3" xfId="65" applyNumberFormat="1" applyFont="1" applyBorder="1"/>
    <xf numFmtId="0" fontId="7" fillId="0" borderId="0" xfId="64" applyAlignment="1">
      <alignment horizontal="left"/>
    </xf>
    <xf numFmtId="0" fontId="1" fillId="3" borderId="0" xfId="1" applyNumberFormat="1" applyAlignment="1">
      <alignment horizontal="right" wrapText="1"/>
    </xf>
    <xf numFmtId="0" fontId="1" fillId="3" borderId="0" xfId="1" applyNumberFormat="1" applyAlignment="1">
      <alignment horizontal="right" vertical="center" wrapText="1"/>
    </xf>
    <xf numFmtId="0" fontId="0" fillId="0" borderId="2" xfId="64" applyFont="1" applyBorder="1" applyAlignment="1">
      <alignment horizontal="left"/>
    </xf>
    <xf numFmtId="0" fontId="0" fillId="0" borderId="0" xfId="64" applyFont="1" applyAlignment="1">
      <alignment horizontal="left"/>
    </xf>
    <xf numFmtId="0" fontId="0" fillId="0" borderId="3" xfId="64" applyFont="1" applyBorder="1" applyAlignment="1">
      <alignment horizontal="left"/>
    </xf>
    <xf numFmtId="0" fontId="32" fillId="0" borderId="0" xfId="0" applyFont="1" applyAlignment="1">
      <alignment vertical="center"/>
    </xf>
    <xf numFmtId="9" fontId="8" fillId="39" borderId="0" xfId="65" applyNumberFormat="1" applyFont="1"/>
    <xf numFmtId="10" fontId="8" fillId="39" borderId="0" xfId="65" applyNumberFormat="1" applyFont="1"/>
    <xf numFmtId="0" fontId="8" fillId="2" borderId="0" xfId="51" applyAlignment="1" applyProtection="1">
      <alignment horizontal="left" vertical="top" wrapText="1"/>
      <protection locked="0"/>
    </xf>
    <xf numFmtId="0" fontId="7" fillId="38" borderId="0" xfId="59" applyAlignment="1" applyProtection="1">
      <protection locked="0"/>
    </xf>
    <xf numFmtId="0" fontId="8" fillId="2" borderId="0" xfId="51" applyProtection="1">
      <protection locked="0"/>
    </xf>
    <xf numFmtId="0" fontId="8" fillId="39" borderId="0" xfId="51" applyFill="1" applyProtection="1">
      <protection locked="0"/>
    </xf>
    <xf numFmtId="170" fontId="8" fillId="2" borderId="0" xfId="51" applyNumberFormat="1" applyAlignment="1" applyProtection="1">
      <alignment horizontal="left" vertical="top" wrapText="1"/>
      <protection locked="0"/>
    </xf>
    <xf numFmtId="0" fontId="7" fillId="38" borderId="2" xfId="59" applyBorder="1" applyAlignment="1" applyProtection="1">
      <protection locked="0"/>
    </xf>
    <xf numFmtId="0" fontId="7" fillId="38" borderId="3" xfId="59" applyBorder="1" applyAlignment="1" applyProtection="1">
      <protection locked="0"/>
    </xf>
    <xf numFmtId="9" fontId="7" fillId="38" borderId="0" xfId="59" applyNumberFormat="1" applyAlignment="1" applyProtection="1">
      <protection locked="0"/>
    </xf>
    <xf numFmtId="9" fontId="7" fillId="38" borderId="3" xfId="59" applyNumberFormat="1" applyBorder="1" applyAlignment="1" applyProtection="1">
      <protection locked="0"/>
    </xf>
    <xf numFmtId="0" fontId="7" fillId="38" borderId="0" xfId="59" applyAlignment="1" applyProtection="1">
      <alignment horizontal="right"/>
      <protection locked="0"/>
    </xf>
    <xf numFmtId="9" fontId="7" fillId="38" borderId="0" xfId="59" applyNumberFormat="1" applyAlignment="1" applyProtection="1">
      <alignment horizontal="right"/>
      <protection locked="0"/>
    </xf>
    <xf numFmtId="9" fontId="8" fillId="2" borderId="0" xfId="51" applyNumberFormat="1" applyProtection="1">
      <protection locked="0"/>
    </xf>
    <xf numFmtId="175" fontId="8" fillId="2" borderId="2" xfId="51" applyNumberFormat="1" applyBorder="1" applyProtection="1">
      <protection locked="0"/>
    </xf>
    <xf numFmtId="175" fontId="8" fillId="2" borderId="0" xfId="51" applyNumberFormat="1" applyProtection="1">
      <protection locked="0"/>
    </xf>
    <xf numFmtId="175" fontId="8" fillId="2" borderId="0" xfId="51" applyNumberFormat="1" applyAlignment="1" applyProtection="1">
      <alignment vertical="top"/>
      <protection locked="0"/>
    </xf>
    <xf numFmtId="175" fontId="8" fillId="2" borderId="3" xfId="51" applyNumberFormat="1" applyBorder="1" applyProtection="1">
      <protection locked="0"/>
    </xf>
    <xf numFmtId="9" fontId="8" fillId="2" borderId="2" xfId="51" applyNumberFormat="1" applyBorder="1" applyProtection="1">
      <protection locked="0"/>
    </xf>
    <xf numFmtId="9" fontId="7" fillId="38" borderId="2" xfId="59" applyNumberFormat="1" applyBorder="1" applyAlignment="1" applyProtection="1">
      <protection locked="0"/>
    </xf>
    <xf numFmtId="9" fontId="8" fillId="2" borderId="3" xfId="51" applyNumberFormat="1" applyBorder="1" applyProtection="1">
      <protection locked="0"/>
    </xf>
    <xf numFmtId="10" fontId="8" fillId="2" borderId="0" xfId="51" applyNumberFormat="1" applyProtection="1">
      <protection locked="0"/>
    </xf>
    <xf numFmtId="0" fontId="0" fillId="0" borderId="0" xfId="64" applyFont="1"/>
    <xf numFmtId="0" fontId="2" fillId="0" borderId="0" xfId="64" applyFont="1"/>
    <xf numFmtId="175" fontId="8" fillId="0" borderId="0" xfId="64" applyNumberFormat="1" applyFont="1" applyAlignment="1">
      <alignment vertical="top"/>
    </xf>
    <xf numFmtId="175" fontId="8" fillId="0" borderId="0" xfId="64" applyNumberFormat="1" applyFont="1"/>
    <xf numFmtId="0" fontId="7" fillId="0" borderId="0" xfId="64"/>
    <xf numFmtId="175" fontId="34" fillId="0" borderId="0" xfId="64" applyNumberFormat="1" applyFont="1"/>
    <xf numFmtId="176" fontId="0" fillId="0" borderId="2" xfId="0" applyNumberFormat="1" applyBorder="1"/>
    <xf numFmtId="176" fontId="8" fillId="2" borderId="2" xfId="51" applyNumberFormat="1" applyBorder="1" applyProtection="1">
      <protection locked="0"/>
    </xf>
    <xf numFmtId="176" fontId="0" fillId="0" borderId="0" xfId="0" applyNumberFormat="1"/>
    <xf numFmtId="176" fontId="8" fillId="4" borderId="0" xfId="55" applyNumberFormat="1">
      <alignment vertical="top"/>
    </xf>
    <xf numFmtId="176" fontId="8" fillId="2" borderId="0" xfId="51" applyNumberFormat="1" applyProtection="1">
      <protection locked="0"/>
    </xf>
    <xf numFmtId="176" fontId="8" fillId="2" borderId="0" xfId="51" applyNumberFormat="1" applyAlignment="1" applyProtection="1">
      <alignment vertical="top"/>
      <protection locked="0"/>
    </xf>
    <xf numFmtId="176" fontId="0" fillId="0" borderId="3" xfId="0" applyNumberFormat="1" applyBorder="1"/>
    <xf numFmtId="176" fontId="8" fillId="4" borderId="3" xfId="55" applyNumberFormat="1" applyBorder="1">
      <alignment vertical="top"/>
    </xf>
    <xf numFmtId="176" fontId="8" fillId="2" borderId="3" xfId="51" applyNumberFormat="1" applyBorder="1" applyProtection="1">
      <protection locked="0"/>
    </xf>
    <xf numFmtId="176" fontId="35" fillId="0" borderId="2" xfId="52" applyNumberFormat="1" applyBorder="1"/>
    <xf numFmtId="176" fontId="35" fillId="0" borderId="0" xfId="52" applyNumberFormat="1" applyBorder="1"/>
    <xf numFmtId="176" fontId="35" fillId="0" borderId="3" xfId="52" applyNumberFormat="1" applyBorder="1"/>
    <xf numFmtId="176" fontId="35" fillId="0" borderId="2" xfId="52" applyNumberFormat="1" applyBorder="1" applyAlignment="1">
      <alignment horizontal="right"/>
    </xf>
    <xf numFmtId="176" fontId="35" fillId="0" borderId="0" xfId="52" applyNumberFormat="1" applyBorder="1" applyAlignment="1">
      <alignment horizontal="right"/>
    </xf>
    <xf numFmtId="176" fontId="35" fillId="0" borderId="3" xfId="52" applyNumberFormat="1" applyBorder="1" applyAlignment="1">
      <alignment horizontal="right"/>
    </xf>
    <xf numFmtId="176" fontId="35" fillId="0" borderId="3" xfId="52" applyNumberFormat="1" applyBorder="1" applyAlignment="1">
      <alignment vertical="top"/>
    </xf>
    <xf numFmtId="176" fontId="34" fillId="0" borderId="2" xfId="56" applyNumberFormat="1" applyBorder="1"/>
    <xf numFmtId="176" fontId="34" fillId="0" borderId="0" xfId="56" applyNumberFormat="1"/>
    <xf numFmtId="176" fontId="8" fillId="4" borderId="2" xfId="55" applyNumberFormat="1" applyBorder="1">
      <alignment vertical="top"/>
    </xf>
    <xf numFmtId="176" fontId="8" fillId="0" borderId="2" xfId="60" applyNumberFormat="1" applyBorder="1" applyAlignment="1"/>
    <xf numFmtId="176" fontId="8" fillId="0" borderId="0" xfId="60" applyNumberFormat="1" applyAlignment="1"/>
    <xf numFmtId="176" fontId="34" fillId="0" borderId="3" xfId="56" applyNumberFormat="1" applyBorder="1"/>
    <xf numFmtId="176" fontId="8" fillId="0" borderId="3" xfId="60" applyNumberFormat="1" applyBorder="1" applyAlignment="1"/>
    <xf numFmtId="176" fontId="0" fillId="0" borderId="15" xfId="0" applyNumberFormat="1" applyBorder="1"/>
    <xf numFmtId="176" fontId="8" fillId="0" borderId="16" xfId="60" applyNumberFormat="1" applyBorder="1" applyAlignment="1"/>
    <xf numFmtId="176" fontId="35" fillId="0" borderId="0" xfId="52" applyNumberFormat="1" applyBorder="1" applyAlignment="1">
      <alignment vertical="top"/>
    </xf>
    <xf numFmtId="176" fontId="8" fillId="39" borderId="2" xfId="65" applyNumberFormat="1" applyFont="1" applyBorder="1"/>
    <xf numFmtId="176" fontId="8" fillId="39" borderId="0" xfId="65" applyNumberFormat="1" applyFont="1"/>
    <xf numFmtId="176" fontId="8" fillId="39" borderId="3" xfId="65" applyNumberFormat="1" applyFont="1" applyBorder="1"/>
    <xf numFmtId="0" fontId="1" fillId="3" borderId="19" xfId="1" applyNumberFormat="1" applyBorder="1" applyAlignment="1"/>
    <xf numFmtId="0" fontId="26" fillId="44" borderId="0" xfId="54" quotePrefix="1" applyFill="1"/>
    <xf numFmtId="0" fontId="26" fillId="44" borderId="20" xfId="54" quotePrefix="1" applyFill="1" applyBorder="1"/>
    <xf numFmtId="0" fontId="26" fillId="45" borderId="0" xfId="54" quotePrefix="1" applyFill="1"/>
    <xf numFmtId="0" fontId="26" fillId="45" borderId="20" xfId="54" quotePrefix="1" applyFill="1" applyBorder="1"/>
    <xf numFmtId="0" fontId="26" fillId="37" borderId="0" xfId="54" quotePrefix="1" applyFill="1"/>
    <xf numFmtId="0" fontId="26" fillId="37" borderId="20" xfId="54" quotePrefix="1" applyFill="1" applyBorder="1"/>
    <xf numFmtId="0" fontId="26" fillId="46" borderId="0" xfId="54" quotePrefix="1" applyFill="1"/>
    <xf numFmtId="0" fontId="26" fillId="46" borderId="20" xfId="54" quotePrefix="1" applyFill="1" applyBorder="1"/>
    <xf numFmtId="170" fontId="0" fillId="2" borderId="0" xfId="51" applyNumberFormat="1" applyFont="1" applyBorder="1" applyAlignment="1" applyProtection="1">
      <alignment horizontal="left" vertical="top" wrapText="1"/>
      <protection locked="0"/>
    </xf>
    <xf numFmtId="0" fontId="8" fillId="2" borderId="0" xfId="51" applyAlignment="1" applyProtection="1">
      <alignment wrapText="1"/>
      <protection locked="0"/>
    </xf>
    <xf numFmtId="0" fontId="0" fillId="0" borderId="0" xfId="0" applyFont="1" applyAlignment="1" applyProtection="1">
      <alignment vertical="center"/>
    </xf>
  </cellXfs>
  <cellStyles count="68">
    <cellStyle name="20% - Accent1" xfId="25" builtinId="30" hidden="1"/>
    <cellStyle name="20% - Accent2" xfId="29" builtinId="34" hidden="1"/>
    <cellStyle name="20% - Accent3" xfId="33" builtinId="38" hidden="1"/>
    <cellStyle name="20% - Accent4" xfId="37" builtinId="42" hidden="1"/>
    <cellStyle name="20% - Accent5" xfId="41" builtinId="46" hidden="1"/>
    <cellStyle name="20% - Accent6" xfId="45" builtinId="50" hidden="1"/>
    <cellStyle name="40% - Accent1" xfId="26" builtinId="31" hidden="1"/>
    <cellStyle name="40% - Accent2" xfId="30" builtinId="35" hidden="1"/>
    <cellStyle name="40% - Accent3" xfId="34" builtinId="39" hidden="1"/>
    <cellStyle name="40% - Accent4" xfId="38" builtinId="43" hidden="1"/>
    <cellStyle name="40% - Accent5" xfId="42" builtinId="47" hidden="1"/>
    <cellStyle name="40% - Accent6" xfId="46" builtinId="51" hidden="1"/>
    <cellStyle name="60% - Accent1" xfId="27" builtinId="32" hidden="1"/>
    <cellStyle name="60% - Accent2" xfId="31" builtinId="36" hidden="1"/>
    <cellStyle name="60% - Accent3" xfId="35" builtinId="40" hidden="1"/>
    <cellStyle name="60% - Accent4" xfId="39" builtinId="44" hidden="1"/>
    <cellStyle name="60% - Accent5" xfId="43" builtinId="48" hidden="1"/>
    <cellStyle name="60% - Accent6" xfId="47" builtinId="52" hidden="1"/>
    <cellStyle name="Accent1" xfId="24" builtinId="29" hidden="1"/>
    <cellStyle name="Accent2" xfId="28" builtinId="33" hidden="1"/>
    <cellStyle name="Accent3" xfId="32" builtinId="37" hidden="1"/>
    <cellStyle name="Accent4" xfId="36" builtinId="41" hidden="1"/>
    <cellStyle name="Accent5" xfId="40" builtinId="45" hidden="1"/>
    <cellStyle name="Accent6" xfId="44" builtinId="49" hidden="1"/>
    <cellStyle name="Annotation_CEPATNEI" xfId="58"/>
    <cellStyle name="Bad" xfId="61" builtinId="27" hidden="1"/>
    <cellStyle name="Bad" xfId="13" builtinId="27" hidden="1"/>
    <cellStyle name="Blank_CEPATNEI" xfId="55"/>
    <cellStyle name="Calculation" xfId="17" builtinId="22" hidden="1"/>
    <cellStyle name="Calculation_CEPATNEI" xfId="60"/>
    <cellStyle name="Check Cell" xfId="19" builtinId="23" hidden="1"/>
    <cellStyle name="ColumnHeading_CEPATNEI" xfId="1"/>
    <cellStyle name="Comma" xfId="57" builtinId="3" hidden="1"/>
    <cellStyle name="Comma" xfId="2" builtinId="3" hidden="1"/>
    <cellStyle name="Comma [0]" xfId="3" builtinId="6" hidden="1"/>
    <cellStyle name="Currency" xfId="4" builtinId="4" hidden="1"/>
    <cellStyle name="Currency [0]" xfId="5" builtinId="7" hidden="1"/>
    <cellStyle name="EmptyCell_CEPATNEI" xfId="64"/>
    <cellStyle name="Explanatory Text" xfId="22" builtinId="53" hidden="1"/>
    <cellStyle name="Fixed_CEPATNEI" xfId="59"/>
    <cellStyle name="Followed Hyperlink 2" xfId="67"/>
    <cellStyle name="Good" xfId="12" builtinId="26" hidden="1"/>
    <cellStyle name="Heading 1" xfId="8" builtinId="16" hidden="1"/>
    <cellStyle name="Heading 2" xfId="9" builtinId="17" hidden="1"/>
    <cellStyle name="Heading 3" xfId="10" builtinId="18" hidden="1"/>
    <cellStyle name="Heading 4" xfId="11" builtinId="19" hidden="1"/>
    <cellStyle name="Hyperlink" xfId="54" builtinId="8"/>
    <cellStyle name="Hyperlink 2" xfId="66"/>
    <cellStyle name="Input" xfId="15" builtinId="20" hidden="1"/>
    <cellStyle name="Input_CEPATNEI" xfId="51"/>
    <cellStyle name="Linked Cell" xfId="18" builtinId="24" hidden="1"/>
    <cellStyle name="LinkedTo_CEPATNEI" xfId="52"/>
    <cellStyle name="LinksFrom_CEPATNEI" xfId="56"/>
    <cellStyle name="Neutral" xfId="63" builtinId="28" hidden="1"/>
    <cellStyle name="Neutral" xfId="14" builtinId="28" hidden="1"/>
    <cellStyle name="Normal" xfId="0" builtinId="0" customBuiltin="1"/>
    <cellStyle name="Note" xfId="21" builtinId="10" hidden="1"/>
    <cellStyle name="Output" xfId="16" builtinId="21" hidden="1"/>
    <cellStyle name="Output_CEPATNEI" xfId="65"/>
    <cellStyle name="Percent" xfId="62" builtinId="5" hidden="1"/>
    <cellStyle name="Percent" xfId="6" builtinId="5" hidden="1"/>
    <cellStyle name="RowHeading_CEPATNEI" xfId="53"/>
    <cellStyle name="SectionHeading_CEPATNEI" xfId="49"/>
    <cellStyle name="SubSection_CEPATNEI" xfId="48"/>
    <cellStyle name="Text_CEPATNEI" xfId="50"/>
    <cellStyle name="Title" xfId="7" builtinId="15" hidden="1"/>
    <cellStyle name="Total" xfId="23" builtinId="25" hidden="1"/>
    <cellStyle name="Warning Text" xfId="20" builtinId="11" hidden="1"/>
  </cellStyles>
  <dxfs count="100">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border>
        <left style="thin">
          <color rgb="FFFF0000"/>
        </left>
        <right style="thin">
          <color rgb="FFFF0000"/>
        </right>
        <top style="thin">
          <color rgb="FFFF0000"/>
        </top>
        <bottom style="thin">
          <color rgb="FFFF0000"/>
        </bottom>
        <vertical/>
        <horizontal/>
      </border>
    </dxf>
    <dxf>
      <font>
        <b/>
        <i/>
        <color auto="1"/>
      </font>
      <fill>
        <patternFill>
          <bgColor rgb="FFFF0000"/>
        </patternFill>
      </fill>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colors>
    <mruColors>
      <color rgb="FFFF4343"/>
      <color rgb="FFFF9999"/>
      <color rgb="FFD086CC"/>
      <color rgb="FFFFAFAF"/>
      <color rgb="FF333F4F"/>
      <color rgb="FFF1DBF0"/>
      <color rgb="FF92D2EE"/>
      <color rgb="FF4B86CD"/>
      <color rgb="FF275792"/>
      <color rgb="FFFFE28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hyperlink" Target="#'Fixed charges'!A1"/><Relationship Id="rId13" Type="http://schemas.openxmlformats.org/officeDocument/2006/relationships/hyperlink" Target="#'Model map'!A1"/><Relationship Id="rId18" Type="http://schemas.openxmlformats.org/officeDocument/2006/relationships/hyperlink" Target="#'Inputs by network level'!A1"/><Relationship Id="rId26" Type="http://schemas.openxmlformats.org/officeDocument/2006/relationships/hyperlink" Target="#'Service model charges'!A1"/><Relationship Id="rId3" Type="http://schemas.openxmlformats.org/officeDocument/2006/relationships/hyperlink" Target="#'Customer contributions'!A1"/><Relationship Id="rId21" Type="http://schemas.openxmlformats.org/officeDocument/2006/relationships/hyperlink" Target="#'Inputs by customer type'!A1"/><Relationship Id="rId7" Type="http://schemas.openxmlformats.org/officeDocument/2006/relationships/hyperlink" Target="#'Capacity charges'!A1"/><Relationship Id="rId12" Type="http://schemas.openxmlformats.org/officeDocument/2006/relationships/hyperlink" Target="#'Version control'!A1"/><Relationship Id="rId17" Type="http://schemas.openxmlformats.org/officeDocument/2006/relationships/hyperlink" Target="#'General inputs'!A1"/><Relationship Id="rId25" Type="http://schemas.openxmlformats.org/officeDocument/2006/relationships/hyperlink" Target="#'Unit costs'!A1"/><Relationship Id="rId2" Type="http://schemas.openxmlformats.org/officeDocument/2006/relationships/hyperlink" Target="#'Service model assets'!A1"/><Relationship Id="rId16" Type="http://schemas.openxmlformats.org/officeDocument/2006/relationships/hyperlink" Target="#'Fixed inputs'!A1"/><Relationship Id="rId20" Type="http://schemas.openxmlformats.org/officeDocument/2006/relationships/hyperlink" Target="#'Named ranges'!A1"/><Relationship Id="rId1" Type="http://schemas.openxmlformats.org/officeDocument/2006/relationships/hyperlink" Target="#'Initial unit rates'!A1"/><Relationship Id="rId6" Type="http://schemas.openxmlformats.org/officeDocument/2006/relationships/hyperlink" Target="#'Unit rate charges'!A1"/><Relationship Id="rId11" Type="http://schemas.openxmlformats.org/officeDocument/2006/relationships/hyperlink" Target="#Cover!A1"/><Relationship Id="rId24" Type="http://schemas.openxmlformats.org/officeDocument/2006/relationships/hyperlink" Target="#'System peak demand'!A1"/><Relationship Id="rId5" Type="http://schemas.openxmlformats.org/officeDocument/2006/relationships/hyperlink" Target="#'Pseudo-load coefficients'!A1"/><Relationship Id="rId15" Type="http://schemas.openxmlformats.org/officeDocument/2006/relationships/hyperlink" Target="#Rounding!A1"/><Relationship Id="rId23" Type="http://schemas.openxmlformats.org/officeDocument/2006/relationships/hyperlink" Target="#'Load &amp; loss characteristics'!A1"/><Relationship Id="rId28" Type="http://schemas.openxmlformats.org/officeDocument/2006/relationships/hyperlink" Target="#'Net revenue summary'!A1"/><Relationship Id="rId10" Type="http://schemas.openxmlformats.org/officeDocument/2006/relationships/hyperlink" Target="#'Tariff summary'!A1"/><Relationship Id="rId19" Type="http://schemas.openxmlformats.org/officeDocument/2006/relationships/hyperlink" Target="#Index!A1"/><Relationship Id="rId4" Type="http://schemas.openxmlformats.org/officeDocument/2006/relationships/hyperlink" Target="#'Volume adjustments'!A1"/><Relationship Id="rId9" Type="http://schemas.openxmlformats.org/officeDocument/2006/relationships/hyperlink" Target="#'Reactive power charges'!A1"/><Relationship Id="rId14" Type="http://schemas.openxmlformats.org/officeDocument/2006/relationships/hyperlink" Target="#'Revenue matching'!A1"/><Relationship Id="rId22" Type="http://schemas.openxmlformats.org/officeDocument/2006/relationships/hyperlink" Target="#'Standing Charge Factors'!A1"/><Relationship Id="rId27" Type="http://schemas.openxmlformats.org/officeDocument/2006/relationships/hyperlink" Target="#'Output to other models'!A1"/></Relationships>
</file>

<file path=xl/drawings/drawing1.xml><?xml version="1.0" encoding="utf-8"?>
<xdr:wsDr xmlns:xdr="http://schemas.openxmlformats.org/drawingml/2006/spreadsheetDrawing" xmlns:a="http://schemas.openxmlformats.org/drawingml/2006/main">
  <xdr:twoCellAnchor editAs="oneCell">
    <xdr:from>
      <xdr:col>1</xdr:col>
      <xdr:colOff>10715</xdr:colOff>
      <xdr:row>1</xdr:row>
      <xdr:rowOff>0</xdr:rowOff>
    </xdr:from>
    <xdr:to>
      <xdr:col>1</xdr:col>
      <xdr:colOff>576262</xdr:colOff>
      <xdr:row>3</xdr:row>
      <xdr:rowOff>25713</xdr:rowOff>
    </xdr:to>
    <xdr:pic>
      <xdr:nvPicPr>
        <xdr:cNvPr id="4" name="Picture 3" descr="S:\Administration\Logos\CEPA\CEPA 4 squares only.bmp">
          <a:extLst>
            <a:ext uri="{FF2B5EF4-FFF2-40B4-BE49-F238E27FC236}">
              <a16:creationId xmlns:a16="http://schemas.microsoft.com/office/drawing/2014/main" id="{4E92DAD1-BA72-4052-9615-69264D9714B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9309" y="190500"/>
          <a:ext cx="565547" cy="573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3</xdr:row>
      <xdr:rowOff>101201</xdr:rowOff>
    </xdr:from>
    <xdr:to>
      <xdr:col>1</xdr:col>
      <xdr:colOff>701278</xdr:colOff>
      <xdr:row>4</xdr:row>
      <xdr:rowOff>97670</xdr:rowOff>
    </xdr:to>
    <xdr:pic>
      <xdr:nvPicPr>
        <xdr:cNvPr id="7" name="Picture 6" descr="Image result for tnei">
          <a:extLst>
            <a:ext uri="{FF2B5EF4-FFF2-40B4-BE49-F238E27FC236}">
              <a16:creationId xmlns:a16="http://schemas.microsoft.com/office/drawing/2014/main" id="{E5AF8E0B-C597-4F05-9DDE-E6B6DFB8B735}"/>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78594" y="839389"/>
          <a:ext cx="701278" cy="2584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1098081</xdr:colOff>
      <xdr:row>39</xdr:row>
      <xdr:rowOff>71468</xdr:rowOff>
    </xdr:from>
    <xdr:to>
      <xdr:col>7</xdr:col>
      <xdr:colOff>1103757</xdr:colOff>
      <xdr:row>40</xdr:row>
      <xdr:rowOff>26336</xdr:rowOff>
    </xdr:to>
    <xdr:cxnSp macro="">
      <xdr:nvCxnSpPr>
        <xdr:cNvPr id="151" name="Straight Arrow Connector 150">
          <a:extLst>
            <a:ext uri="{FF2B5EF4-FFF2-40B4-BE49-F238E27FC236}">
              <a16:creationId xmlns:a16="http://schemas.microsoft.com/office/drawing/2014/main" id="{00000000-0008-0000-0300-000097000000}"/>
            </a:ext>
          </a:extLst>
        </xdr:cNvPr>
        <xdr:cNvCxnSpPr>
          <a:cxnSpLocks/>
          <a:stCxn id="177" idx="2"/>
          <a:endCxn id="141" idx="0"/>
        </xdr:cNvCxnSpPr>
      </xdr:nvCxnSpPr>
      <xdr:spPr>
        <a:xfrm flipH="1">
          <a:off x="4309367" y="7593497"/>
          <a:ext cx="5676" cy="139925"/>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8</xdr:col>
      <xdr:colOff>1684922</xdr:colOff>
      <xdr:row>39</xdr:row>
      <xdr:rowOff>61911</xdr:rowOff>
    </xdr:from>
    <xdr:to>
      <xdr:col>8</xdr:col>
      <xdr:colOff>1691471</xdr:colOff>
      <xdr:row>43</xdr:row>
      <xdr:rowOff>153527</xdr:rowOff>
    </xdr:to>
    <xdr:cxnSp macro="">
      <xdr:nvCxnSpPr>
        <xdr:cNvPr id="152" name="Straight Arrow Connector 151">
          <a:extLst>
            <a:ext uri="{FF2B5EF4-FFF2-40B4-BE49-F238E27FC236}">
              <a16:creationId xmlns:a16="http://schemas.microsoft.com/office/drawing/2014/main" id="{00000000-0008-0000-0300-000098000000}"/>
            </a:ext>
          </a:extLst>
        </xdr:cNvPr>
        <xdr:cNvCxnSpPr>
          <a:cxnSpLocks/>
          <a:stCxn id="178" idx="2"/>
          <a:endCxn id="147" idx="0"/>
        </xdr:cNvCxnSpPr>
      </xdr:nvCxnSpPr>
      <xdr:spPr>
        <a:xfrm>
          <a:off x="6659693" y="7583940"/>
          <a:ext cx="6549" cy="864501"/>
        </a:xfrm>
        <a:prstGeom prst="straightConnector1">
          <a:avLst/>
        </a:prstGeom>
        <a:noFill/>
        <a:ln w="6350" cap="flat" cmpd="sng" algn="ctr">
          <a:solidFill>
            <a:sysClr val="windowText" lastClr="000000"/>
          </a:solidFill>
          <a:prstDash val="solid"/>
          <a:miter lim="800000"/>
          <a:tailEnd type="triangle"/>
        </a:ln>
        <a:effectLst/>
      </xdr:spPr>
    </xdr:cxnSp>
    <xdr:clientData/>
  </xdr:twoCellAnchor>
  <xdr:twoCellAnchor>
    <xdr:from>
      <xdr:col>5</xdr:col>
      <xdr:colOff>463187</xdr:colOff>
      <xdr:row>5</xdr:row>
      <xdr:rowOff>175531</xdr:rowOff>
    </xdr:from>
    <xdr:to>
      <xdr:col>8</xdr:col>
      <xdr:colOff>4539292</xdr:colOff>
      <xdr:row>50</xdr:row>
      <xdr:rowOff>92876</xdr:rowOff>
    </xdr:to>
    <xdr:grpSp>
      <xdr:nvGrpSpPr>
        <xdr:cNvPr id="44" name="CDCM_map_1">
          <a:extLst>
            <a:ext uri="{FF2B5EF4-FFF2-40B4-BE49-F238E27FC236}">
              <a16:creationId xmlns:a16="http://schemas.microsoft.com/office/drawing/2014/main" id="{00000000-0008-0000-0300-00002C000000}"/>
            </a:ext>
          </a:extLst>
        </xdr:cNvPr>
        <xdr:cNvGrpSpPr/>
      </xdr:nvGrpSpPr>
      <xdr:grpSpPr>
        <a:xfrm>
          <a:off x="1296625" y="1128031"/>
          <a:ext cx="7981355" cy="8489845"/>
          <a:chOff x="1432016" y="1079046"/>
          <a:chExt cx="8125590" cy="8647688"/>
        </a:xfrm>
      </xdr:grpSpPr>
      <xdr:grpSp>
        <xdr:nvGrpSpPr>
          <xdr:cNvPr id="2" name="CDCM_map">
            <a:extLst>
              <a:ext uri="{FF2B5EF4-FFF2-40B4-BE49-F238E27FC236}">
                <a16:creationId xmlns:a16="http://schemas.microsoft.com/office/drawing/2014/main" id="{00000000-0008-0000-0300-000002000000}"/>
              </a:ext>
            </a:extLst>
          </xdr:cNvPr>
          <xdr:cNvGrpSpPr/>
        </xdr:nvGrpSpPr>
        <xdr:grpSpPr>
          <a:xfrm>
            <a:off x="1432016" y="1079046"/>
            <a:ext cx="8125590" cy="8647688"/>
            <a:chOff x="1246956" y="1079046"/>
            <a:chExt cx="8125593" cy="8647381"/>
          </a:xfrm>
        </xdr:grpSpPr>
        <xdr:sp macro="" textlink="">
          <xdr:nvSpPr>
            <xdr:cNvPr id="51" name="Rectangle 50">
              <a:extLst>
                <a:ext uri="{FF2B5EF4-FFF2-40B4-BE49-F238E27FC236}">
                  <a16:creationId xmlns:a16="http://schemas.microsoft.com/office/drawing/2014/main" id="{00000000-0008-0000-0300-000033000000}"/>
                </a:ext>
              </a:extLst>
            </xdr:cNvPr>
            <xdr:cNvSpPr/>
          </xdr:nvSpPr>
          <xdr:spPr>
            <a:xfrm>
              <a:off x="1255889" y="3212037"/>
              <a:ext cx="8106270" cy="5573667"/>
            </a:xfrm>
            <a:prstGeom prst="rect">
              <a:avLst/>
            </a:prstGeom>
            <a:solidFill>
              <a:schemeClr val="accent5">
                <a:lumMod val="75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sheets</a:t>
              </a:r>
            </a:p>
          </xdr:txBody>
        </xdr:sp>
        <xdr:sp macro="" textlink="">
          <xdr:nvSpPr>
            <xdr:cNvPr id="52" name="Rectangle 51">
              <a:extLst>
                <a:ext uri="{FF2B5EF4-FFF2-40B4-BE49-F238E27FC236}">
                  <a16:creationId xmlns:a16="http://schemas.microsoft.com/office/drawing/2014/main" id="{00000000-0008-0000-0300-000034000000}"/>
                </a:ext>
              </a:extLst>
            </xdr:cNvPr>
            <xdr:cNvSpPr/>
          </xdr:nvSpPr>
          <xdr:spPr>
            <a:xfrm>
              <a:off x="1460840" y="5055280"/>
              <a:ext cx="7790962" cy="2199278"/>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Calculation of charges before revenue matching</a:t>
              </a:r>
            </a:p>
          </xdr:txBody>
        </xdr:sp>
        <xdr:sp macro="" textlink="">
          <xdr:nvSpPr>
            <xdr:cNvPr id="53" name="Rectangle 52">
              <a:extLst>
                <a:ext uri="{FF2B5EF4-FFF2-40B4-BE49-F238E27FC236}">
                  <a16:creationId xmlns:a16="http://schemas.microsoft.com/office/drawing/2014/main" id="{00000000-0008-0000-0300-000035000000}"/>
                </a:ext>
              </a:extLst>
            </xdr:cNvPr>
            <xdr:cNvSpPr/>
          </xdr:nvSpPr>
          <xdr:spPr>
            <a:xfrm>
              <a:off x="1460840" y="3476855"/>
              <a:ext cx="7790962" cy="1510164"/>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Cost and volumes characteristics</a:t>
              </a:r>
            </a:p>
          </xdr:txBody>
        </xdr:sp>
        <xdr:sp macro="" textlink="">
          <xdr:nvSpPr>
            <xdr:cNvPr id="54" name="Rectangle 53">
              <a:extLst>
                <a:ext uri="{FF2B5EF4-FFF2-40B4-BE49-F238E27FC236}">
                  <a16:creationId xmlns:a16="http://schemas.microsoft.com/office/drawing/2014/main" id="{00000000-0008-0000-0300-000036000000}"/>
                </a:ext>
              </a:extLst>
            </xdr:cNvPr>
            <xdr:cNvSpPr/>
          </xdr:nvSpPr>
          <xdr:spPr>
            <a:xfrm>
              <a:off x="1460840" y="7355924"/>
              <a:ext cx="7790962" cy="1352515"/>
            </a:xfrm>
            <a:prstGeom prst="rect">
              <a:avLst/>
            </a:prstGeom>
            <a:solidFill>
              <a:schemeClr val="accent5"/>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Revenue matching and rounding</a:t>
              </a:r>
            </a:p>
          </xdr:txBody>
        </xdr:sp>
        <xdr:sp macro="" textlink="">
          <xdr:nvSpPr>
            <xdr:cNvPr id="55" name="Rectangle 54">
              <a:hlinkClick xmlns:r="http://schemas.openxmlformats.org/officeDocument/2006/relationships" r:id="rId1"/>
              <a:extLst>
                <a:ext uri="{FF2B5EF4-FFF2-40B4-BE49-F238E27FC236}">
                  <a16:creationId xmlns:a16="http://schemas.microsoft.com/office/drawing/2014/main" id="{00000000-0008-0000-0300-000037000000}"/>
                </a:ext>
              </a:extLst>
            </xdr:cNvPr>
            <xdr:cNvSpPr/>
          </xdr:nvSpPr>
          <xdr:spPr>
            <a:xfrm>
              <a:off x="3020448" y="5944912"/>
              <a:ext cx="1420639" cy="45360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Initial unit rates</a:t>
              </a:r>
            </a:p>
          </xdr:txBody>
        </xdr:sp>
        <xdr:sp macro="" textlink="">
          <xdr:nvSpPr>
            <xdr:cNvPr id="56" name="Rectangle 55">
              <a:hlinkClick xmlns:r="http://schemas.openxmlformats.org/officeDocument/2006/relationships" r:id="rId2"/>
              <a:extLst>
                <a:ext uri="{FF2B5EF4-FFF2-40B4-BE49-F238E27FC236}">
                  <a16:creationId xmlns:a16="http://schemas.microsoft.com/office/drawing/2014/main" id="{00000000-0008-0000-0300-000038000000}"/>
                </a:ext>
              </a:extLst>
            </xdr:cNvPr>
            <xdr:cNvSpPr/>
          </xdr:nvSpPr>
          <xdr:spPr>
            <a:xfrm>
              <a:off x="6247429" y="4342796"/>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assets</a:t>
              </a:r>
            </a:p>
          </xdr:txBody>
        </xdr:sp>
        <xdr:sp macro="" textlink="">
          <xdr:nvSpPr>
            <xdr:cNvPr id="57" name="Rectangle 56">
              <a:hlinkClick xmlns:r="http://schemas.openxmlformats.org/officeDocument/2006/relationships" r:id="rId3"/>
              <a:extLst>
                <a:ext uri="{FF2B5EF4-FFF2-40B4-BE49-F238E27FC236}">
                  <a16:creationId xmlns:a16="http://schemas.microsoft.com/office/drawing/2014/main" id="{00000000-0008-0000-0300-000039000000}"/>
                </a:ext>
              </a:extLst>
            </xdr:cNvPr>
            <xdr:cNvSpPr/>
          </xdr:nvSpPr>
          <xdr:spPr>
            <a:xfrm>
              <a:off x="5479227" y="3819681"/>
              <a:ext cx="1416658"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Customer contributions</a:t>
              </a:r>
            </a:p>
          </xdr:txBody>
        </xdr:sp>
        <xdr:sp macro="" textlink="">
          <xdr:nvSpPr>
            <xdr:cNvPr id="58" name="Rectangle 57">
              <a:hlinkClick xmlns:r="http://schemas.openxmlformats.org/officeDocument/2006/relationships" r:id="rId4"/>
              <a:extLst>
                <a:ext uri="{FF2B5EF4-FFF2-40B4-BE49-F238E27FC236}">
                  <a16:creationId xmlns:a16="http://schemas.microsoft.com/office/drawing/2014/main" id="{00000000-0008-0000-0300-00003A000000}"/>
                </a:ext>
              </a:extLst>
            </xdr:cNvPr>
            <xdr:cNvSpPr/>
          </xdr:nvSpPr>
          <xdr:spPr>
            <a:xfrm>
              <a:off x="6972972" y="3819681"/>
              <a:ext cx="1418400"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Volume adjustments</a:t>
              </a:r>
            </a:p>
          </xdr:txBody>
        </xdr:sp>
        <xdr:sp macro="" textlink="">
          <xdr:nvSpPr>
            <xdr:cNvPr id="59" name="Rectangle 58">
              <a:hlinkClick xmlns:r="http://schemas.openxmlformats.org/officeDocument/2006/relationships" r:id="rId5"/>
              <a:extLst>
                <a:ext uri="{FF2B5EF4-FFF2-40B4-BE49-F238E27FC236}">
                  <a16:creationId xmlns:a16="http://schemas.microsoft.com/office/drawing/2014/main" id="{00000000-0008-0000-0300-00003B000000}"/>
                </a:ext>
              </a:extLst>
            </xdr:cNvPr>
            <xdr:cNvSpPr/>
          </xdr:nvSpPr>
          <xdr:spPr>
            <a:xfrm>
              <a:off x="4707157" y="4342795"/>
              <a:ext cx="1467192"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Pseudo-load coefficients</a:t>
              </a:r>
            </a:p>
          </xdr:txBody>
        </xdr:sp>
        <xdr:sp macro="" textlink="">
          <xdr:nvSpPr>
            <xdr:cNvPr id="60" name="Rectangle 59">
              <a:hlinkClick xmlns:r="http://schemas.openxmlformats.org/officeDocument/2006/relationships" r:id="rId6"/>
              <a:extLst>
                <a:ext uri="{FF2B5EF4-FFF2-40B4-BE49-F238E27FC236}">
                  <a16:creationId xmlns:a16="http://schemas.microsoft.com/office/drawing/2014/main" id="{00000000-0008-0000-0300-00003C000000}"/>
                </a:ext>
              </a:extLst>
            </xdr:cNvPr>
            <xdr:cNvSpPr/>
          </xdr:nvSpPr>
          <xdr:spPr>
            <a:xfrm>
              <a:off x="2280936" y="6655943"/>
              <a:ext cx="1412147"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rate charges</a:t>
              </a:r>
            </a:p>
          </xdr:txBody>
        </xdr:sp>
        <xdr:sp macro="" textlink="">
          <xdr:nvSpPr>
            <xdr:cNvPr id="61" name="Rectangle 60">
              <a:hlinkClick xmlns:r="http://schemas.openxmlformats.org/officeDocument/2006/relationships" r:id="rId7"/>
              <a:extLst>
                <a:ext uri="{FF2B5EF4-FFF2-40B4-BE49-F238E27FC236}">
                  <a16:creationId xmlns:a16="http://schemas.microsoft.com/office/drawing/2014/main" id="{00000000-0008-0000-0300-00003D000000}"/>
                </a:ext>
              </a:extLst>
            </xdr:cNvPr>
            <xdr:cNvSpPr/>
          </xdr:nvSpPr>
          <xdr:spPr>
            <a:xfrm>
              <a:off x="5372909" y="6655943"/>
              <a:ext cx="1427723" cy="455140"/>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Capacity charges</a:t>
              </a:r>
            </a:p>
          </xdr:txBody>
        </xdr:sp>
        <xdr:sp macro="" textlink="">
          <xdr:nvSpPr>
            <xdr:cNvPr id="62" name="Rectangle 61">
              <a:hlinkClick xmlns:r="http://schemas.openxmlformats.org/officeDocument/2006/relationships" r:id="rId8"/>
              <a:extLst>
                <a:ext uri="{FF2B5EF4-FFF2-40B4-BE49-F238E27FC236}">
                  <a16:creationId xmlns:a16="http://schemas.microsoft.com/office/drawing/2014/main" id="{00000000-0008-0000-0300-00003E000000}"/>
                </a:ext>
              </a:extLst>
            </xdr:cNvPr>
            <xdr:cNvSpPr/>
          </xdr:nvSpPr>
          <xdr:spPr>
            <a:xfrm>
              <a:off x="6929194" y="6650393"/>
              <a:ext cx="1427724" cy="466241"/>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charges</a:t>
              </a:r>
            </a:p>
          </xdr:txBody>
        </xdr:sp>
        <xdr:sp macro="" textlink="">
          <xdr:nvSpPr>
            <xdr:cNvPr id="63" name="Rectangle 62">
              <a:hlinkClick xmlns:r="http://schemas.openxmlformats.org/officeDocument/2006/relationships" r:id="rId9"/>
              <a:extLst>
                <a:ext uri="{FF2B5EF4-FFF2-40B4-BE49-F238E27FC236}">
                  <a16:creationId xmlns:a16="http://schemas.microsoft.com/office/drawing/2014/main" id="{00000000-0008-0000-0300-00003F000000}"/>
                </a:ext>
              </a:extLst>
            </xdr:cNvPr>
            <xdr:cNvSpPr/>
          </xdr:nvSpPr>
          <xdr:spPr>
            <a:xfrm>
              <a:off x="3821645" y="6653114"/>
              <a:ext cx="1422702" cy="46079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Reactive power charges</a:t>
              </a:r>
            </a:p>
          </xdr:txBody>
        </xdr:sp>
        <xdr:cxnSp macro="">
          <xdr:nvCxnSpPr>
            <xdr:cNvPr id="64" name="Straight Arrow Connector 63">
              <a:extLst>
                <a:ext uri="{FF2B5EF4-FFF2-40B4-BE49-F238E27FC236}">
                  <a16:creationId xmlns:a16="http://schemas.microsoft.com/office/drawing/2014/main" id="{00000000-0008-0000-0300-000040000000}"/>
                </a:ext>
              </a:extLst>
            </xdr:cNvPr>
            <xdr:cNvCxnSpPr>
              <a:stCxn id="55" idx="2"/>
              <a:endCxn id="60" idx="0"/>
            </xdr:cNvCxnSpPr>
          </xdr:nvCxnSpPr>
          <xdr:spPr>
            <a:xfrm flipH="1">
              <a:off x="2982927" y="6398515"/>
              <a:ext cx="749882" cy="257428"/>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5" name="Straight Arrow Connector 64">
              <a:extLst>
                <a:ext uri="{FF2B5EF4-FFF2-40B4-BE49-F238E27FC236}">
                  <a16:creationId xmlns:a16="http://schemas.microsoft.com/office/drawing/2014/main" id="{00000000-0008-0000-0300-000041000000}"/>
                </a:ext>
              </a:extLst>
            </xdr:cNvPr>
            <xdr:cNvCxnSpPr>
              <a:cxnSpLocks/>
              <a:stCxn id="91" idx="2"/>
              <a:endCxn id="55" idx="0"/>
            </xdr:cNvCxnSpPr>
          </xdr:nvCxnSpPr>
          <xdr:spPr>
            <a:xfrm flipH="1">
              <a:off x="3732809" y="5798090"/>
              <a:ext cx="5682" cy="146822"/>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6" name="Straight Arrow Connector 65">
              <a:extLst>
                <a:ext uri="{FF2B5EF4-FFF2-40B4-BE49-F238E27FC236}">
                  <a16:creationId xmlns:a16="http://schemas.microsoft.com/office/drawing/2014/main" id="{00000000-0008-0000-0300-000042000000}"/>
                </a:ext>
              </a:extLst>
            </xdr:cNvPr>
            <xdr:cNvCxnSpPr>
              <a:cxnSpLocks/>
              <a:stCxn id="92" idx="2"/>
              <a:endCxn id="61" idx="0"/>
            </xdr:cNvCxnSpPr>
          </xdr:nvCxnSpPr>
          <xdr:spPr>
            <a:xfrm>
              <a:off x="6080216" y="5788583"/>
              <a:ext cx="6555" cy="867360"/>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7" name="Straight Arrow Connector 66">
              <a:extLst>
                <a:ext uri="{FF2B5EF4-FFF2-40B4-BE49-F238E27FC236}">
                  <a16:creationId xmlns:a16="http://schemas.microsoft.com/office/drawing/2014/main" id="{00000000-0008-0000-0300-000043000000}"/>
                </a:ext>
              </a:extLst>
            </xdr:cNvPr>
            <xdr:cNvCxnSpPr>
              <a:cxnSpLocks/>
              <a:stCxn id="61" idx="3"/>
              <a:endCxn id="62" idx="1"/>
            </xdr:cNvCxnSpPr>
          </xdr:nvCxnSpPr>
          <xdr:spPr>
            <a:xfrm>
              <a:off x="6800632" y="6883513"/>
              <a:ext cx="128562" cy="1"/>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68" name="Straight Arrow Connector 67">
              <a:extLst>
                <a:ext uri="{FF2B5EF4-FFF2-40B4-BE49-F238E27FC236}">
                  <a16:creationId xmlns:a16="http://schemas.microsoft.com/office/drawing/2014/main" id="{00000000-0008-0000-0300-000044000000}"/>
                </a:ext>
              </a:extLst>
            </xdr:cNvPr>
            <xdr:cNvCxnSpPr>
              <a:stCxn id="55" idx="2"/>
              <a:endCxn id="63" idx="0"/>
            </xdr:cNvCxnSpPr>
          </xdr:nvCxnSpPr>
          <xdr:spPr>
            <a:xfrm>
              <a:off x="3732809" y="6398515"/>
              <a:ext cx="799507" cy="25459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69" name="Rectangle 68">
              <a:extLst>
                <a:ext uri="{FF2B5EF4-FFF2-40B4-BE49-F238E27FC236}">
                  <a16:creationId xmlns:a16="http://schemas.microsoft.com/office/drawing/2014/main" id="{00000000-0008-0000-0300-000045000000}"/>
                </a:ext>
              </a:extLst>
            </xdr:cNvPr>
            <xdr:cNvSpPr/>
          </xdr:nvSpPr>
          <xdr:spPr>
            <a:xfrm>
              <a:off x="1246956" y="8945014"/>
              <a:ext cx="8104960" cy="781413"/>
            </a:xfrm>
            <a:prstGeom prst="rect">
              <a:avLst/>
            </a:prstGeom>
            <a:solidFill>
              <a:schemeClr val="accent6"/>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Results sheets</a:t>
              </a:r>
            </a:p>
          </xdr:txBody>
        </xdr:sp>
        <xdr:sp macro="" textlink="">
          <xdr:nvSpPr>
            <xdr:cNvPr id="70" name="Rectangle 69">
              <a:hlinkClick xmlns:r="http://schemas.openxmlformats.org/officeDocument/2006/relationships" r:id="rId10"/>
              <a:extLst>
                <a:ext uri="{FF2B5EF4-FFF2-40B4-BE49-F238E27FC236}">
                  <a16:creationId xmlns:a16="http://schemas.microsoft.com/office/drawing/2014/main" id="{00000000-0008-0000-0300-000046000000}"/>
                </a:ext>
              </a:extLst>
            </xdr:cNvPr>
            <xdr:cNvSpPr/>
          </xdr:nvSpPr>
          <xdr:spPr>
            <a:xfrm>
              <a:off x="3788128" y="9116049"/>
              <a:ext cx="141500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Tariff summary</a:t>
              </a:r>
            </a:p>
          </xdr:txBody>
        </xdr:sp>
        <xdr:sp macro="" textlink="">
          <xdr:nvSpPr>
            <xdr:cNvPr id="71" name="Rectangle 70">
              <a:extLst>
                <a:ext uri="{FF2B5EF4-FFF2-40B4-BE49-F238E27FC236}">
                  <a16:creationId xmlns:a16="http://schemas.microsoft.com/office/drawing/2014/main" id="{00000000-0008-0000-0300-000047000000}"/>
                </a:ext>
              </a:extLst>
            </xdr:cNvPr>
            <xdr:cNvSpPr/>
          </xdr:nvSpPr>
          <xdr:spPr>
            <a:xfrm>
              <a:off x="1255889" y="1079046"/>
              <a:ext cx="8104960" cy="856550"/>
            </a:xfrm>
            <a:prstGeom prst="rect">
              <a:avLst/>
            </a:prstGeom>
            <a:solidFill>
              <a:schemeClr val="bg1">
                <a:lumMod val="50000"/>
              </a:schemeClr>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Information sheets</a:t>
              </a:r>
            </a:p>
          </xdr:txBody>
        </xdr:sp>
        <xdr:sp macro="" textlink="">
          <xdr:nvSpPr>
            <xdr:cNvPr id="72" name="Rectangle 71">
              <a:extLst>
                <a:ext uri="{FF2B5EF4-FFF2-40B4-BE49-F238E27FC236}">
                  <a16:creationId xmlns:a16="http://schemas.microsoft.com/office/drawing/2014/main" id="{00000000-0008-0000-0300-000048000000}"/>
                </a:ext>
              </a:extLst>
            </xdr:cNvPr>
            <xdr:cNvSpPr/>
          </xdr:nvSpPr>
          <xdr:spPr>
            <a:xfrm>
              <a:off x="1274939" y="2114693"/>
              <a:ext cx="8097610" cy="860765"/>
            </a:xfrm>
            <a:prstGeom prst="rect">
              <a:avLst/>
            </a:prstGeom>
            <a:solidFill>
              <a:schemeClr val="accent2"/>
            </a:solidFill>
            <a:ln w="12700" cap="flat" cmpd="sng" algn="ctr">
              <a:noFill/>
              <a:prstDash val="solid"/>
              <a:miter lim="800000"/>
            </a:ln>
            <a:effectLst/>
          </xdr:spPr>
          <xdr:txBody>
            <a:bodyPr rot="0" spcFirstLastPara="0" vert="horz" wrap="square" lIns="91440" tIns="45720" rIns="91440" bIns="45720" numCol="1" spcCol="0" rtlCol="0" fromWordArt="0" anchor="t"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 lastClr="FFFFFF"/>
                  </a:solidFill>
                  <a:effectLst/>
                  <a:uLnTx/>
                  <a:uFillTx/>
                  <a:latin typeface="Calibri" panose="020F0502020204030204"/>
                  <a:ea typeface="+mn-ea"/>
                  <a:cs typeface="+mn-cs"/>
                </a:rPr>
                <a:t>Input sheets</a:t>
              </a:r>
            </a:p>
          </xdr:txBody>
        </xdr:sp>
        <xdr:sp macro="" textlink="">
          <xdr:nvSpPr>
            <xdr:cNvPr id="73" name="Rectangle 72">
              <a:hlinkClick xmlns:r="http://schemas.openxmlformats.org/officeDocument/2006/relationships" r:id="rId11"/>
              <a:extLst>
                <a:ext uri="{FF2B5EF4-FFF2-40B4-BE49-F238E27FC236}">
                  <a16:creationId xmlns:a16="http://schemas.microsoft.com/office/drawing/2014/main" id="{00000000-0008-0000-0300-000049000000}"/>
                </a:ext>
              </a:extLst>
            </xdr:cNvPr>
            <xdr:cNvSpPr/>
          </xdr:nvSpPr>
          <xdr:spPr>
            <a:xfrm>
              <a:off x="1578234" y="1372889"/>
              <a:ext cx="1392299"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Cover</a:t>
              </a:r>
            </a:p>
          </xdr:txBody>
        </xdr:sp>
        <xdr:sp macro="" textlink="">
          <xdr:nvSpPr>
            <xdr:cNvPr id="74" name="Rectangle 73">
              <a:hlinkClick xmlns:r="http://schemas.openxmlformats.org/officeDocument/2006/relationships" r:id="rId12"/>
              <a:extLst>
                <a:ext uri="{FF2B5EF4-FFF2-40B4-BE49-F238E27FC236}">
                  <a16:creationId xmlns:a16="http://schemas.microsoft.com/office/drawing/2014/main" id="{00000000-0008-0000-0300-00004A000000}"/>
                </a:ext>
              </a:extLst>
            </xdr:cNvPr>
            <xdr:cNvSpPr/>
          </xdr:nvSpPr>
          <xdr:spPr>
            <a:xfrm>
              <a:off x="3061769" y="1372889"/>
              <a:ext cx="1413646"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Version control</a:t>
              </a:r>
            </a:p>
          </xdr:txBody>
        </xdr:sp>
        <xdr:sp macro="" textlink="">
          <xdr:nvSpPr>
            <xdr:cNvPr id="75" name="Rectangle 74">
              <a:hlinkClick xmlns:r="http://schemas.openxmlformats.org/officeDocument/2006/relationships" r:id="rId13"/>
              <a:extLst>
                <a:ext uri="{FF2B5EF4-FFF2-40B4-BE49-F238E27FC236}">
                  <a16:creationId xmlns:a16="http://schemas.microsoft.com/office/drawing/2014/main" id="{00000000-0008-0000-0300-00004B000000}"/>
                </a:ext>
              </a:extLst>
            </xdr:cNvPr>
            <xdr:cNvSpPr/>
          </xdr:nvSpPr>
          <xdr:spPr>
            <a:xfrm>
              <a:off x="4562568" y="1372889"/>
              <a:ext cx="143068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Model map</a:t>
              </a:r>
            </a:p>
          </xdr:txBody>
        </xdr:sp>
        <xdr:cxnSp macro="">
          <xdr:nvCxnSpPr>
            <xdr:cNvPr id="76" name="Straight Arrow Connector 75">
              <a:extLst>
                <a:ext uri="{FF2B5EF4-FFF2-40B4-BE49-F238E27FC236}">
                  <a16:creationId xmlns:a16="http://schemas.microsoft.com/office/drawing/2014/main" id="{00000000-0008-0000-0300-00004C000000}"/>
                </a:ext>
              </a:extLst>
            </xdr:cNvPr>
            <xdr:cNvCxnSpPr>
              <a:cxnSpLocks/>
              <a:endCxn id="51" idx="0"/>
            </xdr:cNvCxnSpPr>
          </xdr:nvCxnSpPr>
          <xdr:spPr>
            <a:xfrm flipH="1">
              <a:off x="5309024" y="3023408"/>
              <a:ext cx="680" cy="188629"/>
            </a:xfrm>
            <a:prstGeom prst="straightConnector1">
              <a:avLst/>
            </a:prstGeom>
            <a:noFill/>
            <a:ln w="6350" cap="flat" cmpd="sng" algn="ctr">
              <a:solidFill>
                <a:sysClr val="windowText" lastClr="000000"/>
              </a:solidFill>
              <a:prstDash val="solid"/>
              <a:miter lim="800000"/>
              <a:tailEnd type="triangle"/>
            </a:ln>
            <a:effectLst/>
          </xdr:spPr>
        </xdr:cxnSp>
        <xdr:cxnSp macro="">
          <xdr:nvCxnSpPr>
            <xdr:cNvPr id="77" name="Straight Arrow Connector 76">
              <a:extLst>
                <a:ext uri="{FF2B5EF4-FFF2-40B4-BE49-F238E27FC236}">
                  <a16:creationId xmlns:a16="http://schemas.microsoft.com/office/drawing/2014/main" id="{00000000-0008-0000-0300-00004D000000}"/>
                </a:ext>
              </a:extLst>
            </xdr:cNvPr>
            <xdr:cNvCxnSpPr>
              <a:cxnSpLocks/>
            </xdr:cNvCxnSpPr>
          </xdr:nvCxnSpPr>
          <xdr:spPr>
            <a:xfrm>
              <a:off x="5303886" y="8787259"/>
              <a:ext cx="0" cy="156989"/>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78" name="Rectangle 77">
              <a:hlinkClick xmlns:r="http://schemas.openxmlformats.org/officeDocument/2006/relationships" r:id="rId14"/>
              <a:extLst>
                <a:ext uri="{FF2B5EF4-FFF2-40B4-BE49-F238E27FC236}">
                  <a16:creationId xmlns:a16="http://schemas.microsoft.com/office/drawing/2014/main" id="{00000000-0008-0000-0300-00004E000000}"/>
                </a:ext>
              </a:extLst>
            </xdr:cNvPr>
            <xdr:cNvSpPr/>
          </xdr:nvSpPr>
          <xdr:spPr>
            <a:xfrm>
              <a:off x="4479564" y="7463602"/>
              <a:ext cx="1590885" cy="274027"/>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Revenue matching</a:t>
              </a:r>
            </a:p>
          </xdr:txBody>
        </xdr:sp>
        <xdr:sp macro="" textlink="">
          <xdr:nvSpPr>
            <xdr:cNvPr id="79" name="Rectangle 78">
              <a:hlinkClick xmlns:r="http://schemas.openxmlformats.org/officeDocument/2006/relationships" r:id="rId15"/>
              <a:extLst>
                <a:ext uri="{FF2B5EF4-FFF2-40B4-BE49-F238E27FC236}">
                  <a16:creationId xmlns:a16="http://schemas.microsoft.com/office/drawing/2014/main" id="{00000000-0008-0000-0300-00004F000000}"/>
                </a:ext>
              </a:extLst>
            </xdr:cNvPr>
            <xdr:cNvSpPr/>
          </xdr:nvSpPr>
          <xdr:spPr>
            <a:xfrm>
              <a:off x="4479564" y="7900876"/>
              <a:ext cx="1590885" cy="275388"/>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Rounding</a:t>
              </a:r>
            </a:p>
          </xdr:txBody>
        </xdr:sp>
        <xdr:cxnSp macro="">
          <xdr:nvCxnSpPr>
            <xdr:cNvPr id="80" name="Straight Arrow Connector 79">
              <a:extLst>
                <a:ext uri="{FF2B5EF4-FFF2-40B4-BE49-F238E27FC236}">
                  <a16:creationId xmlns:a16="http://schemas.microsoft.com/office/drawing/2014/main" id="{00000000-0008-0000-0300-000050000000}"/>
                </a:ext>
              </a:extLst>
            </xdr:cNvPr>
            <xdr:cNvCxnSpPr/>
          </xdr:nvCxnSpPr>
          <xdr:spPr>
            <a:xfrm>
              <a:off x="5304262" y="7734017"/>
              <a:ext cx="0" cy="153632"/>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81" name="Rectangle 80">
              <a:hlinkClick xmlns:r="http://schemas.openxmlformats.org/officeDocument/2006/relationships" r:id="rId16"/>
              <a:extLst>
                <a:ext uri="{FF2B5EF4-FFF2-40B4-BE49-F238E27FC236}">
                  <a16:creationId xmlns:a16="http://schemas.microsoft.com/office/drawing/2014/main" id="{00000000-0008-0000-0300-000051000000}"/>
                </a:ext>
              </a:extLst>
            </xdr:cNvPr>
            <xdr:cNvSpPr/>
          </xdr:nvSpPr>
          <xdr:spPr>
            <a:xfrm>
              <a:off x="7006390" y="2401202"/>
              <a:ext cx="1441517"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Fixed inputs</a:t>
              </a:r>
            </a:p>
          </xdr:txBody>
        </xdr:sp>
        <xdr:sp macro="" textlink="">
          <xdr:nvSpPr>
            <xdr:cNvPr id="82" name="Rectangle 81">
              <a:hlinkClick xmlns:r="http://schemas.openxmlformats.org/officeDocument/2006/relationships" r:id="rId17"/>
              <a:extLst>
                <a:ext uri="{FF2B5EF4-FFF2-40B4-BE49-F238E27FC236}">
                  <a16:creationId xmlns:a16="http://schemas.microsoft.com/office/drawing/2014/main" id="{00000000-0008-0000-0300-000052000000}"/>
                </a:ext>
              </a:extLst>
            </xdr:cNvPr>
            <xdr:cNvSpPr/>
          </xdr:nvSpPr>
          <xdr:spPr>
            <a:xfrm>
              <a:off x="5394094" y="2401202"/>
              <a:ext cx="143194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General inputs</a:t>
              </a:r>
            </a:p>
          </xdr:txBody>
        </xdr:sp>
        <xdr:sp macro="" textlink="">
          <xdr:nvSpPr>
            <xdr:cNvPr id="83" name="Rectangle 82">
              <a:hlinkClick xmlns:r="http://schemas.openxmlformats.org/officeDocument/2006/relationships" r:id="rId18"/>
              <a:extLst>
                <a:ext uri="{FF2B5EF4-FFF2-40B4-BE49-F238E27FC236}">
                  <a16:creationId xmlns:a16="http://schemas.microsoft.com/office/drawing/2014/main" id="{00000000-0008-0000-0300-000053000000}"/>
                </a:ext>
              </a:extLst>
            </xdr:cNvPr>
            <xdr:cNvSpPr/>
          </xdr:nvSpPr>
          <xdr:spPr>
            <a:xfrm>
              <a:off x="3780391" y="2401202"/>
              <a:ext cx="1433353"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network level</a:t>
              </a:r>
            </a:p>
          </xdr:txBody>
        </xdr:sp>
        <xdr:sp macro="" textlink="">
          <xdr:nvSpPr>
            <xdr:cNvPr id="84" name="Rectangle 83">
              <a:hlinkClick xmlns:r="http://schemas.openxmlformats.org/officeDocument/2006/relationships" r:id="rId19"/>
              <a:extLst>
                <a:ext uri="{FF2B5EF4-FFF2-40B4-BE49-F238E27FC236}">
                  <a16:creationId xmlns:a16="http://schemas.microsoft.com/office/drawing/2014/main" id="{00000000-0008-0000-0300-000054000000}"/>
                </a:ext>
              </a:extLst>
            </xdr:cNvPr>
            <xdr:cNvSpPr/>
          </xdr:nvSpPr>
          <xdr:spPr>
            <a:xfrm>
              <a:off x="6080401"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Index</a:t>
              </a:r>
            </a:p>
          </xdr:txBody>
        </xdr:sp>
        <xdr:sp macro="" textlink="">
          <xdr:nvSpPr>
            <xdr:cNvPr id="85" name="Rectangle 84">
              <a:hlinkClick xmlns:r="http://schemas.openxmlformats.org/officeDocument/2006/relationships" r:id="rId20"/>
              <a:extLst>
                <a:ext uri="{FF2B5EF4-FFF2-40B4-BE49-F238E27FC236}">
                  <a16:creationId xmlns:a16="http://schemas.microsoft.com/office/drawing/2014/main" id="{00000000-0008-0000-0300-000055000000}"/>
                </a:ext>
              </a:extLst>
            </xdr:cNvPr>
            <xdr:cNvSpPr/>
          </xdr:nvSpPr>
          <xdr:spPr>
            <a:xfrm>
              <a:off x="7596876" y="1372889"/>
              <a:ext cx="1429320" cy="423894"/>
            </a:xfrm>
            <a:prstGeom prst="rect">
              <a:avLst/>
            </a:prstGeom>
            <a:solidFill>
              <a:sysClr val="window" lastClr="FFFFFF">
                <a:lumMod val="75000"/>
              </a:sys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Named ranges</a:t>
              </a:r>
            </a:p>
          </xdr:txBody>
        </xdr:sp>
        <xdr:sp macro="" textlink="">
          <xdr:nvSpPr>
            <xdr:cNvPr id="86" name="Rectangle 85">
              <a:hlinkClick xmlns:r="http://schemas.openxmlformats.org/officeDocument/2006/relationships" r:id="rId21"/>
              <a:extLst>
                <a:ext uri="{FF2B5EF4-FFF2-40B4-BE49-F238E27FC236}">
                  <a16:creationId xmlns:a16="http://schemas.microsoft.com/office/drawing/2014/main" id="{00000000-0008-0000-0300-000056000000}"/>
                </a:ext>
              </a:extLst>
            </xdr:cNvPr>
            <xdr:cNvSpPr/>
          </xdr:nvSpPr>
          <xdr:spPr>
            <a:xfrm>
              <a:off x="2166735" y="2401202"/>
              <a:ext cx="1433306" cy="441863"/>
            </a:xfrm>
            <a:prstGeom prst="rect">
              <a:avLst/>
            </a:prstGeom>
            <a:solidFill>
              <a:schemeClr val="accent2">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Inputs by customer type</a:t>
              </a:r>
            </a:p>
          </xdr:txBody>
        </xdr:sp>
        <xdr:sp macro="" textlink="">
          <xdr:nvSpPr>
            <xdr:cNvPr id="88" name="Rectangle 87">
              <a:hlinkClick xmlns:r="http://schemas.openxmlformats.org/officeDocument/2006/relationships" r:id="rId22"/>
              <a:extLst>
                <a:ext uri="{FF2B5EF4-FFF2-40B4-BE49-F238E27FC236}">
                  <a16:creationId xmlns:a16="http://schemas.microsoft.com/office/drawing/2014/main" id="{00000000-0008-0000-0300-000058000000}"/>
                </a:ext>
              </a:extLst>
            </xdr:cNvPr>
            <xdr:cNvSpPr/>
          </xdr:nvSpPr>
          <xdr:spPr>
            <a:xfrm>
              <a:off x="2479327" y="3819681"/>
              <a:ext cx="142791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Standing charge factors</a:t>
              </a:r>
            </a:p>
          </xdr:txBody>
        </xdr:sp>
        <xdr:sp macro="" textlink="">
          <xdr:nvSpPr>
            <xdr:cNvPr id="89" name="Rectangle 88">
              <a:hlinkClick xmlns:r="http://schemas.openxmlformats.org/officeDocument/2006/relationships" r:id="rId23"/>
              <a:extLst>
                <a:ext uri="{FF2B5EF4-FFF2-40B4-BE49-F238E27FC236}">
                  <a16:creationId xmlns:a16="http://schemas.microsoft.com/office/drawing/2014/main" id="{00000000-0008-0000-0300-000059000000}"/>
                </a:ext>
              </a:extLst>
            </xdr:cNvPr>
            <xdr:cNvSpPr/>
          </xdr:nvSpPr>
          <xdr:spPr>
            <a:xfrm>
              <a:off x="3973072" y="3819681"/>
              <a:ext cx="1429279" cy="450735"/>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Load &amp; loss characteristics</a:t>
              </a:r>
            </a:p>
          </xdr:txBody>
        </xdr:sp>
        <xdr:sp macro="" textlink="">
          <xdr:nvSpPr>
            <xdr:cNvPr id="90" name="Rectangle 89">
              <a:hlinkClick xmlns:r="http://schemas.openxmlformats.org/officeDocument/2006/relationships" r:id="rId24"/>
              <a:extLst>
                <a:ext uri="{FF2B5EF4-FFF2-40B4-BE49-F238E27FC236}">
                  <a16:creationId xmlns:a16="http://schemas.microsoft.com/office/drawing/2014/main" id="{00000000-0008-0000-0300-00005A000000}"/>
                </a:ext>
              </a:extLst>
            </xdr:cNvPr>
            <xdr:cNvSpPr/>
          </xdr:nvSpPr>
          <xdr:spPr>
            <a:xfrm>
              <a:off x="3216506" y="4342794"/>
              <a:ext cx="1427919" cy="445293"/>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System peak demand</a:t>
              </a:r>
            </a:p>
          </xdr:txBody>
        </xdr:sp>
        <xdr:sp macro="" textlink="">
          <xdr:nvSpPr>
            <xdr:cNvPr id="91" name="Rectangle 90">
              <a:hlinkClick xmlns:r="http://schemas.openxmlformats.org/officeDocument/2006/relationships" r:id="rId25"/>
              <a:extLst>
                <a:ext uri="{FF2B5EF4-FFF2-40B4-BE49-F238E27FC236}">
                  <a16:creationId xmlns:a16="http://schemas.microsoft.com/office/drawing/2014/main" id="{00000000-0008-0000-0300-00005B000000}"/>
                </a:ext>
              </a:extLst>
            </xdr:cNvPr>
            <xdr:cNvSpPr/>
          </xdr:nvSpPr>
          <xdr:spPr>
            <a:xfrm>
              <a:off x="3020448" y="5352798"/>
              <a:ext cx="1432002"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Unit costs</a:t>
              </a:r>
            </a:p>
          </xdr:txBody>
        </xdr:sp>
        <xdr:sp macro="" textlink="">
          <xdr:nvSpPr>
            <xdr:cNvPr id="92" name="Rectangle 91">
              <a:hlinkClick xmlns:r="http://schemas.openxmlformats.org/officeDocument/2006/relationships" r:id="rId26"/>
              <a:extLst>
                <a:ext uri="{FF2B5EF4-FFF2-40B4-BE49-F238E27FC236}">
                  <a16:creationId xmlns:a16="http://schemas.microsoft.com/office/drawing/2014/main" id="{00000000-0008-0000-0300-00005C000000}"/>
                </a:ext>
              </a:extLst>
            </xdr:cNvPr>
            <xdr:cNvSpPr/>
          </xdr:nvSpPr>
          <xdr:spPr>
            <a:xfrm>
              <a:off x="5366256" y="5343291"/>
              <a:ext cx="1427919" cy="445292"/>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Service model charges</a:t>
              </a:r>
            </a:p>
          </xdr:txBody>
        </xdr:sp>
        <xdr:cxnSp macro="">
          <xdr:nvCxnSpPr>
            <xdr:cNvPr id="93" name="Connector: Elbow 92">
              <a:extLst>
                <a:ext uri="{FF2B5EF4-FFF2-40B4-BE49-F238E27FC236}">
                  <a16:creationId xmlns:a16="http://schemas.microsoft.com/office/drawing/2014/main" id="{00000000-0008-0000-0300-00005D000000}"/>
                </a:ext>
              </a:extLst>
            </xdr:cNvPr>
            <xdr:cNvCxnSpPr>
              <a:stCxn id="91" idx="2"/>
              <a:endCxn id="61" idx="0"/>
            </xdr:cNvCxnSpPr>
          </xdr:nvCxnSpPr>
          <xdr:spPr>
            <a:xfrm rot="16200000" flipH="1">
              <a:off x="4483705" y="5052876"/>
              <a:ext cx="857853" cy="2348280"/>
            </a:xfrm>
            <a:prstGeom prst="bentConnector3">
              <a:avLst>
                <a:gd name="adj1" fmla="val 4318"/>
              </a:avLst>
            </a:prstGeom>
            <a:ln>
              <a:tailEnd type="triangle"/>
            </a:ln>
          </xdr:spPr>
          <xdr:style>
            <a:lnRef idx="1">
              <a:schemeClr val="dk1"/>
            </a:lnRef>
            <a:fillRef idx="0">
              <a:schemeClr val="dk1"/>
            </a:fillRef>
            <a:effectRef idx="0">
              <a:schemeClr val="dk1"/>
            </a:effectRef>
            <a:fontRef idx="minor">
              <a:schemeClr val="tx1"/>
            </a:fontRef>
          </xdr:style>
        </xdr:cxnSp>
        <xdr:sp macro="" textlink="">
          <xdr:nvSpPr>
            <xdr:cNvPr id="94" name="Rectangle 93">
              <a:hlinkClick xmlns:r="http://schemas.openxmlformats.org/officeDocument/2006/relationships" r:id="rId27"/>
              <a:extLst>
                <a:ext uri="{FF2B5EF4-FFF2-40B4-BE49-F238E27FC236}">
                  <a16:creationId xmlns:a16="http://schemas.microsoft.com/office/drawing/2014/main" id="{00000000-0008-0000-0300-00005E000000}"/>
                </a:ext>
              </a:extLst>
            </xdr:cNvPr>
            <xdr:cNvSpPr/>
          </xdr:nvSpPr>
          <xdr:spPr>
            <a:xfrm>
              <a:off x="5374052" y="9116049"/>
              <a:ext cx="1413646" cy="440511"/>
            </a:xfrm>
            <a:prstGeom prst="rect">
              <a:avLst/>
            </a:prstGeom>
            <a:solidFill>
              <a:schemeClr val="accent6">
                <a:lumMod val="40000"/>
                <a:lumOff val="6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Output to other models</a:t>
              </a:r>
            </a:p>
          </xdr:txBody>
        </xdr:sp>
      </xdr:grpSp>
      <xdr:grpSp>
        <xdr:nvGrpSpPr>
          <xdr:cNvPr id="43" name="Group 42">
            <a:extLst>
              <a:ext uri="{FF2B5EF4-FFF2-40B4-BE49-F238E27FC236}">
                <a16:creationId xmlns:a16="http://schemas.microsoft.com/office/drawing/2014/main" id="{00000000-0008-0000-0300-00002B000000}"/>
              </a:ext>
            </a:extLst>
          </xdr:cNvPr>
          <xdr:cNvGrpSpPr/>
        </xdr:nvGrpSpPr>
        <xdr:grpSpPr>
          <a:xfrm>
            <a:off x="4676672" y="8189361"/>
            <a:ext cx="1594924" cy="436042"/>
            <a:chOff x="4676672" y="8189361"/>
            <a:chExt cx="1594924" cy="436042"/>
          </a:xfrm>
        </xdr:grpSpPr>
        <xdr:cxnSp macro="">
          <xdr:nvCxnSpPr>
            <xdr:cNvPr id="203" name="Straight Arrow Connector 202">
              <a:extLst>
                <a:ext uri="{FF2B5EF4-FFF2-40B4-BE49-F238E27FC236}">
                  <a16:creationId xmlns:a16="http://schemas.microsoft.com/office/drawing/2014/main" id="{00000000-0008-0000-0300-0000CB000000}"/>
                </a:ext>
              </a:extLst>
            </xdr:cNvPr>
            <xdr:cNvCxnSpPr/>
          </xdr:nvCxnSpPr>
          <xdr:spPr>
            <a:xfrm>
              <a:off x="5494689" y="8189361"/>
              <a:ext cx="0" cy="155193"/>
            </a:xfrm>
            <a:prstGeom prst="straightConnector1">
              <a:avLst/>
            </a:prstGeom>
            <a:noFill/>
            <a:ln w="6350" cap="flat" cmpd="sng" algn="ctr">
              <a:solidFill>
                <a:sysClr val="windowText" lastClr="000000"/>
              </a:solidFill>
              <a:prstDash val="solid"/>
              <a:miter lim="800000"/>
              <a:tailEnd type="triangle"/>
            </a:ln>
            <a:effectLst/>
          </xdr:spPr>
        </xdr:cxnSp>
        <xdr:sp macro="" textlink="">
          <xdr:nvSpPr>
            <xdr:cNvPr id="205" name="Rectangle 204">
              <a:hlinkClick xmlns:r="http://schemas.openxmlformats.org/officeDocument/2006/relationships" r:id="rId28"/>
              <a:extLst>
                <a:ext uri="{FF2B5EF4-FFF2-40B4-BE49-F238E27FC236}">
                  <a16:creationId xmlns:a16="http://schemas.microsoft.com/office/drawing/2014/main" id="{00000000-0008-0000-0300-0000CD000000}"/>
                </a:ext>
              </a:extLst>
            </xdr:cNvPr>
            <xdr:cNvSpPr/>
          </xdr:nvSpPr>
          <xdr:spPr>
            <a:xfrm>
              <a:off x="4676672" y="8351307"/>
              <a:ext cx="1594924" cy="274096"/>
            </a:xfrm>
            <a:prstGeom prst="rect">
              <a:avLst/>
            </a:prstGeom>
            <a:solidFill>
              <a:schemeClr val="accent5">
                <a:lumMod val="60000"/>
                <a:lumOff val="40000"/>
              </a:schemeClr>
            </a:solidFill>
            <a:ln w="12700" cap="flat" cmpd="sng" algn="ctr">
              <a:noFill/>
              <a:prstDash val="solid"/>
              <a:miter lim="800000"/>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n-GB" sz="1100" b="0" i="0" u="none" strike="noStrike" kern="0" cap="none" spc="0" normalizeH="0" baseline="0">
                  <a:ln>
                    <a:noFill/>
                  </a:ln>
                  <a:solidFill>
                    <a:sysClr val="windowText" lastClr="000000"/>
                  </a:solidFill>
                  <a:effectLst/>
                  <a:uLnTx/>
                  <a:uFillTx/>
                  <a:latin typeface="Calibri" panose="020F0502020204030204"/>
                  <a:ea typeface="+mn-ea"/>
                  <a:cs typeface="+mn-cs"/>
                </a:rPr>
                <a:t>Net revenue summary</a:t>
              </a:r>
            </a:p>
          </xdr:txBody>
        </xdr:sp>
      </xdr:grp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39997558519241921"/>
    <pageSetUpPr fitToPage="1"/>
  </sheetPr>
  <dimension ref="A2:E52"/>
  <sheetViews>
    <sheetView showGridLines="0" showRowColHeaders="0" tabSelected="1" zoomScale="80" zoomScaleNormal="80" workbookViewId="0">
      <selection activeCell="D3" sqref="D3"/>
    </sheetView>
  </sheetViews>
  <sheetFormatPr defaultColWidth="0" defaultRowHeight="15" customHeight="1" x14ac:dyDescent="0.25"/>
  <cols>
    <col min="1" max="1" width="2.7109375" style="3" customWidth="1"/>
    <col min="2" max="2" width="22.7109375" style="3" customWidth="1"/>
    <col min="3" max="3" width="2.7109375" style="3" customWidth="1"/>
    <col min="4" max="4" width="100.42578125" style="4" customWidth="1"/>
    <col min="5" max="5" width="2.5703125" style="3" customWidth="1"/>
    <col min="6" max="16384" width="9.140625" style="3" hidden="1"/>
  </cols>
  <sheetData>
    <row r="2" spans="2:4" ht="28.5" x14ac:dyDescent="0.25">
      <c r="D2" s="16" t="s">
        <v>0</v>
      </c>
    </row>
    <row r="4" spans="2:4" ht="21" x14ac:dyDescent="0.25">
      <c r="D4" s="7" t="s">
        <v>1118</v>
      </c>
    </row>
    <row r="5" spans="2:4" x14ac:dyDescent="0.25">
      <c r="D5" s="17"/>
    </row>
    <row r="6" spans="2:4" x14ac:dyDescent="0.25">
      <c r="B6" s="18" t="str">
        <f>'Version control'!F7</f>
        <v>Model date:</v>
      </c>
      <c r="D6" s="19">
        <f>'Version control'!H7</f>
        <v>43389</v>
      </c>
    </row>
    <row r="7" spans="2:4" ht="15" customHeight="1" x14ac:dyDescent="0.25">
      <c r="D7" s="20"/>
    </row>
    <row r="8" spans="2:4" ht="15" customHeight="1" x14ac:dyDescent="0.25">
      <c r="B8" s="18" t="str">
        <f>'Version control'!F9</f>
        <v>Development stage:</v>
      </c>
      <c r="D8" s="19" t="str">
        <f>'Version control'!H9</f>
        <v>Release for charge setting</v>
      </c>
    </row>
    <row r="9" spans="2:4" ht="15" customHeight="1" x14ac:dyDescent="0.25">
      <c r="D9" s="20"/>
    </row>
    <row r="10" spans="2:4" ht="15" customHeight="1" x14ac:dyDescent="0.25">
      <c r="B10" s="18" t="str">
        <f>'Version control'!F11</f>
        <v>Model number:</v>
      </c>
      <c r="D10" s="20">
        <f>'Version control'!H11</f>
        <v>3</v>
      </c>
    </row>
    <row r="11" spans="2:4" ht="15" customHeight="1" x14ac:dyDescent="0.25">
      <c r="D11" s="20"/>
    </row>
    <row r="12" spans="2:4" ht="15" customHeight="1" x14ac:dyDescent="0.25">
      <c r="B12" s="18" t="str">
        <f>'Version control'!F13</f>
        <v>DCUSA text version:</v>
      </c>
      <c r="D12" s="19" t="str">
        <f>'Version control'!H13</f>
        <v>01 April 2020 DCUSA Charging Methodologies Pre-Release (released 09/10/2018)</v>
      </c>
    </row>
    <row r="13" spans="2:4" ht="15" customHeight="1" x14ac:dyDescent="0.25">
      <c r="D13" s="20"/>
    </row>
    <row r="14" spans="2:4" ht="15" customHeight="1" x14ac:dyDescent="0.25">
      <c r="B14" s="18" t="str">
        <f>'Version control'!F15</f>
        <v>DCUSA text schedule:</v>
      </c>
      <c r="D14" s="19" t="str">
        <f>'Version control'!H15</f>
        <v>Schedule 16</v>
      </c>
    </row>
    <row r="16" spans="2:4" ht="30" x14ac:dyDescent="0.25">
      <c r="B16" s="18" t="s">
        <v>1</v>
      </c>
      <c r="D16" s="8" t="s">
        <v>2</v>
      </c>
    </row>
    <row r="17" spans="2:4" x14ac:dyDescent="0.25">
      <c r="D17" s="4" t="s">
        <v>3</v>
      </c>
    </row>
    <row r="18" spans="2:4" x14ac:dyDescent="0.25">
      <c r="D18" s="3"/>
    </row>
    <row r="19" spans="2:4" ht="15" customHeight="1" x14ac:dyDescent="0.25">
      <c r="B19" s="18" t="s">
        <v>4</v>
      </c>
      <c r="D19" s="276" t="s">
        <v>1119</v>
      </c>
    </row>
    <row r="21" spans="2:4" ht="15" customHeight="1" x14ac:dyDescent="0.25">
      <c r="B21" s="18" t="s">
        <v>5</v>
      </c>
      <c r="D21" s="276" t="s">
        <v>1124</v>
      </c>
    </row>
    <row r="23" spans="2:4" ht="15" customHeight="1" x14ac:dyDescent="0.25">
      <c r="B23" s="18" t="s">
        <v>6</v>
      </c>
      <c r="D23" s="276" t="s">
        <v>1125</v>
      </c>
    </row>
    <row r="25" spans="2:4" ht="30" customHeight="1" x14ac:dyDescent="0.25">
      <c r="B25" s="18" t="s">
        <v>7</v>
      </c>
      <c r="D25" s="276" t="s">
        <v>8</v>
      </c>
    </row>
    <row r="26" spans="2:4" ht="15" customHeight="1" x14ac:dyDescent="0.25">
      <c r="B26" s="18"/>
    </row>
    <row r="27" spans="2:4" ht="15" customHeight="1" x14ac:dyDescent="0.25">
      <c r="B27" s="18" t="s">
        <v>9</v>
      </c>
    </row>
    <row r="28" spans="2:4" customFormat="1" ht="15" customHeight="1" x14ac:dyDescent="0.25">
      <c r="B28" s="21" t="s">
        <v>10</v>
      </c>
      <c r="C28" s="1"/>
      <c r="D28" s="1" t="s">
        <v>11</v>
      </c>
    </row>
    <row r="29" spans="2:4" customFormat="1" x14ac:dyDescent="0.25">
      <c r="B29" s="22"/>
      <c r="C29" s="23"/>
      <c r="D29" s="23" t="s">
        <v>12</v>
      </c>
    </row>
    <row r="30" spans="2:4" customFormat="1" x14ac:dyDescent="0.25">
      <c r="B30" s="277" t="s">
        <v>13</v>
      </c>
      <c r="D30" t="s">
        <v>14</v>
      </c>
    </row>
    <row r="31" spans="2:4" customFormat="1" x14ac:dyDescent="0.25">
      <c r="B31" s="278" t="s">
        <v>13</v>
      </c>
      <c r="D31" t="s">
        <v>15</v>
      </c>
    </row>
    <row r="32" spans="2:4" customFormat="1" x14ac:dyDescent="0.25">
      <c r="B32" s="279" t="s">
        <v>13</v>
      </c>
      <c r="D32" t="s">
        <v>16</v>
      </c>
    </row>
    <row r="33" spans="2:4" customFormat="1" x14ac:dyDescent="0.25">
      <c r="B33" s="24" t="s">
        <v>13</v>
      </c>
      <c r="D33" t="s">
        <v>17</v>
      </c>
    </row>
    <row r="34" spans="2:4" customFormat="1" x14ac:dyDescent="0.25">
      <c r="B34" s="25" t="s">
        <v>13</v>
      </c>
      <c r="D34" t="s">
        <v>18</v>
      </c>
    </row>
    <row r="35" spans="2:4" customFormat="1" x14ac:dyDescent="0.25">
      <c r="B35" s="26" t="s">
        <v>13</v>
      </c>
      <c r="D35" t="s">
        <v>19</v>
      </c>
    </row>
    <row r="36" spans="2:4" customFormat="1" x14ac:dyDescent="0.25">
      <c r="B36" s="27" t="s">
        <v>13</v>
      </c>
      <c r="D36" t="s">
        <v>20</v>
      </c>
    </row>
    <row r="37" spans="2:4" customFormat="1" x14ac:dyDescent="0.25">
      <c r="B37" s="28" t="s">
        <v>21</v>
      </c>
      <c r="D37" t="s">
        <v>22</v>
      </c>
    </row>
    <row r="38" spans="2:4" customFormat="1" ht="15" customHeight="1" x14ac:dyDescent="0.25">
      <c r="B38" s="29" t="s">
        <v>21</v>
      </c>
      <c r="D38" t="s">
        <v>23</v>
      </c>
    </row>
    <row r="39" spans="2:4" customFormat="1" ht="15" customHeight="1" x14ac:dyDescent="0.25">
      <c r="B39" s="1" t="s">
        <v>21</v>
      </c>
      <c r="D39" t="s">
        <v>24</v>
      </c>
    </row>
    <row r="40" spans="2:4" customFormat="1" ht="15" customHeight="1" x14ac:dyDescent="0.25">
      <c r="B40" s="30" t="s">
        <v>21</v>
      </c>
      <c r="D40" t="s">
        <v>25</v>
      </c>
    </row>
    <row r="41" spans="2:4" customFormat="1" ht="15" customHeight="1" x14ac:dyDescent="0.25">
      <c r="B41" s="31" t="s">
        <v>21</v>
      </c>
      <c r="D41" t="s">
        <v>26</v>
      </c>
    </row>
    <row r="42" spans="2:4" customFormat="1" ht="15" customHeight="1" x14ac:dyDescent="0.25">
      <c r="B42" s="32" t="s">
        <v>21</v>
      </c>
      <c r="D42" t="s">
        <v>27</v>
      </c>
    </row>
    <row r="43" spans="2:4" customFormat="1" ht="15" customHeight="1" x14ac:dyDescent="0.25">
      <c r="B43" s="33" t="s">
        <v>28</v>
      </c>
      <c r="D43" t="s">
        <v>29</v>
      </c>
    </row>
    <row r="44" spans="2:4" customFormat="1" ht="15" customHeight="1" x14ac:dyDescent="0.25">
      <c r="B44" s="34" t="s">
        <v>28</v>
      </c>
      <c r="D44" t="s">
        <v>30</v>
      </c>
    </row>
    <row r="45" spans="2:4" customFormat="1" ht="15" customHeight="1" x14ac:dyDescent="0.25">
      <c r="B45" s="35" t="s">
        <v>28</v>
      </c>
      <c r="D45" t="s">
        <v>31</v>
      </c>
    </row>
    <row r="46" spans="2:4" customFormat="1" ht="15" customHeight="1" x14ac:dyDescent="0.25">
      <c r="B46" s="36" t="s">
        <v>28</v>
      </c>
      <c r="C46" s="37"/>
      <c r="D46" s="37" t="s">
        <v>32</v>
      </c>
    </row>
    <row r="47" spans="2:4" ht="15" customHeight="1" x14ac:dyDescent="0.25">
      <c r="D47" s="38"/>
    </row>
    <row r="48" spans="2:4" ht="15" customHeight="1" x14ac:dyDescent="0.25">
      <c r="B48" s="4"/>
    </row>
    <row r="49" spans="2:4" ht="15" customHeight="1" x14ac:dyDescent="0.25">
      <c r="B49" s="39"/>
    </row>
    <row r="50" spans="2:4" ht="15" customHeight="1" x14ac:dyDescent="0.25">
      <c r="B50" s="39"/>
    </row>
    <row r="51" spans="2:4" ht="15" customHeight="1" x14ac:dyDescent="0.25">
      <c r="B51" s="39"/>
    </row>
    <row r="52" spans="2:4" ht="15" customHeight="1" x14ac:dyDescent="0.25">
      <c r="B52" s="39"/>
      <c r="D52" s="3"/>
    </row>
  </sheetData>
  <sheetProtection sheet="1" objects="1" formatCells="0" formatColumns="0" formatRows="0" sort="0" autoFilter="0"/>
  <dataValidations disablePrompts="1" count="1">
    <dataValidation allowBlank="1" showInputMessage="1" showErrorMessage="1" prompt="Year should be entered as YYYY/YY_x000a_(e.g. 2019/20)" sqref="D19"/>
  </dataValidations>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tabColor theme="4" tint="0.59999389629810485"/>
    <pageSetUpPr fitToPage="1"/>
  </sheetPr>
  <dimension ref="A1:KJ6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Standing charge factors</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H58 &amp; IF(H58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107" t="s">
        <v>11</v>
      </c>
      <c r="C7" s="108"/>
      <c r="D7" s="109"/>
      <c r="E7" s="109"/>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426</v>
      </c>
      <c r="E9"/>
    </row>
    <row r="10" spans="1:44" x14ac:dyDescent="0.25">
      <c r="C10" s="29" t="s">
        <v>427</v>
      </c>
      <c r="E10"/>
    </row>
    <row r="11" spans="1:44" x14ac:dyDescent="0.25">
      <c r="C11" s="29" t="s">
        <v>428</v>
      </c>
      <c r="E11"/>
    </row>
    <row r="12" spans="1:44" x14ac:dyDescent="0.25">
      <c r="C12" s="29" t="s">
        <v>429</v>
      </c>
      <c r="E12"/>
    </row>
    <row r="13" spans="1:44" x14ac:dyDescent="0.25">
      <c r="C13" s="29"/>
      <c r="E13"/>
    </row>
    <row r="14" spans="1:44" x14ac:dyDescent="0.25">
      <c r="C14" s="29" t="s">
        <v>430</v>
      </c>
      <c r="E14"/>
    </row>
    <row r="15" spans="1:44" x14ac:dyDescent="0.25">
      <c r="C15" s="29" t="s">
        <v>431</v>
      </c>
      <c r="E15"/>
    </row>
    <row r="17" spans="2:44" x14ac:dyDescent="0.25">
      <c r="B17" s="107" t="s">
        <v>432</v>
      </c>
      <c r="C17" s="108"/>
      <c r="D17" s="109"/>
      <c r="E17" s="109"/>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row>
    <row r="18" spans="2:44" x14ac:dyDescent="0.25">
      <c r="C18" s="91"/>
    </row>
    <row r="19" spans="2:44" x14ac:dyDescent="0.25">
      <c r="C19" s="31" t="str">
        <f ca="1">INDEX('Version control'!$H$34:$H$56,MATCH($A$1,'Version control'!$F$34:$F$56,0),1)&amp;"-A: Adjustments to standing charges"</f>
        <v>Section 101-A: Adjustments to standing charges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2:44" x14ac:dyDescent="0.25">
      <c r="C20" s="91"/>
    </row>
    <row r="21" spans="2:44" x14ac:dyDescent="0.25">
      <c r="D21" s="29" t="s">
        <v>433</v>
      </c>
      <c r="F21" s="2"/>
    </row>
    <row r="22" spans="2:44" x14ac:dyDescent="0.25">
      <c r="D22" s="91"/>
      <c r="F22" s="2"/>
    </row>
    <row r="23" spans="2:44" x14ac:dyDescent="0.25">
      <c r="D23"/>
      <c r="E23" s="32" t="s">
        <v>434</v>
      </c>
      <c r="F23" s="32"/>
      <c r="I23" t="s">
        <v>190</v>
      </c>
      <c r="AR23" t="s">
        <v>239</v>
      </c>
    </row>
    <row r="24" spans="2:44" x14ac:dyDescent="0.25">
      <c r="D24"/>
      <c r="E24" s="29" t="s">
        <v>435</v>
      </c>
    </row>
    <row r="25" spans="2:44" x14ac:dyDescent="0.25">
      <c r="D25" s="91"/>
      <c r="F25" s="23" t="s">
        <v>225</v>
      </c>
      <c r="G25" s="23" t="s">
        <v>203</v>
      </c>
      <c r="H25" s="23"/>
      <c r="I25" s="23"/>
      <c r="J25" s="110">
        <f>'Fixed inputs'!J89</f>
        <v>0</v>
      </c>
      <c r="K25" s="110">
        <f>'Fixed inputs'!K89</f>
        <v>0</v>
      </c>
      <c r="L25" s="110">
        <f>'Fixed inputs'!L89</f>
        <v>0</v>
      </c>
      <c r="M25" s="110">
        <f>'Fixed inputs'!M89</f>
        <v>0</v>
      </c>
      <c r="N25" s="110">
        <f>'Fixed inputs'!N89</f>
        <v>0</v>
      </c>
      <c r="O25" s="110">
        <f>'Fixed inputs'!O89</f>
        <v>0</v>
      </c>
      <c r="P25" s="110">
        <f>'Fixed inputs'!P89</f>
        <v>0</v>
      </c>
      <c r="Q25" s="110">
        <f>'Fixed inputs'!Q89</f>
        <v>0</v>
      </c>
      <c r="R25" s="110">
        <f>'Fixed inputs'!R89</f>
        <v>0</v>
      </c>
      <c r="S25" s="110">
        <f>'Fixed inputs'!S89</f>
        <v>0</v>
      </c>
      <c r="T25" s="110">
        <f>'Fixed inputs'!T89</f>
        <v>0</v>
      </c>
      <c r="U25" s="110">
        <f>'Fixed inputs'!U89</f>
        <v>0</v>
      </c>
      <c r="V25" s="110">
        <f>'Fixed inputs'!V89</f>
        <v>0</v>
      </c>
      <c r="W25" s="110">
        <f>'Fixed inputs'!W89</f>
        <v>0</v>
      </c>
      <c r="X25" s="110">
        <f>'Fixed inputs'!X89</f>
        <v>0</v>
      </c>
      <c r="Y25" s="110">
        <f>'Fixed inputs'!Y89</f>
        <v>0</v>
      </c>
      <c r="Z25" s="110">
        <f>'Fixed inputs'!Z89</f>
        <v>0</v>
      </c>
      <c r="AA25" s="110">
        <f>'Fixed inputs'!AA89</f>
        <v>0</v>
      </c>
      <c r="AB25" s="110">
        <f>'Fixed inputs'!AB89</f>
        <v>0</v>
      </c>
      <c r="AC25" s="65"/>
      <c r="AD25" s="65"/>
      <c r="AE25" s="65"/>
      <c r="AF25" s="65"/>
      <c r="AG25" s="65"/>
      <c r="AH25" s="65"/>
      <c r="AI25" s="65"/>
      <c r="AJ25" s="65"/>
      <c r="AK25" s="65"/>
      <c r="AL25" s="65"/>
      <c r="AM25" s="65"/>
      <c r="AN25" s="65"/>
      <c r="AO25" s="65"/>
      <c r="AP25" s="65"/>
    </row>
    <row r="26" spans="2:44" x14ac:dyDescent="0.25">
      <c r="D26" s="91"/>
      <c r="F26" t="s">
        <v>227</v>
      </c>
      <c r="G26" t="s">
        <v>203</v>
      </c>
      <c r="J26" s="25">
        <f>'Fixed inputs'!J90</f>
        <v>0</v>
      </c>
      <c r="K26" s="25">
        <f>'Fixed inputs'!K90</f>
        <v>0</v>
      </c>
      <c r="L26" s="25">
        <f>'Fixed inputs'!L90</f>
        <v>0</v>
      </c>
      <c r="M26" s="25">
        <f>'Fixed inputs'!M90</f>
        <v>0</v>
      </c>
      <c r="N26" s="25">
        <f>'Fixed inputs'!N90</f>
        <v>0</v>
      </c>
      <c r="O26" s="25">
        <f>'Fixed inputs'!O90</f>
        <v>0</v>
      </c>
      <c r="P26" s="25">
        <f>'Fixed inputs'!P90</f>
        <v>0</v>
      </c>
      <c r="Q26" s="25">
        <f>'Fixed inputs'!Q90</f>
        <v>0</v>
      </c>
      <c r="R26" s="25">
        <f>'Fixed inputs'!R90</f>
        <v>0</v>
      </c>
      <c r="S26" s="25">
        <f>'Fixed inputs'!S90</f>
        <v>0</v>
      </c>
      <c r="T26" s="25">
        <f>'Fixed inputs'!T90</f>
        <v>0</v>
      </c>
      <c r="U26" s="25">
        <f>'Fixed inputs'!U90</f>
        <v>0</v>
      </c>
      <c r="V26" s="25">
        <f>'Fixed inputs'!V90</f>
        <v>0</v>
      </c>
      <c r="W26" s="25">
        <f>'Fixed inputs'!W90</f>
        <v>0</v>
      </c>
      <c r="X26" s="25">
        <f>'Fixed inputs'!X90</f>
        <v>0</v>
      </c>
      <c r="Y26" s="25">
        <f>'Fixed inputs'!Y90</f>
        <v>0</v>
      </c>
      <c r="Z26" s="25">
        <f>'Fixed inputs'!Z90</f>
        <v>0</v>
      </c>
      <c r="AA26" s="25">
        <f>'Fixed inputs'!AA90</f>
        <v>0</v>
      </c>
      <c r="AB26" s="25">
        <f>'Fixed inputs'!AB90</f>
        <v>0</v>
      </c>
      <c r="AC26" s="66"/>
      <c r="AD26" s="66"/>
      <c r="AE26" s="66"/>
      <c r="AF26" s="66"/>
      <c r="AG26" s="66"/>
      <c r="AH26" s="66"/>
      <c r="AI26" s="66"/>
      <c r="AJ26" s="66"/>
      <c r="AK26" s="66"/>
      <c r="AL26" s="66"/>
      <c r="AM26" s="66"/>
      <c r="AN26" s="66"/>
      <c r="AO26" s="66"/>
      <c r="AP26" s="66"/>
    </row>
    <row r="27" spans="2:44" x14ac:dyDescent="0.25">
      <c r="D27" s="91"/>
      <c r="F27" t="s">
        <v>228</v>
      </c>
      <c r="G27" t="s">
        <v>203</v>
      </c>
      <c r="J27" s="25">
        <f>'Fixed inputs'!J91</f>
        <v>0</v>
      </c>
      <c r="K27" s="25">
        <f>'Fixed inputs'!K91</f>
        <v>0</v>
      </c>
      <c r="L27" s="25">
        <f>'Fixed inputs'!L91</f>
        <v>0</v>
      </c>
      <c r="M27" s="25">
        <f>'Fixed inputs'!M91</f>
        <v>0</v>
      </c>
      <c r="N27" s="25">
        <f>'Fixed inputs'!N91</f>
        <v>0</v>
      </c>
      <c r="O27" s="25">
        <f>'Fixed inputs'!O91</f>
        <v>0</v>
      </c>
      <c r="P27" s="25">
        <f>'Fixed inputs'!P91</f>
        <v>0</v>
      </c>
      <c r="Q27" s="25">
        <f>'Fixed inputs'!Q91</f>
        <v>0</v>
      </c>
      <c r="R27" s="25">
        <f>'Fixed inputs'!R91</f>
        <v>0</v>
      </c>
      <c r="S27" s="25">
        <f>'Fixed inputs'!S91</f>
        <v>0</v>
      </c>
      <c r="T27" s="25">
        <f>'Fixed inputs'!T91</f>
        <v>0</v>
      </c>
      <c r="U27" s="25">
        <f>'Fixed inputs'!U91</f>
        <v>0</v>
      </c>
      <c r="V27" s="25">
        <f>'Fixed inputs'!V91</f>
        <v>0</v>
      </c>
      <c r="W27" s="25">
        <f>'Fixed inputs'!W91</f>
        <v>0</v>
      </c>
      <c r="X27" s="25">
        <f>'Fixed inputs'!X91</f>
        <v>0</v>
      </c>
      <c r="Y27" s="25">
        <f>'Fixed inputs'!Y91</f>
        <v>0</v>
      </c>
      <c r="Z27" s="25">
        <f>'Fixed inputs'!Z91</f>
        <v>0</v>
      </c>
      <c r="AA27" s="25">
        <f>'Fixed inputs'!AA91</f>
        <v>0</v>
      </c>
      <c r="AB27" s="25">
        <f>'Fixed inputs'!AB91</f>
        <v>0</v>
      </c>
      <c r="AC27" s="66"/>
      <c r="AD27" s="66"/>
      <c r="AE27" s="66"/>
      <c r="AF27" s="66"/>
      <c r="AG27" s="66"/>
      <c r="AH27" s="66"/>
      <c r="AI27" s="66"/>
      <c r="AJ27" s="66"/>
      <c r="AK27" s="66"/>
      <c r="AL27" s="66"/>
      <c r="AM27" s="66"/>
      <c r="AN27" s="66"/>
      <c r="AO27" s="66"/>
      <c r="AP27" s="66"/>
    </row>
    <row r="28" spans="2:44" x14ac:dyDescent="0.25">
      <c r="D28" s="91"/>
      <c r="F28" t="s">
        <v>229</v>
      </c>
      <c r="G28" t="s">
        <v>203</v>
      </c>
      <c r="J28" s="25">
        <f>'Fixed inputs'!J92</f>
        <v>0</v>
      </c>
      <c r="K28" s="25">
        <f>'Fixed inputs'!K92</f>
        <v>0</v>
      </c>
      <c r="L28" s="25">
        <f>'Fixed inputs'!L92</f>
        <v>0</v>
      </c>
      <c r="M28" s="25">
        <f>'Fixed inputs'!M92</f>
        <v>0</v>
      </c>
      <c r="N28" s="25">
        <f>'Fixed inputs'!N92</f>
        <v>0</v>
      </c>
      <c r="O28" s="25">
        <f>'Fixed inputs'!O92</f>
        <v>0</v>
      </c>
      <c r="P28" s="25">
        <f>'Fixed inputs'!P92</f>
        <v>0</v>
      </c>
      <c r="Q28" s="25">
        <f>'Fixed inputs'!Q92</f>
        <v>0</v>
      </c>
      <c r="R28" s="25">
        <f>'Fixed inputs'!R92</f>
        <v>0</v>
      </c>
      <c r="S28" s="25">
        <f>'Fixed inputs'!S92</f>
        <v>0</v>
      </c>
      <c r="T28" s="25">
        <f>'Fixed inputs'!T92</f>
        <v>0</v>
      </c>
      <c r="U28" s="25">
        <f>'Fixed inputs'!U92</f>
        <v>0</v>
      </c>
      <c r="V28" s="25">
        <f>'Fixed inputs'!V92</f>
        <v>0</v>
      </c>
      <c r="W28" s="25">
        <f>'Fixed inputs'!W92</f>
        <v>0</v>
      </c>
      <c r="X28" s="25">
        <f>'Fixed inputs'!X92</f>
        <v>0</v>
      </c>
      <c r="Y28" s="25">
        <f>'Fixed inputs'!Y92</f>
        <v>0</v>
      </c>
      <c r="Z28" s="25">
        <f>'Fixed inputs'!Z92</f>
        <v>0</v>
      </c>
      <c r="AA28" s="25">
        <f>'Fixed inputs'!AA92</f>
        <v>0</v>
      </c>
      <c r="AB28" s="25">
        <f>'Fixed inputs'!AB92</f>
        <v>0</v>
      </c>
      <c r="AC28" s="66"/>
      <c r="AD28" s="66"/>
      <c r="AE28" s="66"/>
      <c r="AF28" s="66"/>
      <c r="AG28" s="66"/>
      <c r="AH28" s="66"/>
      <c r="AI28" s="66"/>
      <c r="AJ28" s="66"/>
      <c r="AK28" s="66"/>
      <c r="AL28" s="66"/>
      <c r="AM28" s="66"/>
      <c r="AN28" s="66"/>
      <c r="AO28" s="66"/>
      <c r="AP28" s="66"/>
    </row>
    <row r="29" spans="2:44" x14ac:dyDescent="0.25">
      <c r="D29" s="91"/>
      <c r="F29" t="s">
        <v>230</v>
      </c>
      <c r="G29" t="s">
        <v>203</v>
      </c>
      <c r="J29" s="25">
        <f>'Fixed inputs'!J93</f>
        <v>0</v>
      </c>
      <c r="K29" s="25">
        <f>'Fixed inputs'!K93</f>
        <v>0</v>
      </c>
      <c r="L29" s="25">
        <f>'Fixed inputs'!L93</f>
        <v>0</v>
      </c>
      <c r="M29" s="25">
        <f>'Fixed inputs'!M93</f>
        <v>0</v>
      </c>
      <c r="N29" s="25">
        <f>'Fixed inputs'!N93</f>
        <v>0</v>
      </c>
      <c r="O29" s="25">
        <f>'Fixed inputs'!O93</f>
        <v>0</v>
      </c>
      <c r="P29" s="25">
        <f>'Fixed inputs'!P93</f>
        <v>0</v>
      </c>
      <c r="Q29" s="25">
        <f>'Fixed inputs'!Q93</f>
        <v>0</v>
      </c>
      <c r="R29" s="25">
        <f>'Fixed inputs'!R93</f>
        <v>0.2</v>
      </c>
      <c r="S29" s="25">
        <f>'Fixed inputs'!S93</f>
        <v>0</v>
      </c>
      <c r="T29" s="25">
        <f>'Fixed inputs'!T93</f>
        <v>0</v>
      </c>
      <c r="U29" s="25">
        <f>'Fixed inputs'!U93</f>
        <v>0</v>
      </c>
      <c r="V29" s="25">
        <f>'Fixed inputs'!V93</f>
        <v>0</v>
      </c>
      <c r="W29" s="25">
        <f>'Fixed inputs'!W93</f>
        <v>0.2</v>
      </c>
      <c r="X29" s="25">
        <f>'Fixed inputs'!X93</f>
        <v>0</v>
      </c>
      <c r="Y29" s="25">
        <f>'Fixed inputs'!Y93</f>
        <v>0</v>
      </c>
      <c r="Z29" s="25">
        <f>'Fixed inputs'!Z93</f>
        <v>0</v>
      </c>
      <c r="AA29" s="25">
        <f>'Fixed inputs'!AA93</f>
        <v>0</v>
      </c>
      <c r="AB29" s="25">
        <f>'Fixed inputs'!AB93</f>
        <v>0</v>
      </c>
      <c r="AC29" s="66"/>
      <c r="AD29" s="66"/>
      <c r="AE29" s="66"/>
      <c r="AF29" s="66"/>
      <c r="AG29" s="66"/>
      <c r="AH29" s="66"/>
      <c r="AI29" s="66"/>
      <c r="AJ29" s="66"/>
      <c r="AK29" s="66"/>
      <c r="AL29" s="66"/>
      <c r="AM29" s="66"/>
      <c r="AN29" s="66"/>
      <c r="AO29" s="66"/>
      <c r="AP29" s="66"/>
    </row>
    <row r="30" spans="2:44" x14ac:dyDescent="0.25">
      <c r="D30" s="91"/>
      <c r="F30" t="s">
        <v>231</v>
      </c>
      <c r="G30" t="s">
        <v>203</v>
      </c>
      <c r="J30" s="25">
        <f>'Fixed inputs'!J94</f>
        <v>0</v>
      </c>
      <c r="K30" s="25">
        <f>'Fixed inputs'!K94</f>
        <v>0</v>
      </c>
      <c r="L30" s="25">
        <f>'Fixed inputs'!L94</f>
        <v>0</v>
      </c>
      <c r="M30" s="25">
        <f>'Fixed inputs'!M94</f>
        <v>0</v>
      </c>
      <c r="N30" s="25">
        <f>'Fixed inputs'!N94</f>
        <v>0</v>
      </c>
      <c r="O30" s="25">
        <f>'Fixed inputs'!O94</f>
        <v>0</v>
      </c>
      <c r="P30" s="25">
        <f>'Fixed inputs'!P94</f>
        <v>0</v>
      </c>
      <c r="Q30" s="25">
        <f>'Fixed inputs'!Q94</f>
        <v>0</v>
      </c>
      <c r="R30" s="25">
        <f>'Fixed inputs'!R94</f>
        <v>1</v>
      </c>
      <c r="S30" s="25">
        <f>'Fixed inputs'!S94</f>
        <v>0</v>
      </c>
      <c r="T30" s="25">
        <f>'Fixed inputs'!T94</f>
        <v>0</v>
      </c>
      <c r="U30" s="25">
        <f>'Fixed inputs'!U94</f>
        <v>0</v>
      </c>
      <c r="V30" s="25">
        <f>'Fixed inputs'!V94</f>
        <v>0</v>
      </c>
      <c r="W30" s="25">
        <f>'Fixed inputs'!W94</f>
        <v>1</v>
      </c>
      <c r="X30" s="25">
        <f>'Fixed inputs'!X94</f>
        <v>0</v>
      </c>
      <c r="Y30" s="25">
        <f>'Fixed inputs'!Y94</f>
        <v>0</v>
      </c>
      <c r="Z30" s="25">
        <f>'Fixed inputs'!Z94</f>
        <v>0</v>
      </c>
      <c r="AA30" s="25">
        <f>'Fixed inputs'!AA94</f>
        <v>0</v>
      </c>
      <c r="AB30" s="25">
        <f>'Fixed inputs'!AB94</f>
        <v>0</v>
      </c>
      <c r="AC30" s="66"/>
      <c r="AD30" s="66"/>
      <c r="AE30" s="66"/>
      <c r="AF30" s="66"/>
      <c r="AG30" s="66"/>
      <c r="AH30" s="66"/>
      <c r="AI30" s="66"/>
      <c r="AJ30" s="66"/>
      <c r="AK30" s="66"/>
      <c r="AL30" s="66"/>
      <c r="AM30" s="66"/>
      <c r="AN30" s="66"/>
      <c r="AO30" s="66"/>
      <c r="AP30" s="66"/>
    </row>
    <row r="31" spans="2:44" x14ac:dyDescent="0.25">
      <c r="D31" s="91"/>
      <c r="F31" t="s">
        <v>232</v>
      </c>
      <c r="G31" t="s">
        <v>203</v>
      </c>
      <c r="J31" s="25">
        <f>'Fixed inputs'!J95</f>
        <v>0</v>
      </c>
      <c r="K31" s="25">
        <f>'Fixed inputs'!K95</f>
        <v>0</v>
      </c>
      <c r="L31" s="25">
        <f>'Fixed inputs'!L95</f>
        <v>0</v>
      </c>
      <c r="M31" s="25">
        <f>'Fixed inputs'!M95</f>
        <v>0</v>
      </c>
      <c r="N31" s="25">
        <f>'Fixed inputs'!N95</f>
        <v>0</v>
      </c>
      <c r="O31" s="25">
        <f>'Fixed inputs'!O95</f>
        <v>0</v>
      </c>
      <c r="P31" s="25">
        <f>'Fixed inputs'!P95</f>
        <v>0</v>
      </c>
      <c r="Q31" s="25">
        <f>'Fixed inputs'!Q95</f>
        <v>0</v>
      </c>
      <c r="R31" s="25">
        <f>'Fixed inputs'!R95</f>
        <v>0</v>
      </c>
      <c r="S31" s="25">
        <f>'Fixed inputs'!S95</f>
        <v>0</v>
      </c>
      <c r="T31" s="25">
        <f>'Fixed inputs'!T95</f>
        <v>0</v>
      </c>
      <c r="U31" s="25">
        <f>'Fixed inputs'!U95</f>
        <v>0</v>
      </c>
      <c r="V31" s="25">
        <f>'Fixed inputs'!V95</f>
        <v>0</v>
      </c>
      <c r="W31" s="25">
        <f>'Fixed inputs'!W95</f>
        <v>0</v>
      </c>
      <c r="X31" s="25">
        <f>'Fixed inputs'!X95</f>
        <v>0</v>
      </c>
      <c r="Y31" s="25">
        <f>'Fixed inputs'!Y95</f>
        <v>0</v>
      </c>
      <c r="Z31" s="25">
        <f>'Fixed inputs'!Z95</f>
        <v>0</v>
      </c>
      <c r="AA31" s="25">
        <f>'Fixed inputs'!AA95</f>
        <v>0</v>
      </c>
      <c r="AB31" s="25">
        <f>'Fixed inputs'!AB95</f>
        <v>0</v>
      </c>
      <c r="AC31" s="66"/>
      <c r="AD31" s="66"/>
      <c r="AE31" s="66"/>
      <c r="AF31" s="66"/>
      <c r="AG31" s="66"/>
      <c r="AH31" s="66"/>
      <c r="AI31" s="66"/>
      <c r="AJ31" s="66"/>
      <c r="AK31" s="66"/>
      <c r="AL31" s="66"/>
      <c r="AM31" s="66"/>
      <c r="AN31" s="66"/>
      <c r="AO31" s="66"/>
      <c r="AP31" s="66"/>
    </row>
    <row r="32" spans="2:44" x14ac:dyDescent="0.25">
      <c r="D32" s="91"/>
      <c r="F32" t="s">
        <v>233</v>
      </c>
      <c r="G32" t="s">
        <v>203</v>
      </c>
      <c r="J32" s="25">
        <f>'Fixed inputs'!J96</f>
        <v>0</v>
      </c>
      <c r="K32" s="25">
        <f>'Fixed inputs'!K96</f>
        <v>0</v>
      </c>
      <c r="L32" s="25">
        <f>'Fixed inputs'!L96</f>
        <v>0</v>
      </c>
      <c r="M32" s="25">
        <f>'Fixed inputs'!M96</f>
        <v>0</v>
      </c>
      <c r="N32" s="25">
        <f>'Fixed inputs'!N96</f>
        <v>0</v>
      </c>
      <c r="O32" s="25">
        <f>'Fixed inputs'!O96</f>
        <v>0</v>
      </c>
      <c r="P32" s="25">
        <f>'Fixed inputs'!P96</f>
        <v>0</v>
      </c>
      <c r="Q32" s="25">
        <f>'Fixed inputs'!Q96</f>
        <v>0</v>
      </c>
      <c r="R32" s="25">
        <f>'Fixed inputs'!R96</f>
        <v>1</v>
      </c>
      <c r="S32" s="25">
        <f>'Fixed inputs'!S96</f>
        <v>0</v>
      </c>
      <c r="T32" s="25">
        <f>'Fixed inputs'!T96</f>
        <v>0</v>
      </c>
      <c r="U32" s="25">
        <f>'Fixed inputs'!U96</f>
        <v>0.2</v>
      </c>
      <c r="V32" s="25">
        <f>'Fixed inputs'!V96</f>
        <v>1</v>
      </c>
      <c r="W32" s="25">
        <f>'Fixed inputs'!W96</f>
        <v>1</v>
      </c>
      <c r="X32" s="25">
        <f>'Fixed inputs'!X96</f>
        <v>0</v>
      </c>
      <c r="Y32" s="25">
        <f>'Fixed inputs'!Y96</f>
        <v>0</v>
      </c>
      <c r="Z32" s="25">
        <f>'Fixed inputs'!Z96</f>
        <v>0</v>
      </c>
      <c r="AA32" s="25">
        <f>'Fixed inputs'!AA96</f>
        <v>0</v>
      </c>
      <c r="AB32" s="25">
        <f>'Fixed inputs'!AB96</f>
        <v>0</v>
      </c>
      <c r="AC32" s="66"/>
      <c r="AD32" s="66"/>
      <c r="AE32" s="66"/>
      <c r="AF32" s="66"/>
      <c r="AG32" s="66"/>
      <c r="AH32" s="66"/>
      <c r="AI32" s="66"/>
      <c r="AJ32" s="66"/>
      <c r="AK32" s="66"/>
      <c r="AL32" s="66"/>
      <c r="AM32" s="66"/>
      <c r="AN32" s="66"/>
      <c r="AO32" s="66"/>
      <c r="AP32" s="66"/>
    </row>
    <row r="33" spans="4:44" x14ac:dyDescent="0.25">
      <c r="D33" s="91"/>
      <c r="F33" t="s">
        <v>234</v>
      </c>
      <c r="G33" t="s">
        <v>203</v>
      </c>
      <c r="J33" s="25">
        <f>'Fixed inputs'!J97</f>
        <v>0</v>
      </c>
      <c r="K33" s="25">
        <f>'Fixed inputs'!K97</f>
        <v>0</v>
      </c>
      <c r="L33" s="25">
        <f>'Fixed inputs'!L97</f>
        <v>0</v>
      </c>
      <c r="M33" s="25">
        <f>'Fixed inputs'!M97</f>
        <v>0</v>
      </c>
      <c r="N33" s="25">
        <f>'Fixed inputs'!N97</f>
        <v>0</v>
      </c>
      <c r="O33" s="25">
        <f>'Fixed inputs'!O97</f>
        <v>0</v>
      </c>
      <c r="P33" s="25">
        <f>'Fixed inputs'!P97</f>
        <v>0</v>
      </c>
      <c r="Q33" s="25">
        <f>'Fixed inputs'!Q97</f>
        <v>1</v>
      </c>
      <c r="R33" s="25">
        <f>'Fixed inputs'!R97</f>
        <v>0</v>
      </c>
      <c r="S33" s="25">
        <f>'Fixed inputs'!S97</f>
        <v>0</v>
      </c>
      <c r="T33" s="25">
        <f>'Fixed inputs'!T97</f>
        <v>0</v>
      </c>
      <c r="U33" s="25">
        <f>'Fixed inputs'!U97</f>
        <v>1</v>
      </c>
      <c r="V33" s="25">
        <f>'Fixed inputs'!V97</f>
        <v>1</v>
      </c>
      <c r="W33" s="25">
        <f>'Fixed inputs'!W97</f>
        <v>0</v>
      </c>
      <c r="X33" s="25">
        <f>'Fixed inputs'!X97</f>
        <v>0</v>
      </c>
      <c r="Y33" s="25">
        <f>'Fixed inputs'!Y97</f>
        <v>0</v>
      </c>
      <c r="Z33" s="25">
        <f>'Fixed inputs'!Z97</f>
        <v>0</v>
      </c>
      <c r="AA33" s="25">
        <f>'Fixed inputs'!AA97</f>
        <v>0</v>
      </c>
      <c r="AB33" s="25">
        <f>'Fixed inputs'!AB97</f>
        <v>0</v>
      </c>
      <c r="AC33" s="66"/>
      <c r="AD33" s="66"/>
      <c r="AE33" s="66"/>
      <c r="AF33" s="66"/>
      <c r="AG33" s="66"/>
      <c r="AH33" s="66"/>
      <c r="AI33" s="66"/>
      <c r="AJ33" s="66"/>
      <c r="AK33" s="66"/>
      <c r="AL33" s="66"/>
      <c r="AM33" s="66"/>
      <c r="AN33" s="66"/>
      <c r="AO33" s="66"/>
      <c r="AP33" s="66"/>
    </row>
    <row r="34" spans="4:44" x14ac:dyDescent="0.25">
      <c r="D34" s="91"/>
      <c r="F34" t="s">
        <v>235</v>
      </c>
      <c r="G34" t="s">
        <v>203</v>
      </c>
      <c r="J34" s="25">
        <f>'Fixed inputs'!J98</f>
        <v>1</v>
      </c>
      <c r="K34" s="25">
        <f>'Fixed inputs'!K98</f>
        <v>1</v>
      </c>
      <c r="L34" s="25">
        <f>'Fixed inputs'!L98</f>
        <v>1</v>
      </c>
      <c r="M34" s="25">
        <f>'Fixed inputs'!M98</f>
        <v>1</v>
      </c>
      <c r="N34" s="25">
        <f>'Fixed inputs'!N98</f>
        <v>1</v>
      </c>
      <c r="O34" s="25">
        <f>'Fixed inputs'!O98</f>
        <v>1</v>
      </c>
      <c r="P34" s="25">
        <f>'Fixed inputs'!P98</f>
        <v>1</v>
      </c>
      <c r="Q34" s="25">
        <f>'Fixed inputs'!Q98</f>
        <v>0</v>
      </c>
      <c r="R34" s="25">
        <f>'Fixed inputs'!R98</f>
        <v>0</v>
      </c>
      <c r="S34" s="25">
        <f>'Fixed inputs'!S98</f>
        <v>1</v>
      </c>
      <c r="T34" s="25">
        <f>'Fixed inputs'!T98</f>
        <v>1</v>
      </c>
      <c r="U34" s="25">
        <f>'Fixed inputs'!U98</f>
        <v>1</v>
      </c>
      <c r="V34" s="25">
        <f>'Fixed inputs'!V98</f>
        <v>0</v>
      </c>
      <c r="W34" s="25">
        <f>'Fixed inputs'!W98</f>
        <v>0</v>
      </c>
      <c r="X34" s="25">
        <f>'Fixed inputs'!X98</f>
        <v>0</v>
      </c>
      <c r="Y34" s="25">
        <f>'Fixed inputs'!Y98</f>
        <v>0</v>
      </c>
      <c r="Z34" s="25">
        <f>'Fixed inputs'!Z98</f>
        <v>0</v>
      </c>
      <c r="AA34" s="25">
        <f>'Fixed inputs'!AA98</f>
        <v>0</v>
      </c>
      <c r="AB34" s="25">
        <f>'Fixed inputs'!AB98</f>
        <v>0</v>
      </c>
      <c r="AC34" s="66"/>
      <c r="AD34" s="66"/>
      <c r="AE34" s="66"/>
      <c r="AF34" s="66"/>
      <c r="AG34" s="66"/>
      <c r="AH34" s="66"/>
      <c r="AI34" s="66"/>
      <c r="AJ34" s="66"/>
      <c r="AK34" s="66"/>
      <c r="AL34" s="66"/>
      <c r="AM34" s="66"/>
      <c r="AN34" s="66"/>
      <c r="AO34" s="66"/>
      <c r="AP34" s="66"/>
    </row>
    <row r="35" spans="4:44" x14ac:dyDescent="0.25">
      <c r="D35" s="91"/>
      <c r="F35" t="s">
        <v>436</v>
      </c>
      <c r="G35" t="s">
        <v>203</v>
      </c>
      <c r="J35" s="66"/>
      <c r="K35" s="66"/>
      <c r="L35" s="66"/>
      <c r="M35" s="66"/>
      <c r="N35" s="66"/>
      <c r="O35" s="66"/>
      <c r="P35" s="66"/>
      <c r="Q35" s="66"/>
      <c r="R35" s="66"/>
      <c r="S35" s="66"/>
      <c r="T35" s="66"/>
      <c r="U35" s="66"/>
      <c r="V35" s="66"/>
      <c r="W35" s="66"/>
      <c r="X35" s="66"/>
      <c r="Y35" s="66"/>
      <c r="Z35" s="66"/>
      <c r="AA35" s="66"/>
      <c r="AB35" s="66"/>
      <c r="AC35" s="66"/>
      <c r="AD35" s="66"/>
      <c r="AE35" s="66"/>
      <c r="AF35" s="66"/>
      <c r="AG35" s="66"/>
      <c r="AH35" s="66"/>
      <c r="AI35" s="66"/>
      <c r="AJ35" s="66"/>
      <c r="AK35" s="66"/>
      <c r="AL35" s="66"/>
      <c r="AM35" s="66"/>
      <c r="AN35" s="66"/>
      <c r="AO35" s="66"/>
      <c r="AP35" s="66"/>
    </row>
    <row r="36" spans="4:44" x14ac:dyDescent="0.25">
      <c r="D36" s="91"/>
      <c r="F36" s="37" t="s">
        <v>437</v>
      </c>
      <c r="G36" s="37" t="s">
        <v>203</v>
      </c>
      <c r="H36" s="37"/>
      <c r="I36" s="37"/>
      <c r="J36" s="68"/>
      <c r="K36" s="68"/>
      <c r="L36" s="68"/>
      <c r="M36" s="68"/>
      <c r="N36" s="68"/>
      <c r="O36" s="68"/>
      <c r="P36" s="68"/>
      <c r="Q36" s="68"/>
      <c r="R36" s="68"/>
      <c r="S36" s="68"/>
      <c r="T36" s="68"/>
      <c r="U36" s="68"/>
      <c r="V36" s="68"/>
      <c r="W36" s="68"/>
      <c r="X36" s="68"/>
      <c r="Y36" s="68"/>
      <c r="Z36" s="68"/>
      <c r="AA36" s="68"/>
      <c r="AB36" s="68"/>
      <c r="AC36" s="68"/>
      <c r="AD36" s="68"/>
      <c r="AE36" s="68"/>
      <c r="AF36" s="68"/>
      <c r="AG36" s="68"/>
      <c r="AH36" s="68"/>
      <c r="AI36" s="68"/>
      <c r="AJ36" s="68"/>
      <c r="AK36" s="68"/>
      <c r="AL36" s="68"/>
      <c r="AM36" s="68"/>
      <c r="AN36" s="68"/>
      <c r="AO36" s="68"/>
      <c r="AP36" s="68"/>
    </row>
    <row r="37" spans="4:44" x14ac:dyDescent="0.25">
      <c r="D37" s="91"/>
      <c r="F37" s="2"/>
    </row>
    <row r="38" spans="4:44" x14ac:dyDescent="0.25">
      <c r="D38"/>
      <c r="E38" s="32" t="s">
        <v>340</v>
      </c>
      <c r="F38" s="2"/>
    </row>
    <row r="39" spans="4:44" x14ac:dyDescent="0.25">
      <c r="D39" s="91"/>
      <c r="E39"/>
      <c r="F39" s="28" t="s">
        <v>340</v>
      </c>
      <c r="G39" s="28" t="s">
        <v>203</v>
      </c>
      <c r="H39" s="25">
        <f>'Inputs by network level'!P17</f>
        <v>0</v>
      </c>
    </row>
    <row r="40" spans="4:44" x14ac:dyDescent="0.25">
      <c r="D40" s="91"/>
      <c r="F40" s="2"/>
    </row>
    <row r="41" spans="4:44" x14ac:dyDescent="0.25">
      <c r="D41"/>
      <c r="E41" s="32" t="s">
        <v>438</v>
      </c>
      <c r="F41" s="32"/>
    </row>
    <row r="42" spans="4:44" x14ac:dyDescent="0.25">
      <c r="D42"/>
      <c r="E42" s="29" t="s">
        <v>439</v>
      </c>
    </row>
    <row r="43" spans="4:44" x14ac:dyDescent="0.25">
      <c r="D43" s="91"/>
      <c r="F43" s="23" t="s">
        <v>225</v>
      </c>
      <c r="G43" s="23" t="s">
        <v>203</v>
      </c>
      <c r="H43" s="23"/>
      <c r="I43" s="23"/>
      <c r="J43" s="65"/>
      <c r="K43" s="65"/>
      <c r="L43" s="65"/>
      <c r="M43" s="65"/>
      <c r="N43" s="65"/>
      <c r="O43" s="65"/>
      <c r="P43" s="65"/>
      <c r="Q43" s="65"/>
      <c r="R43" s="65"/>
      <c r="S43" s="65"/>
      <c r="T43" s="65"/>
      <c r="U43" s="65"/>
      <c r="V43" s="65"/>
      <c r="W43" s="65"/>
      <c r="X43" s="65"/>
      <c r="Y43" s="65"/>
      <c r="Z43" s="65"/>
      <c r="AA43" s="65"/>
      <c r="AB43" s="65"/>
      <c r="AC43" s="65"/>
      <c r="AD43" s="65"/>
      <c r="AE43" s="65"/>
      <c r="AF43" s="65"/>
      <c r="AG43" s="65"/>
      <c r="AH43" s="65"/>
      <c r="AI43" s="65"/>
      <c r="AJ43" s="65"/>
      <c r="AK43" s="65"/>
      <c r="AL43" s="65"/>
      <c r="AM43" s="65"/>
      <c r="AN43" s="65"/>
      <c r="AO43" s="65"/>
      <c r="AP43" s="65"/>
    </row>
    <row r="44" spans="4:44" x14ac:dyDescent="0.25">
      <c r="D44" s="91"/>
      <c r="F44" t="s">
        <v>227</v>
      </c>
      <c r="G44" t="s">
        <v>203</v>
      </c>
      <c r="J44" s="66"/>
      <c r="K44" s="66"/>
      <c r="L44" s="66"/>
      <c r="M44" s="66"/>
      <c r="N44" s="66"/>
      <c r="O44" s="66"/>
      <c r="P44" s="66"/>
      <c r="Q44" s="66"/>
      <c r="R44" s="66"/>
      <c r="S44" s="66"/>
      <c r="T44" s="66"/>
      <c r="U44" s="66"/>
      <c r="V44" s="66"/>
      <c r="W44" s="66"/>
      <c r="X44" s="66"/>
      <c r="Y44" s="66"/>
      <c r="Z44" s="66"/>
      <c r="AA44" s="66"/>
      <c r="AB44" s="66"/>
      <c r="AC44" s="66"/>
      <c r="AD44" s="66"/>
      <c r="AE44" s="66"/>
      <c r="AF44" s="66"/>
      <c r="AG44" s="66"/>
      <c r="AH44" s="66"/>
      <c r="AI44" s="66"/>
      <c r="AJ44" s="66"/>
      <c r="AK44" s="66"/>
      <c r="AL44" s="66"/>
      <c r="AM44" s="66"/>
      <c r="AN44" s="66"/>
      <c r="AO44" s="66"/>
      <c r="AP44" s="66"/>
    </row>
    <row r="45" spans="4:44" x14ac:dyDescent="0.25">
      <c r="D45" s="91"/>
      <c r="F45" s="111" t="s">
        <v>228</v>
      </c>
      <c r="G45" s="111" t="s">
        <v>203</v>
      </c>
      <c r="H45" s="111"/>
      <c r="I45" s="111" t="s">
        <v>190</v>
      </c>
      <c r="J45" s="112">
        <f>IF($H$39 = 0, J25, J29 * $H$39)</f>
        <v>0</v>
      </c>
      <c r="K45" s="112">
        <f t="shared" ref="K45:AB45" si="0">IF($H$39 = 0, K25, K29 * $H$39)</f>
        <v>0</v>
      </c>
      <c r="L45" s="112">
        <f t="shared" si="0"/>
        <v>0</v>
      </c>
      <c r="M45" s="112">
        <f t="shared" si="0"/>
        <v>0</v>
      </c>
      <c r="N45" s="112">
        <f t="shared" si="0"/>
        <v>0</v>
      </c>
      <c r="O45" s="112">
        <f t="shared" si="0"/>
        <v>0</v>
      </c>
      <c r="P45" s="112">
        <f t="shared" si="0"/>
        <v>0</v>
      </c>
      <c r="Q45" s="112">
        <f t="shared" si="0"/>
        <v>0</v>
      </c>
      <c r="R45" s="112">
        <f t="shared" si="0"/>
        <v>0</v>
      </c>
      <c r="S45" s="112">
        <f t="shared" si="0"/>
        <v>0</v>
      </c>
      <c r="T45" s="112">
        <f t="shared" si="0"/>
        <v>0</v>
      </c>
      <c r="U45" s="112">
        <f t="shared" si="0"/>
        <v>0</v>
      </c>
      <c r="V45" s="112">
        <f t="shared" si="0"/>
        <v>0</v>
      </c>
      <c r="W45" s="112">
        <f t="shared" si="0"/>
        <v>0</v>
      </c>
      <c r="X45" s="112">
        <f t="shared" si="0"/>
        <v>0</v>
      </c>
      <c r="Y45" s="112">
        <f t="shared" si="0"/>
        <v>0</v>
      </c>
      <c r="Z45" s="112">
        <f t="shared" si="0"/>
        <v>0</v>
      </c>
      <c r="AA45" s="112">
        <f t="shared" si="0"/>
        <v>0</v>
      </c>
      <c r="AB45" s="112">
        <f t="shared" si="0"/>
        <v>0</v>
      </c>
      <c r="AC45" s="113"/>
      <c r="AD45" s="113"/>
      <c r="AE45" s="113"/>
      <c r="AF45" s="113"/>
      <c r="AG45" s="113"/>
      <c r="AH45" s="113"/>
      <c r="AI45" s="113"/>
      <c r="AJ45" s="113"/>
      <c r="AK45" s="113"/>
      <c r="AL45" s="113"/>
      <c r="AM45" s="113"/>
      <c r="AN45" s="113"/>
      <c r="AO45" s="113"/>
      <c r="AP45" s="113"/>
      <c r="AR45" t="s">
        <v>440</v>
      </c>
    </row>
    <row r="46" spans="4:44" x14ac:dyDescent="0.25">
      <c r="D46" s="91"/>
      <c r="F46" t="s">
        <v>229</v>
      </c>
      <c r="G46" t="s">
        <v>203</v>
      </c>
      <c r="J46" s="114">
        <f t="shared" ref="J46:AB46" si="1">J28</f>
        <v>0</v>
      </c>
      <c r="K46" s="114">
        <f t="shared" si="1"/>
        <v>0</v>
      </c>
      <c r="L46" s="114">
        <f t="shared" si="1"/>
        <v>0</v>
      </c>
      <c r="M46" s="114">
        <f t="shared" si="1"/>
        <v>0</v>
      </c>
      <c r="N46" s="114">
        <f t="shared" si="1"/>
        <v>0</v>
      </c>
      <c r="O46" s="114">
        <f t="shared" si="1"/>
        <v>0</v>
      </c>
      <c r="P46" s="114">
        <f t="shared" si="1"/>
        <v>0</v>
      </c>
      <c r="Q46" s="114">
        <f t="shared" si="1"/>
        <v>0</v>
      </c>
      <c r="R46" s="114">
        <f t="shared" si="1"/>
        <v>0</v>
      </c>
      <c r="S46" s="114">
        <f t="shared" si="1"/>
        <v>0</v>
      </c>
      <c r="T46" s="114">
        <f t="shared" si="1"/>
        <v>0</v>
      </c>
      <c r="U46" s="114">
        <f t="shared" si="1"/>
        <v>0</v>
      </c>
      <c r="V46" s="114">
        <f t="shared" si="1"/>
        <v>0</v>
      </c>
      <c r="W46" s="114">
        <f t="shared" si="1"/>
        <v>0</v>
      </c>
      <c r="X46" s="114">
        <f t="shared" si="1"/>
        <v>0</v>
      </c>
      <c r="Y46" s="114">
        <f t="shared" si="1"/>
        <v>0</v>
      </c>
      <c r="Z46" s="114">
        <f t="shared" si="1"/>
        <v>0</v>
      </c>
      <c r="AA46" s="114">
        <f t="shared" si="1"/>
        <v>0</v>
      </c>
      <c r="AB46" s="114">
        <f t="shared" si="1"/>
        <v>0</v>
      </c>
      <c r="AC46" s="66"/>
      <c r="AD46" s="66"/>
      <c r="AE46" s="66"/>
      <c r="AF46" s="66"/>
      <c r="AG46" s="66"/>
      <c r="AH46" s="66"/>
      <c r="AI46" s="66"/>
      <c r="AJ46" s="66"/>
      <c r="AK46" s="66"/>
      <c r="AL46" s="66"/>
      <c r="AM46" s="66"/>
      <c r="AN46" s="66"/>
      <c r="AO46" s="66"/>
      <c r="AP46" s="66"/>
    </row>
    <row r="47" spans="4:44" x14ac:dyDescent="0.25">
      <c r="D47" s="91"/>
      <c r="F47" t="s">
        <v>230</v>
      </c>
      <c r="G47" t="s">
        <v>203</v>
      </c>
      <c r="J47" s="114">
        <f t="shared" ref="J47:AB47" si="2">J29</f>
        <v>0</v>
      </c>
      <c r="K47" s="114">
        <f t="shared" si="2"/>
        <v>0</v>
      </c>
      <c r="L47" s="114">
        <f t="shared" si="2"/>
        <v>0</v>
      </c>
      <c r="M47" s="114">
        <f t="shared" si="2"/>
        <v>0</v>
      </c>
      <c r="N47" s="114">
        <f t="shared" si="2"/>
        <v>0</v>
      </c>
      <c r="O47" s="114">
        <f t="shared" si="2"/>
        <v>0</v>
      </c>
      <c r="P47" s="114">
        <f t="shared" si="2"/>
        <v>0</v>
      </c>
      <c r="Q47" s="114">
        <f t="shared" si="2"/>
        <v>0</v>
      </c>
      <c r="R47" s="114">
        <f t="shared" si="2"/>
        <v>0.2</v>
      </c>
      <c r="S47" s="114">
        <f t="shared" si="2"/>
        <v>0</v>
      </c>
      <c r="T47" s="114">
        <f t="shared" si="2"/>
        <v>0</v>
      </c>
      <c r="U47" s="114">
        <f t="shared" si="2"/>
        <v>0</v>
      </c>
      <c r="V47" s="114">
        <f t="shared" si="2"/>
        <v>0</v>
      </c>
      <c r="W47" s="114">
        <f t="shared" si="2"/>
        <v>0.2</v>
      </c>
      <c r="X47" s="114">
        <f t="shared" si="2"/>
        <v>0</v>
      </c>
      <c r="Y47" s="114">
        <f t="shared" si="2"/>
        <v>0</v>
      </c>
      <c r="Z47" s="114">
        <f t="shared" si="2"/>
        <v>0</v>
      </c>
      <c r="AA47" s="114">
        <f t="shared" si="2"/>
        <v>0</v>
      </c>
      <c r="AB47" s="114">
        <f t="shared" si="2"/>
        <v>0</v>
      </c>
      <c r="AC47" s="66"/>
      <c r="AD47" s="66"/>
      <c r="AE47" s="66"/>
      <c r="AF47" s="66"/>
      <c r="AG47" s="66"/>
      <c r="AH47" s="66"/>
      <c r="AI47" s="66"/>
      <c r="AJ47" s="66"/>
      <c r="AK47" s="66"/>
      <c r="AL47" s="66"/>
      <c r="AM47" s="66"/>
      <c r="AN47" s="66"/>
      <c r="AO47" s="66"/>
      <c r="AP47" s="66"/>
    </row>
    <row r="48" spans="4:44" x14ac:dyDescent="0.25">
      <c r="D48" s="91"/>
      <c r="F48" t="s">
        <v>231</v>
      </c>
      <c r="G48" t="s">
        <v>203</v>
      </c>
      <c r="J48" s="114">
        <f t="shared" ref="J48:AB48" si="3">J30</f>
        <v>0</v>
      </c>
      <c r="K48" s="114">
        <f t="shared" si="3"/>
        <v>0</v>
      </c>
      <c r="L48" s="114">
        <f t="shared" si="3"/>
        <v>0</v>
      </c>
      <c r="M48" s="114">
        <f t="shared" si="3"/>
        <v>0</v>
      </c>
      <c r="N48" s="114">
        <f t="shared" si="3"/>
        <v>0</v>
      </c>
      <c r="O48" s="114">
        <f t="shared" si="3"/>
        <v>0</v>
      </c>
      <c r="P48" s="114">
        <f t="shared" si="3"/>
        <v>0</v>
      </c>
      <c r="Q48" s="114">
        <f t="shared" si="3"/>
        <v>0</v>
      </c>
      <c r="R48" s="114">
        <f t="shared" si="3"/>
        <v>1</v>
      </c>
      <c r="S48" s="114">
        <f t="shared" si="3"/>
        <v>0</v>
      </c>
      <c r="T48" s="114">
        <f t="shared" si="3"/>
        <v>0</v>
      </c>
      <c r="U48" s="114">
        <f t="shared" si="3"/>
        <v>0</v>
      </c>
      <c r="V48" s="114">
        <f t="shared" si="3"/>
        <v>0</v>
      </c>
      <c r="W48" s="114">
        <f t="shared" si="3"/>
        <v>1</v>
      </c>
      <c r="X48" s="114">
        <f t="shared" si="3"/>
        <v>0</v>
      </c>
      <c r="Y48" s="114">
        <f t="shared" si="3"/>
        <v>0</v>
      </c>
      <c r="Z48" s="114">
        <f t="shared" si="3"/>
        <v>0</v>
      </c>
      <c r="AA48" s="114">
        <f t="shared" si="3"/>
        <v>0</v>
      </c>
      <c r="AB48" s="114">
        <f t="shared" si="3"/>
        <v>0</v>
      </c>
      <c r="AC48" s="66"/>
      <c r="AD48" s="66"/>
      <c r="AE48" s="66"/>
      <c r="AF48" s="66"/>
      <c r="AG48" s="66"/>
      <c r="AH48" s="66"/>
      <c r="AI48" s="66"/>
      <c r="AJ48" s="66"/>
      <c r="AK48" s="66"/>
      <c r="AL48" s="66"/>
      <c r="AM48" s="66"/>
      <c r="AN48" s="66"/>
      <c r="AO48" s="66"/>
      <c r="AP48" s="66"/>
    </row>
    <row r="49" spans="2:44" x14ac:dyDescent="0.25">
      <c r="D49" s="91"/>
      <c r="F49" s="111" t="s">
        <v>232</v>
      </c>
      <c r="G49" s="111" t="s">
        <v>203</v>
      </c>
      <c r="H49" s="111"/>
      <c r="I49" s="111" t="s">
        <v>190</v>
      </c>
      <c r="J49" s="112">
        <f>J30</f>
        <v>0</v>
      </c>
      <c r="K49" s="112">
        <f t="shared" ref="K49:AB49" si="4">K30</f>
        <v>0</v>
      </c>
      <c r="L49" s="112">
        <f t="shared" si="4"/>
        <v>0</v>
      </c>
      <c r="M49" s="112">
        <f t="shared" si="4"/>
        <v>0</v>
      </c>
      <c r="N49" s="112">
        <f t="shared" si="4"/>
        <v>0</v>
      </c>
      <c r="O49" s="112">
        <f t="shared" si="4"/>
        <v>0</v>
      </c>
      <c r="P49" s="112">
        <f t="shared" si="4"/>
        <v>0</v>
      </c>
      <c r="Q49" s="112">
        <f t="shared" si="4"/>
        <v>0</v>
      </c>
      <c r="R49" s="112">
        <f t="shared" si="4"/>
        <v>1</v>
      </c>
      <c r="S49" s="112">
        <f t="shared" si="4"/>
        <v>0</v>
      </c>
      <c r="T49" s="112">
        <f t="shared" si="4"/>
        <v>0</v>
      </c>
      <c r="U49" s="112">
        <f t="shared" si="4"/>
        <v>0</v>
      </c>
      <c r="V49" s="112">
        <f t="shared" si="4"/>
        <v>0</v>
      </c>
      <c r="W49" s="112">
        <f t="shared" si="4"/>
        <v>1</v>
      </c>
      <c r="X49" s="112">
        <f t="shared" si="4"/>
        <v>0</v>
      </c>
      <c r="Y49" s="112">
        <f t="shared" si="4"/>
        <v>0</v>
      </c>
      <c r="Z49" s="112">
        <f t="shared" si="4"/>
        <v>0</v>
      </c>
      <c r="AA49" s="112">
        <f t="shared" si="4"/>
        <v>0</v>
      </c>
      <c r="AB49" s="112">
        <f t="shared" si="4"/>
        <v>0</v>
      </c>
      <c r="AC49" s="113"/>
      <c r="AD49" s="113"/>
      <c r="AE49" s="113"/>
      <c r="AF49" s="113"/>
      <c r="AG49" s="113"/>
      <c r="AH49" s="113"/>
      <c r="AI49" s="113"/>
      <c r="AJ49" s="113"/>
      <c r="AK49" s="113"/>
      <c r="AL49" s="113"/>
      <c r="AM49" s="113"/>
      <c r="AN49" s="113"/>
      <c r="AO49" s="113"/>
      <c r="AP49" s="113"/>
      <c r="AR49" t="s">
        <v>441</v>
      </c>
    </row>
    <row r="50" spans="2:44" x14ac:dyDescent="0.25">
      <c r="D50" s="91"/>
      <c r="F50" t="s">
        <v>233</v>
      </c>
      <c r="G50" t="s">
        <v>203</v>
      </c>
      <c r="J50" s="114">
        <f t="shared" ref="J50:AB50" si="5">J32</f>
        <v>0</v>
      </c>
      <c r="K50" s="114">
        <f t="shared" si="5"/>
        <v>0</v>
      </c>
      <c r="L50" s="114">
        <f t="shared" si="5"/>
        <v>0</v>
      </c>
      <c r="M50" s="114">
        <f t="shared" si="5"/>
        <v>0</v>
      </c>
      <c r="N50" s="114">
        <f t="shared" si="5"/>
        <v>0</v>
      </c>
      <c r="O50" s="114">
        <f t="shared" si="5"/>
        <v>0</v>
      </c>
      <c r="P50" s="114">
        <f t="shared" si="5"/>
        <v>0</v>
      </c>
      <c r="Q50" s="114">
        <f t="shared" si="5"/>
        <v>0</v>
      </c>
      <c r="R50" s="114">
        <f t="shared" si="5"/>
        <v>1</v>
      </c>
      <c r="S50" s="114">
        <f t="shared" si="5"/>
        <v>0</v>
      </c>
      <c r="T50" s="114">
        <f t="shared" si="5"/>
        <v>0</v>
      </c>
      <c r="U50" s="114">
        <f t="shared" si="5"/>
        <v>0.2</v>
      </c>
      <c r="V50" s="114">
        <f t="shared" si="5"/>
        <v>1</v>
      </c>
      <c r="W50" s="114">
        <f t="shared" si="5"/>
        <v>1</v>
      </c>
      <c r="X50" s="114">
        <f t="shared" si="5"/>
        <v>0</v>
      </c>
      <c r="Y50" s="114">
        <f t="shared" si="5"/>
        <v>0</v>
      </c>
      <c r="Z50" s="114">
        <f t="shared" si="5"/>
        <v>0</v>
      </c>
      <c r="AA50" s="114">
        <f t="shared" si="5"/>
        <v>0</v>
      </c>
      <c r="AB50" s="114">
        <f t="shared" si="5"/>
        <v>0</v>
      </c>
      <c r="AC50" s="66"/>
      <c r="AD50" s="66"/>
      <c r="AE50" s="66"/>
      <c r="AF50" s="66"/>
      <c r="AG50" s="66"/>
      <c r="AH50" s="66"/>
      <c r="AI50" s="66"/>
      <c r="AJ50" s="66"/>
      <c r="AK50" s="66"/>
      <c r="AL50" s="66"/>
      <c r="AM50" s="66"/>
      <c r="AN50" s="66"/>
      <c r="AO50" s="66"/>
      <c r="AP50" s="66"/>
    </row>
    <row r="51" spans="2:44" x14ac:dyDescent="0.25">
      <c r="D51" s="91"/>
      <c r="F51" t="s">
        <v>234</v>
      </c>
      <c r="G51" t="s">
        <v>203</v>
      </c>
      <c r="J51" s="114">
        <f t="shared" ref="J51:AB51" si="6">J33</f>
        <v>0</v>
      </c>
      <c r="K51" s="114">
        <f t="shared" si="6"/>
        <v>0</v>
      </c>
      <c r="L51" s="114">
        <f t="shared" si="6"/>
        <v>0</v>
      </c>
      <c r="M51" s="114">
        <f t="shared" si="6"/>
        <v>0</v>
      </c>
      <c r="N51" s="114">
        <f t="shared" si="6"/>
        <v>0</v>
      </c>
      <c r="O51" s="114">
        <f t="shared" si="6"/>
        <v>0</v>
      </c>
      <c r="P51" s="114">
        <f t="shared" si="6"/>
        <v>0</v>
      </c>
      <c r="Q51" s="114">
        <f t="shared" si="6"/>
        <v>1</v>
      </c>
      <c r="R51" s="114">
        <f t="shared" si="6"/>
        <v>0</v>
      </c>
      <c r="S51" s="114">
        <f t="shared" si="6"/>
        <v>0</v>
      </c>
      <c r="T51" s="114">
        <f t="shared" si="6"/>
        <v>0</v>
      </c>
      <c r="U51" s="114">
        <f t="shared" si="6"/>
        <v>1</v>
      </c>
      <c r="V51" s="114">
        <f t="shared" si="6"/>
        <v>1</v>
      </c>
      <c r="W51" s="114">
        <f t="shared" si="6"/>
        <v>0</v>
      </c>
      <c r="X51" s="114">
        <f t="shared" si="6"/>
        <v>0</v>
      </c>
      <c r="Y51" s="114">
        <f t="shared" si="6"/>
        <v>0</v>
      </c>
      <c r="Z51" s="114">
        <f t="shared" si="6"/>
        <v>0</v>
      </c>
      <c r="AA51" s="114">
        <f t="shared" si="6"/>
        <v>0</v>
      </c>
      <c r="AB51" s="114">
        <f t="shared" si="6"/>
        <v>0</v>
      </c>
      <c r="AC51" s="66"/>
      <c r="AD51" s="66"/>
      <c r="AE51" s="66"/>
      <c r="AF51" s="66"/>
      <c r="AG51" s="66"/>
      <c r="AH51" s="66"/>
      <c r="AI51" s="66"/>
      <c r="AJ51" s="66"/>
      <c r="AK51" s="66"/>
      <c r="AL51" s="66"/>
      <c r="AM51" s="66"/>
      <c r="AN51" s="66"/>
      <c r="AO51" s="66"/>
      <c r="AP51" s="66"/>
    </row>
    <row r="52" spans="2:44" x14ac:dyDescent="0.25">
      <c r="D52" s="91"/>
      <c r="F52" t="s">
        <v>235</v>
      </c>
      <c r="G52" t="s">
        <v>203</v>
      </c>
      <c r="J52" s="114">
        <f t="shared" ref="J52:AB52" si="7">J34</f>
        <v>1</v>
      </c>
      <c r="K52" s="114">
        <f t="shared" si="7"/>
        <v>1</v>
      </c>
      <c r="L52" s="114">
        <f t="shared" si="7"/>
        <v>1</v>
      </c>
      <c r="M52" s="114">
        <f t="shared" si="7"/>
        <v>1</v>
      </c>
      <c r="N52" s="114">
        <f t="shared" si="7"/>
        <v>1</v>
      </c>
      <c r="O52" s="114">
        <f t="shared" si="7"/>
        <v>1</v>
      </c>
      <c r="P52" s="114">
        <f t="shared" si="7"/>
        <v>1</v>
      </c>
      <c r="Q52" s="114">
        <f t="shared" si="7"/>
        <v>0</v>
      </c>
      <c r="R52" s="114">
        <f t="shared" si="7"/>
        <v>0</v>
      </c>
      <c r="S52" s="114">
        <f t="shared" si="7"/>
        <v>1</v>
      </c>
      <c r="T52" s="114">
        <f t="shared" si="7"/>
        <v>1</v>
      </c>
      <c r="U52" s="114">
        <f t="shared" si="7"/>
        <v>1</v>
      </c>
      <c r="V52" s="114">
        <f t="shared" si="7"/>
        <v>0</v>
      </c>
      <c r="W52" s="114">
        <f t="shared" si="7"/>
        <v>0</v>
      </c>
      <c r="X52" s="114">
        <f t="shared" si="7"/>
        <v>0</v>
      </c>
      <c r="Y52" s="114">
        <f t="shared" si="7"/>
        <v>0</v>
      </c>
      <c r="Z52" s="114">
        <f t="shared" si="7"/>
        <v>0</v>
      </c>
      <c r="AA52" s="114">
        <f t="shared" si="7"/>
        <v>0</v>
      </c>
      <c r="AB52" s="114">
        <f t="shared" si="7"/>
        <v>0</v>
      </c>
      <c r="AC52" s="66"/>
      <c r="AD52" s="66"/>
      <c r="AE52" s="66"/>
      <c r="AF52" s="66"/>
      <c r="AG52" s="66"/>
      <c r="AH52" s="66"/>
      <c r="AI52" s="66"/>
      <c r="AJ52" s="66"/>
      <c r="AK52" s="66"/>
      <c r="AL52" s="66"/>
      <c r="AM52" s="66"/>
      <c r="AN52" s="66"/>
      <c r="AO52" s="66"/>
      <c r="AP52" s="66"/>
    </row>
    <row r="53" spans="2:44" x14ac:dyDescent="0.25">
      <c r="D53" s="91"/>
      <c r="F53" t="s">
        <v>436</v>
      </c>
      <c r="G53" t="s">
        <v>203</v>
      </c>
      <c r="J53" s="66"/>
      <c r="K53" s="66"/>
      <c r="L53" s="66"/>
      <c r="M53" s="66"/>
      <c r="N53" s="66"/>
      <c r="O53" s="66"/>
      <c r="P53" s="66"/>
      <c r="Q53" s="66"/>
      <c r="R53" s="66"/>
      <c r="S53" s="66"/>
      <c r="T53" s="66"/>
      <c r="U53" s="66"/>
      <c r="V53" s="66"/>
      <c r="W53" s="66"/>
      <c r="X53" s="66"/>
      <c r="Y53" s="66"/>
      <c r="Z53" s="66"/>
      <c r="AA53" s="66"/>
      <c r="AB53" s="66"/>
      <c r="AC53" s="66"/>
      <c r="AD53" s="66"/>
      <c r="AE53" s="66"/>
      <c r="AF53" s="66"/>
      <c r="AG53" s="66"/>
      <c r="AH53" s="66"/>
      <c r="AI53" s="66"/>
      <c r="AJ53" s="66"/>
      <c r="AK53" s="66"/>
      <c r="AL53" s="66"/>
      <c r="AM53" s="66"/>
      <c r="AN53" s="66"/>
      <c r="AO53" s="66"/>
      <c r="AP53" s="66"/>
    </row>
    <row r="54" spans="2:44" x14ac:dyDescent="0.25">
      <c r="D54" s="91"/>
      <c r="F54" s="37" t="s">
        <v>437</v>
      </c>
      <c r="G54" s="37" t="s">
        <v>203</v>
      </c>
      <c r="H54" s="37"/>
      <c r="I54" s="37"/>
      <c r="J54" s="68"/>
      <c r="K54" s="68"/>
      <c r="L54" s="68"/>
      <c r="M54" s="68"/>
      <c r="N54" s="68"/>
      <c r="O54" s="68"/>
      <c r="P54" s="68"/>
      <c r="Q54" s="68"/>
      <c r="R54" s="68"/>
      <c r="S54" s="68"/>
      <c r="T54" s="68"/>
      <c r="U54" s="68"/>
      <c r="V54" s="68"/>
      <c r="W54" s="68"/>
      <c r="X54" s="68"/>
      <c r="Y54" s="68"/>
      <c r="Z54" s="68"/>
      <c r="AA54" s="68"/>
      <c r="AB54" s="68"/>
      <c r="AC54" s="68"/>
      <c r="AD54" s="68"/>
      <c r="AE54" s="68"/>
      <c r="AF54" s="68"/>
      <c r="AG54" s="68"/>
      <c r="AH54" s="68"/>
      <c r="AI54" s="68"/>
      <c r="AJ54" s="68"/>
      <c r="AK54" s="68"/>
      <c r="AL54" s="68"/>
      <c r="AM54" s="68"/>
      <c r="AN54" s="68"/>
      <c r="AO54" s="68"/>
      <c r="AP54" s="68"/>
    </row>
    <row r="55" spans="2:44" x14ac:dyDescent="0.25">
      <c r="C55" s="91"/>
    </row>
    <row r="56" spans="2:44" x14ac:dyDescent="0.25">
      <c r="B56" s="30" t="s">
        <v>280</v>
      </c>
      <c r="C56" s="30"/>
      <c r="D56" s="108"/>
      <c r="E56" s="108"/>
      <c r="F56" s="108"/>
      <c r="G56" s="108"/>
      <c r="H56" s="108"/>
      <c r="I56" s="108"/>
      <c r="J56" s="108"/>
      <c r="K56" s="108"/>
      <c r="L56" s="108"/>
      <c r="M56" s="108"/>
      <c r="N56" s="108"/>
      <c r="O56" s="108"/>
      <c r="P56" s="108"/>
      <c r="Q56" s="108"/>
      <c r="R56" s="108"/>
      <c r="S56" s="108"/>
      <c r="T56" s="108"/>
      <c r="U56" s="108"/>
      <c r="V56" s="108"/>
      <c r="W56" s="108"/>
      <c r="X56" s="108"/>
      <c r="Y56" s="108"/>
      <c r="Z56" s="108"/>
      <c r="AA56" s="108"/>
      <c r="AB56" s="108"/>
      <c r="AC56" s="108"/>
      <c r="AD56" s="108"/>
      <c r="AE56" s="108"/>
      <c r="AF56" s="108"/>
      <c r="AG56" s="108"/>
      <c r="AH56" s="108"/>
      <c r="AI56" s="108"/>
      <c r="AJ56" s="108"/>
      <c r="AK56" s="108"/>
      <c r="AL56" s="108"/>
      <c r="AM56" s="108"/>
      <c r="AN56" s="108"/>
      <c r="AO56" s="108"/>
      <c r="AP56" s="108"/>
      <c r="AQ56" s="108"/>
      <c r="AR56" s="108"/>
    </row>
    <row r="57" spans="2:44" x14ac:dyDescent="0.25">
      <c r="D57"/>
      <c r="E57"/>
    </row>
    <row r="58" spans="2:44" x14ac:dyDescent="0.25">
      <c r="D58"/>
      <c r="E58" t="s">
        <v>281</v>
      </c>
      <c r="G58" s="6" t="s">
        <v>56</v>
      </c>
      <c r="H58" s="26">
        <f t="array" ref="H58">SUM(IF(ISERROR(H25:AP54), 1))</f>
        <v>0</v>
      </c>
    </row>
    <row r="59" spans="2:44" x14ac:dyDescent="0.25">
      <c r="D59"/>
      <c r="E59"/>
    </row>
    <row r="60" spans="2:44" x14ac:dyDescent="0.25">
      <c r="B60" s="107" t="s">
        <v>107</v>
      </c>
      <c r="C60" s="107"/>
      <c r="D60" s="115"/>
      <c r="E60" s="115"/>
      <c r="F60" s="107"/>
      <c r="G60" s="107"/>
      <c r="H60" s="107"/>
      <c r="I60" s="107"/>
      <c r="J60" s="107"/>
      <c r="K60" s="107"/>
      <c r="L60" s="107"/>
      <c r="M60" s="107"/>
      <c r="N60" s="107"/>
      <c r="O60" s="107"/>
      <c r="P60" s="107"/>
      <c r="Q60" s="107"/>
      <c r="R60" s="107"/>
      <c r="S60" s="107"/>
      <c r="T60" s="107"/>
      <c r="U60" s="107"/>
      <c r="V60" s="107"/>
      <c r="W60" s="107"/>
      <c r="X60" s="107"/>
      <c r="Y60" s="107"/>
      <c r="Z60" s="107"/>
      <c r="AA60" s="107"/>
      <c r="AB60" s="107"/>
      <c r="AC60" s="107"/>
      <c r="AD60" s="107"/>
      <c r="AE60" s="107"/>
      <c r="AF60" s="107"/>
      <c r="AG60" s="107"/>
      <c r="AH60" s="107"/>
      <c r="AI60" s="107"/>
      <c r="AJ60" s="107"/>
      <c r="AK60" s="107"/>
      <c r="AL60" s="107"/>
      <c r="AM60" s="107"/>
      <c r="AN60" s="107"/>
      <c r="AO60" s="107"/>
      <c r="AP60" s="107"/>
      <c r="AQ60" s="108"/>
      <c r="AR60" s="108"/>
    </row>
  </sheetData>
  <sheetProtection sheet="1" objects="1" formatCells="0" formatColumns="0" formatRows="0" sort="0" autoFilter="0"/>
  <conditionalFormatting sqref="H58">
    <cfRule type="cellIs" dxfId="52" priority="2" operator="greaterThan">
      <formula>0</formula>
    </cfRule>
  </conditionalFormatting>
  <conditionalFormatting sqref="A4:XFD4">
    <cfRule type="expression" dxfId="51"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tabColor theme="4" tint="0.59999389629810485"/>
    <pageSetUpPr fitToPage="1"/>
  </sheetPr>
  <dimension ref="A1:JF304"/>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Load &amp; loss characteristics</v>
      </c>
    </row>
    <row r="2" spans="1:23" s="1" customFormat="1" x14ac:dyDescent="0.25">
      <c r="A2" s="1" t="str">
        <f>Cover!D21&amp;" - "&amp;Cover!D23</f>
        <v>SHEPD  - Final</v>
      </c>
    </row>
    <row r="3" spans="1:23" s="5" customFormat="1" x14ac:dyDescent="0.25">
      <c r="A3" s="5" t="str">
        <f>Cover!D2&amp;" - "&amp;Cover!D8&amp;" v"&amp;Cover!D10&amp;" - "&amp;Cover!D19</f>
        <v>CDCM charging model - Release for charge setting v3 - 2020/21</v>
      </c>
    </row>
    <row r="4" spans="1:23" x14ac:dyDescent="0.25">
      <c r="A4" s="12" t="str">
        <f>H302 &amp; IF(H302 = 1, " issue", " issues") &amp;" identified in checks on this sheet"</f>
        <v>0 issues identified in checks on this sheet</v>
      </c>
      <c r="B4" s="13"/>
      <c r="C4" s="13"/>
      <c r="D4" s="13"/>
      <c r="E4" s="13"/>
      <c r="F4" s="13"/>
      <c r="G4" s="13"/>
      <c r="H4" s="14"/>
      <c r="I4" s="14"/>
      <c r="J4" s="13"/>
    </row>
    <row r="5" spans="1:23" x14ac:dyDescent="0.25">
      <c r="B5" s="59" t="s">
        <v>145</v>
      </c>
      <c r="C5" s="60"/>
      <c r="D5" s="60"/>
      <c r="E5" s="60"/>
      <c r="F5" s="60"/>
      <c r="G5" s="61" t="s">
        <v>146</v>
      </c>
      <c r="H5" s="62" t="s">
        <v>147</v>
      </c>
      <c r="I5" s="116"/>
      <c r="J5" s="117" t="s">
        <v>225</v>
      </c>
      <c r="K5" s="117" t="s">
        <v>227</v>
      </c>
      <c r="L5" s="117" t="s">
        <v>228</v>
      </c>
      <c r="M5" s="117" t="s">
        <v>229</v>
      </c>
      <c r="N5" s="117" t="s">
        <v>230</v>
      </c>
      <c r="O5" s="117" t="s">
        <v>231</v>
      </c>
      <c r="P5" s="117" t="s">
        <v>232</v>
      </c>
      <c r="Q5" s="117" t="s">
        <v>233</v>
      </c>
      <c r="R5" s="117" t="s">
        <v>234</v>
      </c>
      <c r="S5" s="117" t="s">
        <v>235</v>
      </c>
      <c r="T5" s="117" t="s">
        <v>436</v>
      </c>
      <c r="U5" s="117" t="s">
        <v>437</v>
      </c>
      <c r="W5" s="60" t="s">
        <v>181</v>
      </c>
    </row>
    <row r="6" spans="1:23" x14ac:dyDescent="0.25">
      <c r="H6" s="3"/>
      <c r="I6" s="29"/>
      <c r="J6" s="3"/>
      <c r="K6" s="3"/>
      <c r="L6" s="3"/>
      <c r="M6" s="3"/>
      <c r="N6" s="3"/>
      <c r="O6" s="3"/>
      <c r="P6" s="3"/>
      <c r="Q6" s="3"/>
      <c r="R6" s="3"/>
      <c r="S6" s="3"/>
      <c r="T6" s="3"/>
      <c r="U6" s="3"/>
      <c r="W6" s="3"/>
    </row>
    <row r="7" spans="1:23" x14ac:dyDescent="0.25">
      <c r="B7" s="30" t="s">
        <v>11</v>
      </c>
      <c r="C7" s="30"/>
      <c r="D7" s="30"/>
      <c r="E7" s="30"/>
      <c r="F7" s="30"/>
      <c r="G7" s="30"/>
      <c r="H7" s="30"/>
      <c r="I7" s="30"/>
      <c r="J7" s="30"/>
      <c r="K7" s="30"/>
      <c r="L7" s="30"/>
      <c r="M7" s="30"/>
      <c r="N7" s="30"/>
      <c r="O7" s="30"/>
      <c r="P7" s="30"/>
      <c r="Q7" s="30"/>
      <c r="R7" s="30"/>
      <c r="S7" s="30"/>
      <c r="T7" s="30"/>
      <c r="U7" s="30"/>
      <c r="V7" s="30"/>
      <c r="W7" s="30"/>
    </row>
    <row r="9" spans="1:23" x14ac:dyDescent="0.25">
      <c r="C9" s="29" t="s">
        <v>442</v>
      </c>
    </row>
    <row r="10" spans="1:23" x14ac:dyDescent="0.25">
      <c r="C10" s="29" t="s">
        <v>443</v>
      </c>
    </row>
    <row r="11" spans="1:23" x14ac:dyDescent="0.25">
      <c r="C11" s="29" t="s">
        <v>444</v>
      </c>
    </row>
    <row r="13" spans="1:23" x14ac:dyDescent="0.25">
      <c r="B13" s="30" t="s">
        <v>445</v>
      </c>
      <c r="C13" s="30"/>
      <c r="D13" s="30"/>
      <c r="E13" s="30"/>
      <c r="F13" s="30"/>
      <c r="G13" s="30"/>
      <c r="H13" s="30"/>
      <c r="I13" s="30"/>
      <c r="J13" s="30"/>
      <c r="K13" s="30"/>
      <c r="L13" s="30"/>
      <c r="M13" s="30"/>
      <c r="N13" s="30"/>
      <c r="O13" s="30"/>
      <c r="P13" s="30"/>
      <c r="Q13" s="30"/>
      <c r="R13" s="30"/>
      <c r="S13" s="30"/>
      <c r="T13" s="30"/>
      <c r="U13" s="30"/>
      <c r="V13" s="30"/>
      <c r="W13" s="30"/>
    </row>
    <row r="14" spans="1:23" x14ac:dyDescent="0.25">
      <c r="H14" s="3"/>
      <c r="I14" s="3"/>
      <c r="J14" s="3"/>
      <c r="K14" s="3"/>
      <c r="L14" s="3"/>
      <c r="M14" s="3"/>
      <c r="N14" s="3"/>
      <c r="O14" s="3"/>
      <c r="P14" s="3"/>
      <c r="Q14" s="3"/>
      <c r="R14" s="3"/>
      <c r="S14" s="3"/>
      <c r="T14" s="3"/>
      <c r="U14" s="3"/>
      <c r="W14" s="3"/>
    </row>
    <row r="15" spans="1:23" x14ac:dyDescent="0.25">
      <c r="C15" s="29" t="s">
        <v>446</v>
      </c>
      <c r="H15" s="3"/>
      <c r="I15" s="3"/>
      <c r="J15" s="3"/>
      <c r="K15" s="3"/>
      <c r="L15" s="3"/>
      <c r="M15" s="3"/>
      <c r="N15" s="3"/>
      <c r="O15" s="3"/>
      <c r="P15" s="3"/>
      <c r="Q15" s="3"/>
      <c r="R15" s="3"/>
      <c r="S15" s="3"/>
      <c r="T15" s="3"/>
      <c r="U15" s="3"/>
      <c r="W15" s="3"/>
    </row>
    <row r="16" spans="1:23" x14ac:dyDescent="0.25">
      <c r="H16" s="3"/>
      <c r="I16" s="3"/>
      <c r="J16" s="3"/>
      <c r="K16" s="3"/>
      <c r="L16" s="3"/>
      <c r="M16" s="3"/>
      <c r="N16" s="3"/>
      <c r="O16" s="3"/>
      <c r="P16" s="3"/>
      <c r="Q16" s="3"/>
      <c r="R16" s="3"/>
      <c r="S16" s="3"/>
      <c r="T16" s="3"/>
      <c r="U16" s="3"/>
      <c r="W16" s="3"/>
    </row>
    <row r="17" spans="2:23" x14ac:dyDescent="0.25">
      <c r="C17" s="31" t="str">
        <f ca="1">INDEX('Version control'!$H$34:$H$56,MATCH($A$1,'Version control'!$F$34:$F$56,0),1)&amp;"-A: Load characteristics"</f>
        <v>Section 102-A: Load characteristics</v>
      </c>
      <c r="D17" s="31"/>
      <c r="E17" s="31"/>
      <c r="F17" s="31"/>
      <c r="G17" s="31"/>
      <c r="H17" s="31"/>
      <c r="I17" s="31"/>
      <c r="J17" s="31"/>
      <c r="K17" s="31"/>
      <c r="L17" s="31"/>
      <c r="M17" s="31"/>
      <c r="N17" s="31"/>
      <c r="O17" s="31"/>
      <c r="P17" s="31"/>
      <c r="Q17" s="31"/>
      <c r="R17" s="31"/>
      <c r="S17" s="31"/>
      <c r="T17" s="31"/>
      <c r="U17" s="31"/>
      <c r="V17" s="31"/>
      <c r="W17" s="31"/>
    </row>
    <row r="18" spans="2:23" x14ac:dyDescent="0.25">
      <c r="H18" s="3"/>
      <c r="I18" s="3"/>
      <c r="J18" s="3"/>
      <c r="K18" s="3"/>
      <c r="L18" s="3"/>
      <c r="M18" s="3"/>
      <c r="N18" s="3"/>
      <c r="O18" s="3"/>
      <c r="P18" s="3"/>
      <c r="Q18" s="3"/>
      <c r="R18" s="3"/>
      <c r="S18" s="3"/>
      <c r="T18" s="3"/>
      <c r="U18" s="3"/>
      <c r="W18" s="3"/>
    </row>
    <row r="19" spans="2:23" x14ac:dyDescent="0.25">
      <c r="E19" t="s">
        <v>447</v>
      </c>
      <c r="F19" s="118"/>
      <c r="G19" s="13" t="s">
        <v>203</v>
      </c>
      <c r="H19" s="3"/>
      <c r="I19" s="3"/>
      <c r="J19" s="97"/>
      <c r="K19" s="119">
        <f>'Inputs by network level'!K15</f>
        <v>7.4999999999999997E-2</v>
      </c>
      <c r="L19" s="119">
        <f>'Inputs by network level'!L15</f>
        <v>0</v>
      </c>
      <c r="M19" s="97"/>
      <c r="N19" s="119">
        <f>'Inputs by network level'!N15</f>
        <v>8.9800000000000005E-2</v>
      </c>
      <c r="O19" s="97"/>
      <c r="P19" s="97"/>
      <c r="Q19" s="119">
        <f>'Inputs by network level'!Q15</f>
        <v>0.53649999999999998</v>
      </c>
      <c r="R19" s="97"/>
      <c r="S19" s="97"/>
      <c r="T19" s="66"/>
      <c r="U19" s="66"/>
    </row>
    <row r="20" spans="2:23" x14ac:dyDescent="0.25">
      <c r="E20" t="s">
        <v>293</v>
      </c>
      <c r="F20" s="118"/>
      <c r="G20" s="13" t="s">
        <v>203</v>
      </c>
      <c r="H20" s="3"/>
      <c r="I20" s="3"/>
      <c r="J20" s="120">
        <f t="shared" ref="J20" si="0">IF(I20 = "", 1, I20 / (1 + J19))</f>
        <v>1</v>
      </c>
      <c r="K20" s="120">
        <f>IF(J20 = "", 1, J20 / (1 + K19))</f>
        <v>0.93023255813953487</v>
      </c>
      <c r="L20" s="120">
        <f t="shared" ref="L20:S20" si="1">IF(K20 = "", 1, K20 / (1 + L19))</f>
        <v>0.93023255813953487</v>
      </c>
      <c r="M20" s="120">
        <f t="shared" si="1"/>
        <v>0.93023255813953487</v>
      </c>
      <c r="N20" s="120">
        <f t="shared" si="1"/>
        <v>0.85358098562996398</v>
      </c>
      <c r="O20" s="120">
        <f t="shared" si="1"/>
        <v>0.85358098562996398</v>
      </c>
      <c r="P20" s="120">
        <f t="shared" si="1"/>
        <v>0.85358098562996398</v>
      </c>
      <c r="Q20" s="120">
        <f t="shared" si="1"/>
        <v>0.55553594899444447</v>
      </c>
      <c r="R20" s="120">
        <f t="shared" si="1"/>
        <v>0.55553594899444447</v>
      </c>
      <c r="S20" s="120">
        <f t="shared" si="1"/>
        <v>0.55553594899444447</v>
      </c>
      <c r="T20" s="66"/>
      <c r="U20" s="66"/>
    </row>
    <row r="21" spans="2:23" x14ac:dyDescent="0.25">
      <c r="E21" t="s">
        <v>448</v>
      </c>
      <c r="F21" s="118"/>
      <c r="G21" s="13" t="s">
        <v>203</v>
      </c>
      <c r="H21" s="3"/>
      <c r="I21" s="3"/>
      <c r="J21" s="120">
        <f>1 / J20 - 1</f>
        <v>0</v>
      </c>
      <c r="K21" s="120">
        <f t="shared" ref="K21:S21" si="2">1 / K20 - 1</f>
        <v>7.4999999999999956E-2</v>
      </c>
      <c r="L21" s="120">
        <f t="shared" si="2"/>
        <v>7.4999999999999956E-2</v>
      </c>
      <c r="M21" s="120">
        <f t="shared" si="2"/>
        <v>7.4999999999999956E-2</v>
      </c>
      <c r="N21" s="120">
        <f t="shared" si="2"/>
        <v>0.17153500000000022</v>
      </c>
      <c r="O21" s="120">
        <f t="shared" si="2"/>
        <v>0.17153500000000022</v>
      </c>
      <c r="P21" s="120">
        <f t="shared" si="2"/>
        <v>0.17153500000000022</v>
      </c>
      <c r="Q21" s="120">
        <f t="shared" si="2"/>
        <v>0.80006352750000032</v>
      </c>
      <c r="R21" s="120">
        <f t="shared" si="2"/>
        <v>0.80006352750000032</v>
      </c>
      <c r="S21" s="120">
        <f t="shared" si="2"/>
        <v>0.80006352750000032</v>
      </c>
      <c r="T21" s="66"/>
      <c r="U21" s="66"/>
    </row>
    <row r="22" spans="2:23" x14ac:dyDescent="0.25">
      <c r="E22" t="s">
        <v>449</v>
      </c>
      <c r="F22" s="118"/>
      <c r="G22" s="13" t="s">
        <v>203</v>
      </c>
      <c r="H22" s="3"/>
      <c r="I22" s="3"/>
      <c r="J22" s="97"/>
      <c r="K22" s="97"/>
      <c r="L22" s="97"/>
      <c r="M22" s="97"/>
      <c r="N22" s="97"/>
      <c r="O22" s="97"/>
      <c r="P22" s="120">
        <f>M21</f>
        <v>7.4999999999999956E-2</v>
      </c>
      <c r="Q22" s="97"/>
      <c r="R22" s="97"/>
      <c r="S22" s="97"/>
      <c r="T22" s="66"/>
      <c r="U22" s="66"/>
    </row>
    <row r="23" spans="2:23" x14ac:dyDescent="0.25">
      <c r="E23" t="s">
        <v>450</v>
      </c>
      <c r="F23" s="118"/>
      <c r="G23" s="13" t="s">
        <v>203</v>
      </c>
      <c r="H23" s="3"/>
      <c r="I23" s="3" t="s">
        <v>190</v>
      </c>
      <c r="J23" s="121">
        <f t="shared" ref="J23:S23" si="3">IF(J22 = "", J21, J22)</f>
        <v>0</v>
      </c>
      <c r="K23" s="121">
        <f t="shared" si="3"/>
        <v>7.4999999999999956E-2</v>
      </c>
      <c r="L23" s="121">
        <f t="shared" si="3"/>
        <v>7.4999999999999956E-2</v>
      </c>
      <c r="M23" s="121">
        <f t="shared" si="3"/>
        <v>7.4999999999999956E-2</v>
      </c>
      <c r="N23" s="121">
        <f t="shared" si="3"/>
        <v>0.17153500000000022</v>
      </c>
      <c r="O23" s="121">
        <f t="shared" si="3"/>
        <v>0.17153500000000022</v>
      </c>
      <c r="P23" s="121">
        <f t="shared" si="3"/>
        <v>7.4999999999999956E-2</v>
      </c>
      <c r="Q23" s="121">
        <f t="shared" si="3"/>
        <v>0.80006352750000032</v>
      </c>
      <c r="R23" s="121">
        <f t="shared" si="3"/>
        <v>0.80006352750000032</v>
      </c>
      <c r="S23" s="121">
        <f t="shared" si="3"/>
        <v>0.80006352750000032</v>
      </c>
      <c r="T23" s="66"/>
      <c r="U23" s="66"/>
      <c r="W23" s="63" t="s">
        <v>451</v>
      </c>
    </row>
    <row r="24" spans="2:23" x14ac:dyDescent="0.25">
      <c r="F24" s="118"/>
      <c r="G24" s="13"/>
      <c r="H24" s="3"/>
      <c r="I24" s="3"/>
      <c r="J24" s="120"/>
      <c r="K24" s="120"/>
      <c r="L24" s="120"/>
      <c r="M24" s="120"/>
      <c r="N24" s="120"/>
      <c r="O24" s="120"/>
      <c r="P24" s="120"/>
      <c r="Q24" s="120"/>
      <c r="R24" s="120"/>
      <c r="S24" s="120"/>
      <c r="T24" s="3"/>
      <c r="U24" s="3"/>
    </row>
    <row r="25" spans="2:23" x14ac:dyDescent="0.25">
      <c r="C25" s="31" t="str">
        <f ca="1">INDEX('Version control'!$H$34:$H$56,MATCH($A$1,'Version control'!$F$34:$F$56,0),1)&amp;"-B: Loss adjustment factors"</f>
        <v>Section 102-B: Loss adjustment factors</v>
      </c>
      <c r="D25" s="31"/>
      <c r="E25" s="31"/>
      <c r="F25" s="31"/>
      <c r="G25" s="31"/>
      <c r="H25" s="31"/>
      <c r="I25" s="31"/>
      <c r="J25" s="31"/>
      <c r="K25" s="31"/>
      <c r="L25" s="31"/>
      <c r="M25" s="31"/>
      <c r="N25" s="31"/>
      <c r="O25" s="31"/>
      <c r="P25" s="31"/>
      <c r="Q25" s="31"/>
      <c r="R25" s="31"/>
      <c r="S25" s="31"/>
      <c r="T25" s="31"/>
      <c r="U25" s="31"/>
      <c r="V25" s="31"/>
      <c r="W25" s="31"/>
    </row>
    <row r="26" spans="2:23" x14ac:dyDescent="0.25">
      <c r="H26" s="3"/>
      <c r="I26" s="3"/>
      <c r="J26" s="3"/>
      <c r="K26" s="3"/>
      <c r="L26" s="3"/>
      <c r="M26" s="3"/>
      <c r="N26" s="3"/>
      <c r="O26" s="3"/>
      <c r="P26" s="3"/>
      <c r="Q26" s="3"/>
      <c r="R26" s="3"/>
      <c r="S26" s="3"/>
      <c r="T26" s="3"/>
      <c r="U26" s="3"/>
      <c r="W26" s="3"/>
    </row>
    <row r="27" spans="2:23" x14ac:dyDescent="0.25">
      <c r="E27" t="s">
        <v>452</v>
      </c>
      <c r="F27" s="122"/>
      <c r="G27" s="72" t="s">
        <v>342</v>
      </c>
      <c r="H27" s="3"/>
      <c r="I27" s="3"/>
      <c r="J27" s="79"/>
      <c r="K27" s="123">
        <f>'Inputs by network level'!K19</f>
        <v>1</v>
      </c>
      <c r="L27" s="123">
        <f>'Inputs by network level'!L19</f>
        <v>1</v>
      </c>
      <c r="M27" s="123">
        <f>'Inputs by network level'!M19</f>
        <v>1</v>
      </c>
      <c r="N27" s="123">
        <f>'Inputs by network level'!N19</f>
        <v>1.0149999999999999</v>
      </c>
      <c r="O27" s="123">
        <f>'Inputs by network level'!O19</f>
        <v>1.026</v>
      </c>
      <c r="P27" s="79"/>
      <c r="Q27" s="123">
        <f>'Inputs by network level'!Q19</f>
        <v>1.0349999999999999</v>
      </c>
      <c r="R27" s="123">
        <f>'Inputs by network level'!R19</f>
        <v>1.0569999999999999</v>
      </c>
      <c r="S27" s="123">
        <f>'Inputs by network level'!S19</f>
        <v>1.0900000000000001</v>
      </c>
      <c r="T27" s="79"/>
      <c r="U27" s="79"/>
    </row>
    <row r="28" spans="2:23" x14ac:dyDescent="0.25">
      <c r="E28" t="s">
        <v>453</v>
      </c>
      <c r="F28" s="122"/>
      <c r="G28" s="72" t="s">
        <v>342</v>
      </c>
      <c r="H28" s="3"/>
      <c r="I28" s="3"/>
      <c r="J28" s="101">
        <f>K27</f>
        <v>1</v>
      </c>
      <c r="K28" s="79"/>
      <c r="L28" s="79"/>
      <c r="M28" s="79"/>
      <c r="N28" s="79"/>
      <c r="O28" s="79"/>
      <c r="P28" s="101">
        <f>O27</f>
        <v>1.026</v>
      </c>
      <c r="Q28" s="79"/>
      <c r="R28" s="79"/>
      <c r="S28" s="79"/>
      <c r="T28" s="79"/>
      <c r="U28" s="79"/>
    </row>
    <row r="29" spans="2:23" x14ac:dyDescent="0.25">
      <c r="E29" t="s">
        <v>454</v>
      </c>
      <c r="F29" s="122"/>
      <c r="G29" s="72" t="s">
        <v>342</v>
      </c>
      <c r="H29" s="3"/>
      <c r="I29" s="3" t="s">
        <v>190</v>
      </c>
      <c r="J29" s="124">
        <f t="shared" ref="J29:S29" si="4">J27 + J28</f>
        <v>1</v>
      </c>
      <c r="K29" s="124">
        <f t="shared" si="4"/>
        <v>1</v>
      </c>
      <c r="L29" s="124">
        <f t="shared" si="4"/>
        <v>1</v>
      </c>
      <c r="M29" s="124">
        <f t="shared" si="4"/>
        <v>1</v>
      </c>
      <c r="N29" s="124">
        <f t="shared" si="4"/>
        <v>1.0149999999999999</v>
      </c>
      <c r="O29" s="124">
        <f t="shared" si="4"/>
        <v>1.026</v>
      </c>
      <c r="P29" s="124">
        <f t="shared" si="4"/>
        <v>1.026</v>
      </c>
      <c r="Q29" s="124">
        <f t="shared" si="4"/>
        <v>1.0349999999999999</v>
      </c>
      <c r="R29" s="124">
        <f t="shared" si="4"/>
        <v>1.0569999999999999</v>
      </c>
      <c r="S29" s="124">
        <f t="shared" si="4"/>
        <v>1.0900000000000001</v>
      </c>
      <c r="T29" s="79"/>
      <c r="U29" s="79"/>
      <c r="W29" s="63" t="s">
        <v>343</v>
      </c>
    </row>
    <row r="30" spans="2:23" x14ac:dyDescent="0.25">
      <c r="F30" s="118"/>
      <c r="G30" s="13"/>
      <c r="H30" s="3"/>
      <c r="I30" s="3"/>
      <c r="J30" s="3"/>
      <c r="K30" s="3"/>
      <c r="L30" s="3"/>
      <c r="M30" s="3"/>
      <c r="N30" s="3"/>
      <c r="O30" s="3"/>
      <c r="Q30" s="3"/>
      <c r="R30" s="3"/>
      <c r="S30" s="3"/>
      <c r="T30" s="3"/>
      <c r="U30" s="3"/>
    </row>
    <row r="31" spans="2:23" x14ac:dyDescent="0.25">
      <c r="B31" s="30" t="s">
        <v>455</v>
      </c>
      <c r="C31" s="30"/>
      <c r="D31" s="30"/>
      <c r="E31" s="30"/>
      <c r="F31" s="30"/>
      <c r="G31" s="95"/>
      <c r="H31" s="30"/>
      <c r="I31" s="30"/>
      <c r="J31" s="30"/>
      <c r="K31" s="30"/>
      <c r="L31" s="30"/>
      <c r="M31" s="30"/>
      <c r="N31" s="30"/>
      <c r="O31" s="30"/>
      <c r="P31" s="30"/>
      <c r="Q31" s="30"/>
      <c r="R31" s="30"/>
      <c r="S31" s="30"/>
      <c r="T31" s="30"/>
      <c r="U31" s="30"/>
      <c r="V31" s="30"/>
      <c r="W31" s="30"/>
    </row>
    <row r="32" spans="2:23" x14ac:dyDescent="0.25">
      <c r="F32" s="118"/>
      <c r="G32" s="13"/>
      <c r="H32" s="3"/>
      <c r="I32" s="3"/>
      <c r="J32" s="3"/>
      <c r="K32" s="3"/>
      <c r="L32" s="3"/>
      <c r="M32" s="3"/>
      <c r="N32" s="3"/>
      <c r="O32" s="3"/>
      <c r="Q32" s="3"/>
      <c r="R32" s="3"/>
      <c r="S32" s="3"/>
      <c r="T32" s="3"/>
      <c r="U32" s="3"/>
    </row>
    <row r="33" spans="3:23" x14ac:dyDescent="0.25">
      <c r="C33" s="29" t="s">
        <v>456</v>
      </c>
      <c r="F33" s="118"/>
      <c r="G33" s="13"/>
      <c r="H33" s="3"/>
      <c r="I33" s="3"/>
      <c r="J33" s="3"/>
      <c r="K33" s="3"/>
      <c r="L33" s="3"/>
      <c r="M33" s="3"/>
      <c r="N33" s="3"/>
      <c r="O33" s="3"/>
      <c r="Q33" s="3"/>
      <c r="R33" s="3"/>
      <c r="S33" s="3"/>
      <c r="T33" s="3"/>
      <c r="U33" s="3"/>
    </row>
    <row r="34" spans="3:23" x14ac:dyDescent="0.25">
      <c r="F34" s="118"/>
      <c r="G34" s="13"/>
      <c r="H34" s="3"/>
      <c r="I34" s="3"/>
      <c r="J34" s="3"/>
      <c r="K34" s="3"/>
      <c r="L34" s="3"/>
      <c r="M34" s="3"/>
      <c r="N34" s="3"/>
      <c r="O34" s="3"/>
      <c r="Q34" s="3"/>
      <c r="R34" s="3"/>
      <c r="S34" s="3"/>
      <c r="T34" s="3"/>
      <c r="U34" s="3"/>
    </row>
    <row r="35" spans="3:23" x14ac:dyDescent="0.25">
      <c r="C35" s="31" t="str">
        <f ca="1">INDEX('Version control'!$H$34:$H$56,MATCH($A$1,'Version control'!$F$34:$F$56,0),1)&amp;"-C: Proportion of relevant load going through 132kV/HV direct transformation"</f>
        <v>Section 102-C: Proportion of relevant load going through 132kV/HV direct transformation</v>
      </c>
      <c r="D35" s="31"/>
      <c r="E35" s="31"/>
      <c r="F35" s="31"/>
      <c r="G35" s="31"/>
      <c r="H35" s="31"/>
      <c r="I35" s="31"/>
      <c r="J35" s="31"/>
      <c r="K35" s="31"/>
      <c r="L35" s="31"/>
      <c r="M35" s="31"/>
      <c r="N35" s="31"/>
      <c r="O35" s="31"/>
      <c r="P35" s="31"/>
      <c r="Q35" s="31"/>
      <c r="R35" s="31"/>
      <c r="S35" s="31"/>
      <c r="T35" s="31"/>
      <c r="U35" s="31"/>
      <c r="V35" s="31"/>
      <c r="W35" s="31"/>
    </row>
    <row r="36" spans="3:23" x14ac:dyDescent="0.25">
      <c r="H36" s="3"/>
      <c r="I36" s="3"/>
      <c r="J36" s="3"/>
      <c r="K36" s="3"/>
      <c r="L36" s="3"/>
      <c r="M36" s="3"/>
      <c r="N36" s="3"/>
      <c r="O36" s="3"/>
      <c r="P36" s="3"/>
      <c r="Q36" s="3"/>
      <c r="R36" s="3"/>
      <c r="S36" s="3"/>
      <c r="T36" s="3"/>
      <c r="U36" s="3"/>
      <c r="W36" s="3"/>
    </row>
    <row r="37" spans="3:23" x14ac:dyDescent="0.25">
      <c r="E37" t="s">
        <v>232</v>
      </c>
      <c r="F37" s="28"/>
      <c r="G37" s="72" t="s">
        <v>203</v>
      </c>
      <c r="H37" s="119">
        <f>'Inputs by network level'!P17</f>
        <v>0</v>
      </c>
      <c r="I37" s="3"/>
    </row>
    <row r="38" spans="3:23" x14ac:dyDescent="0.25">
      <c r="E38" t="s">
        <v>457</v>
      </c>
      <c r="F38" s="118"/>
      <c r="G38" s="13" t="s">
        <v>203</v>
      </c>
      <c r="H38" s="3"/>
      <c r="I38" s="3"/>
      <c r="J38" s="66"/>
      <c r="K38" s="66"/>
      <c r="L38" s="66"/>
      <c r="M38" s="125">
        <f>1 - $H$37</f>
        <v>1</v>
      </c>
      <c r="N38" s="125">
        <f>1 - $H$37</f>
        <v>1</v>
      </c>
      <c r="O38" s="125">
        <f>1 - $H$37</f>
        <v>1</v>
      </c>
      <c r="P38" s="126">
        <f>H37</f>
        <v>0</v>
      </c>
      <c r="Q38" s="66"/>
      <c r="R38" s="66"/>
      <c r="S38" s="66"/>
      <c r="T38" s="66"/>
      <c r="U38" s="66"/>
    </row>
    <row r="39" spans="3:23" x14ac:dyDescent="0.25">
      <c r="F39" s="118"/>
      <c r="G39" s="13"/>
      <c r="H39" s="3"/>
      <c r="I39" s="3"/>
      <c r="J39" s="3"/>
      <c r="K39" s="3"/>
      <c r="L39" s="3"/>
      <c r="M39" s="3"/>
      <c r="N39" s="3"/>
      <c r="O39" s="3"/>
      <c r="Q39" s="3"/>
      <c r="R39" s="3"/>
      <c r="S39" s="3"/>
      <c r="T39" s="3"/>
      <c r="U39" s="3"/>
    </row>
    <row r="40" spans="3:23" x14ac:dyDescent="0.25">
      <c r="C40" s="31" t="str">
        <f ca="1">INDEX('Version control'!$H$34:$H$56,MATCH($A$1,'Version control'!$F$34:$F$56,0),1)&amp;"-D: Network use factors"</f>
        <v>Section 102-D: Network use factors</v>
      </c>
      <c r="D40" s="31"/>
      <c r="E40" s="31"/>
      <c r="F40" s="31"/>
      <c r="G40" s="31"/>
      <c r="H40" s="31"/>
      <c r="I40" s="31"/>
      <c r="J40" s="31"/>
      <c r="K40" s="31"/>
      <c r="L40" s="31"/>
      <c r="M40" s="31"/>
      <c r="N40" s="31"/>
      <c r="O40" s="31"/>
      <c r="P40" s="31"/>
      <c r="Q40" s="31"/>
      <c r="R40" s="31"/>
      <c r="S40" s="31"/>
      <c r="T40" s="31"/>
      <c r="U40" s="31"/>
      <c r="V40" s="31"/>
      <c r="W40" s="31"/>
    </row>
    <row r="41" spans="3:23" x14ac:dyDescent="0.25">
      <c r="H41" s="3"/>
      <c r="I41" s="3"/>
      <c r="J41" s="3"/>
      <c r="K41" s="3"/>
      <c r="L41" s="3"/>
      <c r="M41" s="3"/>
      <c r="N41" s="3"/>
      <c r="O41" s="3"/>
      <c r="P41" s="3"/>
      <c r="Q41" s="3"/>
      <c r="R41" s="3"/>
      <c r="S41" s="3"/>
      <c r="T41" s="3"/>
      <c r="U41" s="3"/>
      <c r="W41" s="3"/>
    </row>
    <row r="42" spans="3:23" x14ac:dyDescent="0.25">
      <c r="D42" s="29" t="s">
        <v>458</v>
      </c>
      <c r="H42" s="3"/>
      <c r="I42" s="3"/>
      <c r="J42" s="3"/>
      <c r="K42" s="3"/>
      <c r="L42" s="3"/>
      <c r="M42" s="3"/>
      <c r="N42" s="3"/>
      <c r="O42" s="3"/>
      <c r="P42" s="3"/>
      <c r="Q42" s="3"/>
      <c r="R42" s="3"/>
      <c r="S42" s="3"/>
      <c r="T42" s="3"/>
      <c r="U42" s="3"/>
      <c r="W42" s="3"/>
    </row>
    <row r="43" spans="3:23" x14ac:dyDescent="0.25">
      <c r="D43" s="29"/>
      <c r="H43" s="3"/>
      <c r="I43" s="3"/>
      <c r="J43" s="3"/>
      <c r="K43" s="3"/>
      <c r="L43" s="3"/>
      <c r="M43" s="3"/>
      <c r="N43" s="3"/>
      <c r="O43" s="3"/>
      <c r="P43" s="3"/>
      <c r="Q43" s="3"/>
      <c r="R43" s="3"/>
      <c r="S43" s="3"/>
      <c r="T43" s="3"/>
      <c r="U43" s="3"/>
      <c r="W43" s="3"/>
    </row>
    <row r="44" spans="3:23" x14ac:dyDescent="0.25">
      <c r="E44" s="32" t="s">
        <v>223</v>
      </c>
      <c r="G44" s="13"/>
    </row>
    <row r="45" spans="3:23" x14ac:dyDescent="0.25">
      <c r="E45" s="29" t="s">
        <v>459</v>
      </c>
      <c r="G45" s="13"/>
    </row>
    <row r="46" spans="3:23" x14ac:dyDescent="0.25">
      <c r="F46" s="23" t="s">
        <v>148</v>
      </c>
      <c r="G46" s="78" t="s">
        <v>226</v>
      </c>
      <c r="H46" s="23"/>
      <c r="I46" s="23"/>
      <c r="J46" s="127">
        <f t="array" ref="J46:S78">TRANSPOSE('Fixed inputs'!J60:AP69)</f>
        <v>1</v>
      </c>
      <c r="K46" s="127">
        <v>1</v>
      </c>
      <c r="L46" s="127">
        <v>1</v>
      </c>
      <c r="M46" s="127">
        <v>1</v>
      </c>
      <c r="N46" s="127">
        <v>1</v>
      </c>
      <c r="O46" s="127">
        <v>1</v>
      </c>
      <c r="P46" s="127">
        <v>1</v>
      </c>
      <c r="Q46" s="127">
        <v>1</v>
      </c>
      <c r="R46" s="127">
        <v>1</v>
      </c>
      <c r="S46" s="127">
        <v>1</v>
      </c>
      <c r="T46" s="83"/>
      <c r="U46" s="83"/>
      <c r="W46" s="3"/>
    </row>
    <row r="47" spans="3:23" x14ac:dyDescent="0.25">
      <c r="F47" t="s">
        <v>149</v>
      </c>
      <c r="G47" s="72" t="s">
        <v>226</v>
      </c>
      <c r="J47" s="123">
        <v>1</v>
      </c>
      <c r="K47" s="123">
        <v>1</v>
      </c>
      <c r="L47" s="123">
        <v>1</v>
      </c>
      <c r="M47" s="123">
        <v>1</v>
      </c>
      <c r="N47" s="123">
        <v>1</v>
      </c>
      <c r="O47" s="123">
        <v>1</v>
      </c>
      <c r="P47" s="123">
        <v>1</v>
      </c>
      <c r="Q47" s="123">
        <v>1</v>
      </c>
      <c r="R47" s="123">
        <v>1</v>
      </c>
      <c r="S47" s="123">
        <v>1</v>
      </c>
      <c r="T47" s="79"/>
      <c r="U47" s="79"/>
    </row>
    <row r="48" spans="3:23" x14ac:dyDescent="0.25">
      <c r="F48" t="s">
        <v>150</v>
      </c>
      <c r="G48" s="72" t="s">
        <v>226</v>
      </c>
      <c r="J48" s="123">
        <v>1</v>
      </c>
      <c r="K48" s="123">
        <v>1</v>
      </c>
      <c r="L48" s="123">
        <v>1</v>
      </c>
      <c r="M48" s="123">
        <v>1</v>
      </c>
      <c r="N48" s="123">
        <v>1</v>
      </c>
      <c r="O48" s="123">
        <v>1</v>
      </c>
      <c r="P48" s="123">
        <v>1</v>
      </c>
      <c r="Q48" s="123">
        <v>1</v>
      </c>
      <c r="R48" s="123">
        <v>1</v>
      </c>
      <c r="S48" s="123">
        <v>1</v>
      </c>
      <c r="T48" s="79"/>
      <c r="U48" s="79"/>
    </row>
    <row r="49" spans="6:21" x14ac:dyDescent="0.25">
      <c r="F49" t="s">
        <v>151</v>
      </c>
      <c r="G49" s="72" t="s">
        <v>226</v>
      </c>
      <c r="J49" s="123">
        <v>1</v>
      </c>
      <c r="K49" s="123">
        <v>1</v>
      </c>
      <c r="L49" s="123">
        <v>1</v>
      </c>
      <c r="M49" s="123">
        <v>1</v>
      </c>
      <c r="N49" s="123">
        <v>1</v>
      </c>
      <c r="O49" s="123">
        <v>1</v>
      </c>
      <c r="P49" s="123">
        <v>1</v>
      </c>
      <c r="Q49" s="123">
        <v>1</v>
      </c>
      <c r="R49" s="123">
        <v>1</v>
      </c>
      <c r="S49" s="123">
        <v>1</v>
      </c>
      <c r="T49" s="79"/>
      <c r="U49" s="79"/>
    </row>
    <row r="50" spans="6:21" x14ac:dyDescent="0.25">
      <c r="F50" t="s">
        <v>152</v>
      </c>
      <c r="G50" s="72" t="s">
        <v>226</v>
      </c>
      <c r="J50" s="123">
        <v>1</v>
      </c>
      <c r="K50" s="123">
        <v>1</v>
      </c>
      <c r="L50" s="123">
        <v>1</v>
      </c>
      <c r="M50" s="123">
        <v>1</v>
      </c>
      <c r="N50" s="123">
        <v>1</v>
      </c>
      <c r="O50" s="123">
        <v>1</v>
      </c>
      <c r="P50" s="123">
        <v>1</v>
      </c>
      <c r="Q50" s="123">
        <v>1</v>
      </c>
      <c r="R50" s="123">
        <v>1</v>
      </c>
      <c r="S50" s="123">
        <v>1</v>
      </c>
      <c r="T50" s="79"/>
      <c r="U50" s="79"/>
    </row>
    <row r="51" spans="6:21" x14ac:dyDescent="0.25">
      <c r="F51" t="s">
        <v>153</v>
      </c>
      <c r="G51" s="72" t="s">
        <v>226</v>
      </c>
      <c r="J51" s="123">
        <v>1</v>
      </c>
      <c r="K51" s="123">
        <v>1</v>
      </c>
      <c r="L51" s="123">
        <v>1</v>
      </c>
      <c r="M51" s="123">
        <v>1</v>
      </c>
      <c r="N51" s="123">
        <v>1</v>
      </c>
      <c r="O51" s="123">
        <v>1</v>
      </c>
      <c r="P51" s="123">
        <v>1</v>
      </c>
      <c r="Q51" s="123">
        <v>1</v>
      </c>
      <c r="R51" s="123">
        <v>1</v>
      </c>
      <c r="S51" s="123">
        <v>1</v>
      </c>
      <c r="T51" s="79"/>
      <c r="U51" s="79"/>
    </row>
    <row r="52" spans="6:21" x14ac:dyDescent="0.25">
      <c r="F52" t="s">
        <v>154</v>
      </c>
      <c r="G52" s="72" t="s">
        <v>226</v>
      </c>
      <c r="J52" s="123">
        <v>1</v>
      </c>
      <c r="K52" s="123">
        <v>1</v>
      </c>
      <c r="L52" s="123">
        <v>1</v>
      </c>
      <c r="M52" s="123">
        <v>1</v>
      </c>
      <c r="N52" s="123">
        <v>1</v>
      </c>
      <c r="O52" s="123">
        <v>1</v>
      </c>
      <c r="P52" s="123">
        <v>1</v>
      </c>
      <c r="Q52" s="123">
        <v>1</v>
      </c>
      <c r="R52" s="123">
        <v>1</v>
      </c>
      <c r="S52" s="123">
        <v>1</v>
      </c>
      <c r="T52" s="79"/>
      <c r="U52" s="79"/>
    </row>
    <row r="53" spans="6:21" x14ac:dyDescent="0.25">
      <c r="F53" t="s">
        <v>155</v>
      </c>
      <c r="G53" s="72" t="s">
        <v>226</v>
      </c>
      <c r="J53" s="123">
        <v>1</v>
      </c>
      <c r="K53" s="123">
        <v>1</v>
      </c>
      <c r="L53" s="123">
        <v>1</v>
      </c>
      <c r="M53" s="123">
        <v>1</v>
      </c>
      <c r="N53" s="123">
        <v>1</v>
      </c>
      <c r="O53" s="123">
        <v>1</v>
      </c>
      <c r="P53" s="123">
        <v>1</v>
      </c>
      <c r="Q53" s="123">
        <v>1</v>
      </c>
      <c r="R53" s="123">
        <v>1</v>
      </c>
      <c r="S53" s="123">
        <v>0</v>
      </c>
      <c r="T53" s="79"/>
      <c r="U53" s="79"/>
    </row>
    <row r="54" spans="6:21" x14ac:dyDescent="0.25">
      <c r="F54" t="s">
        <v>156</v>
      </c>
      <c r="G54" s="72" t="s">
        <v>226</v>
      </c>
      <c r="J54" s="123">
        <v>1</v>
      </c>
      <c r="K54" s="123">
        <v>1</v>
      </c>
      <c r="L54" s="123">
        <v>1</v>
      </c>
      <c r="M54" s="123">
        <v>1</v>
      </c>
      <c r="N54" s="123">
        <v>1</v>
      </c>
      <c r="O54" s="123">
        <v>1</v>
      </c>
      <c r="P54" s="123">
        <v>1</v>
      </c>
      <c r="Q54" s="123">
        <v>1</v>
      </c>
      <c r="R54" s="123">
        <v>0</v>
      </c>
      <c r="S54" s="123">
        <v>0</v>
      </c>
      <c r="T54" s="79"/>
      <c r="U54" s="79"/>
    </row>
    <row r="55" spans="6:21" x14ac:dyDescent="0.25">
      <c r="F55" t="s">
        <v>157</v>
      </c>
      <c r="G55" s="72" t="s">
        <v>226</v>
      </c>
      <c r="J55" s="123">
        <v>1</v>
      </c>
      <c r="K55" s="123">
        <v>1</v>
      </c>
      <c r="L55" s="123">
        <v>1</v>
      </c>
      <c r="M55" s="123">
        <v>1</v>
      </c>
      <c r="N55" s="123">
        <v>1</v>
      </c>
      <c r="O55" s="123">
        <v>1</v>
      </c>
      <c r="P55" s="123">
        <v>1</v>
      </c>
      <c r="Q55" s="123">
        <v>1</v>
      </c>
      <c r="R55" s="123">
        <v>1</v>
      </c>
      <c r="S55" s="123">
        <v>1</v>
      </c>
      <c r="T55" s="79"/>
      <c r="U55" s="79"/>
    </row>
    <row r="56" spans="6:21" x14ac:dyDescent="0.25">
      <c r="F56" t="s">
        <v>158</v>
      </c>
      <c r="G56" s="72" t="s">
        <v>226</v>
      </c>
      <c r="J56" s="123">
        <v>1</v>
      </c>
      <c r="K56" s="123">
        <v>1</v>
      </c>
      <c r="L56" s="123">
        <v>1</v>
      </c>
      <c r="M56" s="123">
        <v>1</v>
      </c>
      <c r="N56" s="123">
        <v>1</v>
      </c>
      <c r="O56" s="123">
        <v>1</v>
      </c>
      <c r="P56" s="123">
        <v>1</v>
      </c>
      <c r="Q56" s="123">
        <v>1</v>
      </c>
      <c r="R56" s="123">
        <v>1</v>
      </c>
      <c r="S56" s="123">
        <v>1</v>
      </c>
      <c r="T56" s="79"/>
      <c r="U56" s="79"/>
    </row>
    <row r="57" spans="6:21" x14ac:dyDescent="0.25">
      <c r="F57" t="s">
        <v>159</v>
      </c>
      <c r="G57" s="72" t="s">
        <v>226</v>
      </c>
      <c r="J57" s="123">
        <v>1</v>
      </c>
      <c r="K57" s="123">
        <v>1</v>
      </c>
      <c r="L57" s="123">
        <v>1</v>
      </c>
      <c r="M57" s="123">
        <v>1</v>
      </c>
      <c r="N57" s="123">
        <v>1</v>
      </c>
      <c r="O57" s="123">
        <v>1</v>
      </c>
      <c r="P57" s="123">
        <v>1</v>
      </c>
      <c r="Q57" s="123">
        <v>1</v>
      </c>
      <c r="R57" s="123">
        <v>1</v>
      </c>
      <c r="S57" s="123">
        <v>1</v>
      </c>
      <c r="T57" s="79"/>
      <c r="U57" s="79"/>
    </row>
    <row r="58" spans="6:21" x14ac:dyDescent="0.25">
      <c r="F58" t="s">
        <v>160</v>
      </c>
      <c r="G58" s="72" t="s">
        <v>226</v>
      </c>
      <c r="J58" s="123">
        <v>1</v>
      </c>
      <c r="K58" s="123">
        <v>1</v>
      </c>
      <c r="L58" s="123">
        <v>1</v>
      </c>
      <c r="M58" s="123">
        <v>1</v>
      </c>
      <c r="N58" s="123">
        <v>1</v>
      </c>
      <c r="O58" s="123">
        <v>1</v>
      </c>
      <c r="P58" s="123">
        <v>1</v>
      </c>
      <c r="Q58" s="123">
        <v>1</v>
      </c>
      <c r="R58" s="123">
        <v>1</v>
      </c>
      <c r="S58" s="123">
        <v>0</v>
      </c>
      <c r="T58" s="79"/>
      <c r="U58" s="79"/>
    </row>
    <row r="59" spans="6:21" x14ac:dyDescent="0.25">
      <c r="F59" t="s">
        <v>161</v>
      </c>
      <c r="G59" s="72" t="s">
        <v>226</v>
      </c>
      <c r="J59" s="123">
        <v>1</v>
      </c>
      <c r="K59" s="123">
        <v>1</v>
      </c>
      <c r="L59" s="123">
        <v>1</v>
      </c>
      <c r="M59" s="123">
        <v>1</v>
      </c>
      <c r="N59" s="123">
        <v>1</v>
      </c>
      <c r="O59" s="123">
        <v>1</v>
      </c>
      <c r="P59" s="123">
        <v>1</v>
      </c>
      <c r="Q59" s="123">
        <v>1</v>
      </c>
      <c r="R59" s="123">
        <v>0</v>
      </c>
      <c r="S59" s="123">
        <v>0</v>
      </c>
      <c r="T59" s="79"/>
      <c r="U59" s="79"/>
    </row>
    <row r="60" spans="6:21" x14ac:dyDescent="0.25">
      <c r="F60" t="s">
        <v>162</v>
      </c>
      <c r="G60" s="72" t="s">
        <v>226</v>
      </c>
      <c r="J60" s="123">
        <v>1</v>
      </c>
      <c r="K60" s="123">
        <v>1</v>
      </c>
      <c r="L60" s="123">
        <v>1</v>
      </c>
      <c r="M60" s="123">
        <v>1</v>
      </c>
      <c r="N60" s="123">
        <v>1</v>
      </c>
      <c r="O60" s="123">
        <v>1</v>
      </c>
      <c r="P60" s="123">
        <v>1</v>
      </c>
      <c r="Q60" s="123">
        <v>1</v>
      </c>
      <c r="R60" s="123">
        <v>1</v>
      </c>
      <c r="S60" s="123">
        <v>1</v>
      </c>
      <c r="T60" s="79"/>
      <c r="U60" s="79"/>
    </row>
    <row r="61" spans="6:21" x14ac:dyDescent="0.25">
      <c r="F61" t="s">
        <v>163</v>
      </c>
      <c r="G61" s="72" t="s">
        <v>226</v>
      </c>
      <c r="J61" s="123">
        <v>1</v>
      </c>
      <c r="K61" s="123">
        <v>1</v>
      </c>
      <c r="L61" s="123">
        <v>1</v>
      </c>
      <c r="M61" s="123">
        <v>1</v>
      </c>
      <c r="N61" s="123">
        <v>1</v>
      </c>
      <c r="O61" s="123">
        <v>1</v>
      </c>
      <c r="P61" s="123">
        <v>1</v>
      </c>
      <c r="Q61" s="123">
        <v>1</v>
      </c>
      <c r="R61" s="123">
        <v>1</v>
      </c>
      <c r="S61" s="123">
        <v>1</v>
      </c>
      <c r="T61" s="79"/>
      <c r="U61" s="79"/>
    </row>
    <row r="62" spans="6:21" x14ac:dyDescent="0.25">
      <c r="F62" t="s">
        <v>164</v>
      </c>
      <c r="G62" s="72" t="s">
        <v>226</v>
      </c>
      <c r="J62" s="123">
        <v>1</v>
      </c>
      <c r="K62" s="123">
        <v>1</v>
      </c>
      <c r="L62" s="123">
        <v>1</v>
      </c>
      <c r="M62" s="123">
        <v>1</v>
      </c>
      <c r="N62" s="123">
        <v>1</v>
      </c>
      <c r="O62" s="123">
        <v>1</v>
      </c>
      <c r="P62" s="123">
        <v>1</v>
      </c>
      <c r="Q62" s="123">
        <v>1</v>
      </c>
      <c r="R62" s="123">
        <v>1</v>
      </c>
      <c r="S62" s="123">
        <v>1</v>
      </c>
      <c r="T62" s="79"/>
      <c r="U62" s="79"/>
    </row>
    <row r="63" spans="6:21" x14ac:dyDescent="0.25">
      <c r="F63" t="s">
        <v>165</v>
      </c>
      <c r="G63" s="72" t="s">
        <v>226</v>
      </c>
      <c r="J63" s="123">
        <v>1</v>
      </c>
      <c r="K63" s="123">
        <v>1</v>
      </c>
      <c r="L63" s="123">
        <v>1</v>
      </c>
      <c r="M63" s="123">
        <v>1</v>
      </c>
      <c r="N63" s="123">
        <v>1</v>
      </c>
      <c r="O63" s="123">
        <v>1</v>
      </c>
      <c r="P63" s="123">
        <v>1</v>
      </c>
      <c r="Q63" s="123">
        <v>1</v>
      </c>
      <c r="R63" s="123">
        <v>1</v>
      </c>
      <c r="S63" s="123">
        <v>1</v>
      </c>
      <c r="T63" s="79"/>
      <c r="U63" s="79"/>
    </row>
    <row r="64" spans="6:21" x14ac:dyDescent="0.25">
      <c r="F64" t="s">
        <v>166</v>
      </c>
      <c r="G64" s="72" t="s">
        <v>226</v>
      </c>
      <c r="J64" s="123">
        <v>1</v>
      </c>
      <c r="K64" s="123">
        <v>1</v>
      </c>
      <c r="L64" s="123">
        <v>1</v>
      </c>
      <c r="M64" s="123">
        <v>1</v>
      </c>
      <c r="N64" s="123">
        <v>1</v>
      </c>
      <c r="O64" s="123">
        <v>1</v>
      </c>
      <c r="P64" s="123">
        <v>1</v>
      </c>
      <c r="Q64" s="123">
        <v>1</v>
      </c>
      <c r="R64" s="123">
        <v>1</v>
      </c>
      <c r="S64" s="123">
        <v>1</v>
      </c>
      <c r="T64" s="79"/>
      <c r="U64" s="79"/>
    </row>
    <row r="65" spans="5:21" x14ac:dyDescent="0.25">
      <c r="F65" t="s">
        <v>167</v>
      </c>
      <c r="G65" s="72" t="s">
        <v>226</v>
      </c>
      <c r="J65" s="123">
        <v>-1</v>
      </c>
      <c r="K65" s="123">
        <v>-1</v>
      </c>
      <c r="L65" s="123">
        <v>-1</v>
      </c>
      <c r="M65" s="123">
        <v>-1</v>
      </c>
      <c r="N65" s="123">
        <v>-1</v>
      </c>
      <c r="O65" s="123">
        <v>-1</v>
      </c>
      <c r="P65" s="123">
        <v>-1</v>
      </c>
      <c r="Q65" s="123">
        <v>-1</v>
      </c>
      <c r="R65" s="123">
        <v>-1</v>
      </c>
      <c r="S65" s="123">
        <v>-1</v>
      </c>
      <c r="T65" s="79"/>
      <c r="U65" s="79"/>
    </row>
    <row r="66" spans="5:21" x14ac:dyDescent="0.25">
      <c r="F66" t="s">
        <v>168</v>
      </c>
      <c r="G66" s="72" t="s">
        <v>226</v>
      </c>
      <c r="J66" s="123">
        <v>-1</v>
      </c>
      <c r="K66" s="123">
        <v>-1</v>
      </c>
      <c r="L66" s="123">
        <v>-1</v>
      </c>
      <c r="M66" s="123">
        <v>-1</v>
      </c>
      <c r="N66" s="123">
        <v>-1</v>
      </c>
      <c r="O66" s="123">
        <v>-1</v>
      </c>
      <c r="P66" s="123">
        <v>-1</v>
      </c>
      <c r="Q66" s="123">
        <v>-1</v>
      </c>
      <c r="R66" s="123">
        <v>-1</v>
      </c>
      <c r="S66" s="123">
        <v>0</v>
      </c>
      <c r="T66" s="79"/>
      <c r="U66" s="79"/>
    </row>
    <row r="67" spans="5:21" x14ac:dyDescent="0.25">
      <c r="F67" t="s">
        <v>169</v>
      </c>
      <c r="G67" s="72" t="s">
        <v>226</v>
      </c>
      <c r="J67" s="123">
        <v>-1</v>
      </c>
      <c r="K67" s="123">
        <v>-1</v>
      </c>
      <c r="L67" s="123">
        <v>-1</v>
      </c>
      <c r="M67" s="123">
        <v>-1</v>
      </c>
      <c r="N67" s="123">
        <v>-1</v>
      </c>
      <c r="O67" s="123">
        <v>-1</v>
      </c>
      <c r="P67" s="123">
        <v>-1</v>
      </c>
      <c r="Q67" s="123">
        <v>-1</v>
      </c>
      <c r="R67" s="123">
        <v>-1</v>
      </c>
      <c r="S67" s="123">
        <v>-1</v>
      </c>
      <c r="T67" s="79"/>
      <c r="U67" s="79"/>
    </row>
    <row r="68" spans="5:21" x14ac:dyDescent="0.25">
      <c r="F68" t="s">
        <v>170</v>
      </c>
      <c r="G68" s="72" t="s">
        <v>226</v>
      </c>
      <c r="J68" s="123">
        <v>-1</v>
      </c>
      <c r="K68" s="123">
        <v>-1</v>
      </c>
      <c r="L68" s="123">
        <v>-1</v>
      </c>
      <c r="M68" s="123">
        <v>-1</v>
      </c>
      <c r="N68" s="123">
        <v>-1</v>
      </c>
      <c r="O68" s="123">
        <v>-1</v>
      </c>
      <c r="P68" s="123">
        <v>-1</v>
      </c>
      <c r="Q68" s="123">
        <v>-1</v>
      </c>
      <c r="R68" s="123">
        <v>-1</v>
      </c>
      <c r="S68" s="123">
        <v>-1</v>
      </c>
      <c r="T68" s="79"/>
      <c r="U68" s="79"/>
    </row>
    <row r="69" spans="5:21" x14ac:dyDescent="0.25">
      <c r="F69" t="s">
        <v>171</v>
      </c>
      <c r="G69" s="72" t="s">
        <v>226</v>
      </c>
      <c r="J69" s="123">
        <v>-1</v>
      </c>
      <c r="K69" s="123">
        <v>-1</v>
      </c>
      <c r="L69" s="123">
        <v>-1</v>
      </c>
      <c r="M69" s="123">
        <v>-1</v>
      </c>
      <c r="N69" s="123">
        <v>-1</v>
      </c>
      <c r="O69" s="123">
        <v>-1</v>
      </c>
      <c r="P69" s="123">
        <v>-1</v>
      </c>
      <c r="Q69" s="123">
        <v>-1</v>
      </c>
      <c r="R69" s="123">
        <v>-1</v>
      </c>
      <c r="S69" s="123">
        <v>-1</v>
      </c>
      <c r="T69" s="79"/>
      <c r="U69" s="79"/>
    </row>
    <row r="70" spans="5:21" x14ac:dyDescent="0.25">
      <c r="F70" t="s">
        <v>172</v>
      </c>
      <c r="G70" s="72" t="s">
        <v>226</v>
      </c>
      <c r="J70" s="123">
        <v>-1</v>
      </c>
      <c r="K70" s="123">
        <v>-1</v>
      </c>
      <c r="L70" s="123">
        <v>-1</v>
      </c>
      <c r="M70" s="123">
        <v>-1</v>
      </c>
      <c r="N70" s="123">
        <v>-1</v>
      </c>
      <c r="O70" s="123">
        <v>-1</v>
      </c>
      <c r="P70" s="123">
        <v>-1</v>
      </c>
      <c r="Q70" s="123">
        <v>-1</v>
      </c>
      <c r="R70" s="123">
        <v>-1</v>
      </c>
      <c r="S70" s="123">
        <v>-1</v>
      </c>
      <c r="T70" s="79"/>
      <c r="U70" s="79"/>
    </row>
    <row r="71" spans="5:21" x14ac:dyDescent="0.25">
      <c r="F71" t="s">
        <v>173</v>
      </c>
      <c r="G71" s="72" t="s">
        <v>226</v>
      </c>
      <c r="J71" s="123">
        <v>-1</v>
      </c>
      <c r="K71" s="123">
        <v>-1</v>
      </c>
      <c r="L71" s="123">
        <v>-1</v>
      </c>
      <c r="M71" s="123">
        <v>-1</v>
      </c>
      <c r="N71" s="123">
        <v>-1</v>
      </c>
      <c r="O71" s="123">
        <v>-1</v>
      </c>
      <c r="P71" s="123">
        <v>-1</v>
      </c>
      <c r="Q71" s="123">
        <v>-1</v>
      </c>
      <c r="R71" s="123">
        <v>-1</v>
      </c>
      <c r="S71" s="123">
        <v>0</v>
      </c>
      <c r="T71" s="79"/>
      <c r="U71" s="79"/>
    </row>
    <row r="72" spans="5:21" x14ac:dyDescent="0.25">
      <c r="F72" t="s">
        <v>174</v>
      </c>
      <c r="G72" s="72" t="s">
        <v>226</v>
      </c>
      <c r="J72" s="123">
        <v>-1</v>
      </c>
      <c r="K72" s="123">
        <v>-1</v>
      </c>
      <c r="L72" s="123">
        <v>-1</v>
      </c>
      <c r="M72" s="123">
        <v>-1</v>
      </c>
      <c r="N72" s="123">
        <v>-1</v>
      </c>
      <c r="O72" s="123">
        <v>-1</v>
      </c>
      <c r="P72" s="123">
        <v>-1</v>
      </c>
      <c r="Q72" s="123">
        <v>-1</v>
      </c>
      <c r="R72" s="123">
        <v>-1</v>
      </c>
      <c r="S72" s="123">
        <v>0</v>
      </c>
      <c r="T72" s="79"/>
      <c r="U72" s="79"/>
    </row>
    <row r="73" spans="5:21" x14ac:dyDescent="0.25">
      <c r="F73" t="s">
        <v>175</v>
      </c>
      <c r="G73" s="72" t="s">
        <v>226</v>
      </c>
      <c r="J73" s="123">
        <v>-1</v>
      </c>
      <c r="K73" s="123">
        <v>-1</v>
      </c>
      <c r="L73" s="123">
        <v>-1</v>
      </c>
      <c r="M73" s="123">
        <v>-1</v>
      </c>
      <c r="N73" s="123">
        <v>-1</v>
      </c>
      <c r="O73" s="123">
        <v>-1</v>
      </c>
      <c r="P73" s="123">
        <v>-1</v>
      </c>
      <c r="Q73" s="123">
        <v>-1</v>
      </c>
      <c r="R73" s="123">
        <v>-1</v>
      </c>
      <c r="S73" s="123">
        <v>0</v>
      </c>
      <c r="T73" s="79"/>
      <c r="U73" s="79"/>
    </row>
    <row r="74" spans="5:21" x14ac:dyDescent="0.25">
      <c r="F74" t="s">
        <v>176</v>
      </c>
      <c r="G74" s="72" t="s">
        <v>226</v>
      </c>
      <c r="J74" s="123">
        <v>-1</v>
      </c>
      <c r="K74" s="123">
        <v>-1</v>
      </c>
      <c r="L74" s="123">
        <v>-1</v>
      </c>
      <c r="M74" s="123">
        <v>-1</v>
      </c>
      <c r="N74" s="123">
        <v>-1</v>
      </c>
      <c r="O74" s="123">
        <v>-1</v>
      </c>
      <c r="P74" s="123">
        <v>-1</v>
      </c>
      <c r="Q74" s="123">
        <v>-1</v>
      </c>
      <c r="R74" s="123">
        <v>-1</v>
      </c>
      <c r="S74" s="123">
        <v>0</v>
      </c>
      <c r="T74" s="79"/>
      <c r="U74" s="79"/>
    </row>
    <row r="75" spans="5:21" x14ac:dyDescent="0.25">
      <c r="F75" t="s">
        <v>177</v>
      </c>
      <c r="G75" s="72" t="s">
        <v>226</v>
      </c>
      <c r="J75" s="123">
        <v>-1</v>
      </c>
      <c r="K75" s="123">
        <v>-1</v>
      </c>
      <c r="L75" s="123">
        <v>-1</v>
      </c>
      <c r="M75" s="123">
        <v>-1</v>
      </c>
      <c r="N75" s="123">
        <v>-1</v>
      </c>
      <c r="O75" s="123">
        <v>-1</v>
      </c>
      <c r="P75" s="123">
        <v>-1</v>
      </c>
      <c r="Q75" s="123">
        <v>-1</v>
      </c>
      <c r="R75" s="123">
        <v>0</v>
      </c>
      <c r="S75" s="123">
        <v>0</v>
      </c>
      <c r="T75" s="79"/>
      <c r="U75" s="79"/>
    </row>
    <row r="76" spans="5:21" x14ac:dyDescent="0.25">
      <c r="F76" t="s">
        <v>178</v>
      </c>
      <c r="G76" s="72" t="s">
        <v>226</v>
      </c>
      <c r="J76" s="123">
        <v>-1</v>
      </c>
      <c r="K76" s="123">
        <v>-1</v>
      </c>
      <c r="L76" s="123">
        <v>-1</v>
      </c>
      <c r="M76" s="123">
        <v>-1</v>
      </c>
      <c r="N76" s="123">
        <v>-1</v>
      </c>
      <c r="O76" s="123">
        <v>-1</v>
      </c>
      <c r="P76" s="123">
        <v>-1</v>
      </c>
      <c r="Q76" s="123">
        <v>-1</v>
      </c>
      <c r="R76" s="123">
        <v>0</v>
      </c>
      <c r="S76" s="123">
        <v>0</v>
      </c>
      <c r="T76" s="79"/>
      <c r="U76" s="79"/>
    </row>
    <row r="77" spans="5:21" x14ac:dyDescent="0.25">
      <c r="F77" t="s">
        <v>179</v>
      </c>
      <c r="G77" s="72" t="s">
        <v>226</v>
      </c>
      <c r="J77" s="123">
        <v>-1</v>
      </c>
      <c r="K77" s="123">
        <v>-1</v>
      </c>
      <c r="L77" s="123">
        <v>-1</v>
      </c>
      <c r="M77" s="123">
        <v>-1</v>
      </c>
      <c r="N77" s="123">
        <v>-1</v>
      </c>
      <c r="O77" s="123">
        <v>-1</v>
      </c>
      <c r="P77" s="123">
        <v>-1</v>
      </c>
      <c r="Q77" s="123">
        <v>-1</v>
      </c>
      <c r="R77" s="123">
        <v>0</v>
      </c>
      <c r="S77" s="123">
        <v>0</v>
      </c>
      <c r="T77" s="79"/>
      <c r="U77" s="79"/>
    </row>
    <row r="78" spans="5:21" x14ac:dyDescent="0.25">
      <c r="F78" s="37" t="s">
        <v>180</v>
      </c>
      <c r="G78" s="80" t="s">
        <v>226</v>
      </c>
      <c r="H78" s="37"/>
      <c r="I78" s="37"/>
      <c r="J78" s="128">
        <v>-1</v>
      </c>
      <c r="K78" s="128">
        <v>-1</v>
      </c>
      <c r="L78" s="128">
        <v>-1</v>
      </c>
      <c r="M78" s="128">
        <v>-1</v>
      </c>
      <c r="N78" s="128">
        <v>-1</v>
      </c>
      <c r="O78" s="128">
        <v>-1</v>
      </c>
      <c r="P78" s="128">
        <v>-1</v>
      </c>
      <c r="Q78" s="128">
        <v>-1</v>
      </c>
      <c r="R78" s="128">
        <v>0</v>
      </c>
      <c r="S78" s="128">
        <v>0</v>
      </c>
      <c r="T78" s="81"/>
      <c r="U78" s="81"/>
    </row>
    <row r="79" spans="5:21" x14ac:dyDescent="0.25">
      <c r="G79" s="13"/>
      <c r="J79" s="92"/>
      <c r="K79" s="92"/>
      <c r="L79" s="92"/>
      <c r="M79" s="92"/>
      <c r="N79" s="92"/>
      <c r="O79" s="92"/>
      <c r="P79" s="92"/>
      <c r="Q79" s="92"/>
      <c r="R79" s="92"/>
      <c r="S79" s="92"/>
      <c r="T79" s="92"/>
      <c r="U79" s="92"/>
    </row>
    <row r="80" spans="5:21" x14ac:dyDescent="0.25">
      <c r="E80" s="32" t="s">
        <v>460</v>
      </c>
      <c r="G80" s="13"/>
      <c r="J80" s="92"/>
      <c r="K80" s="92"/>
      <c r="L80" s="92"/>
      <c r="M80" s="92"/>
      <c r="N80" s="92"/>
      <c r="O80" s="92"/>
      <c r="P80" s="92"/>
      <c r="Q80" s="92"/>
      <c r="R80" s="92"/>
      <c r="S80" s="92"/>
      <c r="T80" s="92"/>
      <c r="U80" s="92"/>
    </row>
    <row r="81" spans="5:23" x14ac:dyDescent="0.25">
      <c r="E81" s="29" t="s">
        <v>461</v>
      </c>
      <c r="G81" s="13"/>
      <c r="J81" s="92"/>
      <c r="K81" s="92"/>
      <c r="L81" s="92"/>
      <c r="M81" s="92"/>
      <c r="N81" s="92"/>
      <c r="O81" s="92"/>
      <c r="P81" s="92"/>
      <c r="Q81" s="92"/>
      <c r="R81" s="92"/>
      <c r="S81" s="92"/>
      <c r="T81" s="92"/>
      <c r="U81" s="92"/>
    </row>
    <row r="82" spans="5:23" x14ac:dyDescent="0.25">
      <c r="F82" s="23" t="s">
        <v>148</v>
      </c>
      <c r="G82" s="78" t="s">
        <v>226</v>
      </c>
      <c r="H82" s="23"/>
      <c r="I82" s="23"/>
      <c r="J82" s="129">
        <f t="shared" ref="J82:S82" si="5">IF(J$38 = "", J46, J46 * J$38)</f>
        <v>1</v>
      </c>
      <c r="K82" s="129">
        <f t="shared" si="5"/>
        <v>1</v>
      </c>
      <c r="L82" s="129">
        <f t="shared" si="5"/>
        <v>1</v>
      </c>
      <c r="M82" s="129">
        <f t="shared" si="5"/>
        <v>1</v>
      </c>
      <c r="N82" s="129">
        <f t="shared" si="5"/>
        <v>1</v>
      </c>
      <c r="O82" s="129">
        <f t="shared" si="5"/>
        <v>1</v>
      </c>
      <c r="P82" s="129">
        <f t="shared" si="5"/>
        <v>0</v>
      </c>
      <c r="Q82" s="129">
        <f t="shared" si="5"/>
        <v>1</v>
      </c>
      <c r="R82" s="129">
        <f t="shared" si="5"/>
        <v>1</v>
      </c>
      <c r="S82" s="129">
        <f t="shared" si="5"/>
        <v>1</v>
      </c>
      <c r="T82" s="83"/>
      <c r="U82" s="83"/>
      <c r="W82" s="3"/>
    </row>
    <row r="83" spans="5:23" x14ac:dyDescent="0.25">
      <c r="F83" t="s">
        <v>149</v>
      </c>
      <c r="G83" s="72" t="s">
        <v>226</v>
      </c>
      <c r="J83" s="101">
        <f t="shared" ref="J83:S83" si="6">IF(J$38 = "", J47, J47 * J$38)</f>
        <v>1</v>
      </c>
      <c r="K83" s="101">
        <f t="shared" si="6"/>
        <v>1</v>
      </c>
      <c r="L83" s="101">
        <f t="shared" si="6"/>
        <v>1</v>
      </c>
      <c r="M83" s="101">
        <f t="shared" si="6"/>
        <v>1</v>
      </c>
      <c r="N83" s="101">
        <f t="shared" si="6"/>
        <v>1</v>
      </c>
      <c r="O83" s="101">
        <f t="shared" si="6"/>
        <v>1</v>
      </c>
      <c r="P83" s="101">
        <f t="shared" si="6"/>
        <v>0</v>
      </c>
      <c r="Q83" s="101">
        <f t="shared" si="6"/>
        <v>1</v>
      </c>
      <c r="R83" s="101">
        <f t="shared" si="6"/>
        <v>1</v>
      </c>
      <c r="S83" s="101">
        <f t="shared" si="6"/>
        <v>1</v>
      </c>
      <c r="T83" s="79"/>
      <c r="U83" s="79"/>
    </row>
    <row r="84" spans="5:23" x14ac:dyDescent="0.25">
      <c r="F84" t="s">
        <v>150</v>
      </c>
      <c r="G84" s="72" t="s">
        <v>226</v>
      </c>
      <c r="J84" s="101">
        <f t="shared" ref="J84:S84" si="7">IF(J$38 = "", J48, J48 * J$38)</f>
        <v>1</v>
      </c>
      <c r="K84" s="101">
        <f t="shared" si="7"/>
        <v>1</v>
      </c>
      <c r="L84" s="101">
        <f t="shared" si="7"/>
        <v>1</v>
      </c>
      <c r="M84" s="101">
        <f t="shared" si="7"/>
        <v>1</v>
      </c>
      <c r="N84" s="101">
        <f t="shared" si="7"/>
        <v>1</v>
      </c>
      <c r="O84" s="101">
        <f t="shared" si="7"/>
        <v>1</v>
      </c>
      <c r="P84" s="101">
        <f t="shared" si="7"/>
        <v>0</v>
      </c>
      <c r="Q84" s="101">
        <f t="shared" si="7"/>
        <v>1</v>
      </c>
      <c r="R84" s="101">
        <f t="shared" si="7"/>
        <v>1</v>
      </c>
      <c r="S84" s="101">
        <f t="shared" si="7"/>
        <v>1</v>
      </c>
      <c r="T84" s="79"/>
      <c r="U84" s="79"/>
    </row>
    <row r="85" spans="5:23" x14ac:dyDescent="0.25">
      <c r="F85" t="s">
        <v>151</v>
      </c>
      <c r="G85" s="72" t="s">
        <v>226</v>
      </c>
      <c r="J85" s="101">
        <f t="shared" ref="J85:S85" si="8">IF(J$38 = "", J49, J49 * J$38)</f>
        <v>1</v>
      </c>
      <c r="K85" s="101">
        <f t="shared" si="8"/>
        <v>1</v>
      </c>
      <c r="L85" s="101">
        <f t="shared" si="8"/>
        <v>1</v>
      </c>
      <c r="M85" s="101">
        <f t="shared" si="8"/>
        <v>1</v>
      </c>
      <c r="N85" s="101">
        <f t="shared" si="8"/>
        <v>1</v>
      </c>
      <c r="O85" s="101">
        <f t="shared" si="8"/>
        <v>1</v>
      </c>
      <c r="P85" s="101">
        <f t="shared" si="8"/>
        <v>0</v>
      </c>
      <c r="Q85" s="101">
        <f t="shared" si="8"/>
        <v>1</v>
      </c>
      <c r="R85" s="101">
        <f t="shared" si="8"/>
        <v>1</v>
      </c>
      <c r="S85" s="101">
        <f t="shared" si="8"/>
        <v>1</v>
      </c>
      <c r="T85" s="79"/>
      <c r="U85" s="79"/>
    </row>
    <row r="86" spans="5:23" x14ac:dyDescent="0.25">
      <c r="F86" t="s">
        <v>152</v>
      </c>
      <c r="G86" s="72" t="s">
        <v>226</v>
      </c>
      <c r="J86" s="101">
        <f t="shared" ref="J86:S86" si="9">IF(J$38 = "", J50, J50 * J$38)</f>
        <v>1</v>
      </c>
      <c r="K86" s="101">
        <f t="shared" si="9"/>
        <v>1</v>
      </c>
      <c r="L86" s="101">
        <f t="shared" si="9"/>
        <v>1</v>
      </c>
      <c r="M86" s="101">
        <f t="shared" si="9"/>
        <v>1</v>
      </c>
      <c r="N86" s="101">
        <f t="shared" si="9"/>
        <v>1</v>
      </c>
      <c r="O86" s="101">
        <f t="shared" si="9"/>
        <v>1</v>
      </c>
      <c r="P86" s="101">
        <f t="shared" si="9"/>
        <v>0</v>
      </c>
      <c r="Q86" s="101">
        <f t="shared" si="9"/>
        <v>1</v>
      </c>
      <c r="R86" s="101">
        <f t="shared" si="9"/>
        <v>1</v>
      </c>
      <c r="S86" s="101">
        <f t="shared" si="9"/>
        <v>1</v>
      </c>
      <c r="T86" s="79"/>
      <c r="U86" s="79"/>
    </row>
    <row r="87" spans="5:23" x14ac:dyDescent="0.25">
      <c r="F87" t="s">
        <v>153</v>
      </c>
      <c r="G87" s="72" t="s">
        <v>226</v>
      </c>
      <c r="J87" s="101">
        <f t="shared" ref="J87:S87" si="10">IF(J$38 = "", J51, J51 * J$38)</f>
        <v>1</v>
      </c>
      <c r="K87" s="101">
        <f t="shared" si="10"/>
        <v>1</v>
      </c>
      <c r="L87" s="101">
        <f t="shared" si="10"/>
        <v>1</v>
      </c>
      <c r="M87" s="101">
        <f t="shared" si="10"/>
        <v>1</v>
      </c>
      <c r="N87" s="101">
        <f t="shared" si="10"/>
        <v>1</v>
      </c>
      <c r="O87" s="101">
        <f t="shared" si="10"/>
        <v>1</v>
      </c>
      <c r="P87" s="101">
        <f t="shared" si="10"/>
        <v>0</v>
      </c>
      <c r="Q87" s="101">
        <f t="shared" si="10"/>
        <v>1</v>
      </c>
      <c r="R87" s="101">
        <f t="shared" si="10"/>
        <v>1</v>
      </c>
      <c r="S87" s="101">
        <f t="shared" si="10"/>
        <v>1</v>
      </c>
      <c r="T87" s="79"/>
      <c r="U87" s="79"/>
    </row>
    <row r="88" spans="5:23" x14ac:dyDescent="0.25">
      <c r="F88" t="s">
        <v>154</v>
      </c>
      <c r="G88" s="72" t="s">
        <v>226</v>
      </c>
      <c r="J88" s="101">
        <f t="shared" ref="J88:S88" si="11">IF(J$38 = "", J52, J52 * J$38)</f>
        <v>1</v>
      </c>
      <c r="K88" s="101">
        <f t="shared" si="11"/>
        <v>1</v>
      </c>
      <c r="L88" s="101">
        <f t="shared" si="11"/>
        <v>1</v>
      </c>
      <c r="M88" s="101">
        <f t="shared" si="11"/>
        <v>1</v>
      </c>
      <c r="N88" s="101">
        <f t="shared" si="11"/>
        <v>1</v>
      </c>
      <c r="O88" s="101">
        <f t="shared" si="11"/>
        <v>1</v>
      </c>
      <c r="P88" s="101">
        <f t="shared" si="11"/>
        <v>0</v>
      </c>
      <c r="Q88" s="101">
        <f t="shared" si="11"/>
        <v>1</v>
      </c>
      <c r="R88" s="101">
        <f t="shared" si="11"/>
        <v>1</v>
      </c>
      <c r="S88" s="101">
        <f t="shared" si="11"/>
        <v>1</v>
      </c>
      <c r="T88" s="79"/>
      <c r="U88" s="79"/>
    </row>
    <row r="89" spans="5:23" x14ac:dyDescent="0.25">
      <c r="F89" t="s">
        <v>155</v>
      </c>
      <c r="G89" s="72" t="s">
        <v>226</v>
      </c>
      <c r="J89" s="101">
        <f t="shared" ref="J89:S89" si="12">IF(J$38 = "", J53, J53 * J$38)</f>
        <v>1</v>
      </c>
      <c r="K89" s="101">
        <f t="shared" si="12"/>
        <v>1</v>
      </c>
      <c r="L89" s="101">
        <f t="shared" si="12"/>
        <v>1</v>
      </c>
      <c r="M89" s="101">
        <f t="shared" si="12"/>
        <v>1</v>
      </c>
      <c r="N89" s="101">
        <f t="shared" si="12"/>
        <v>1</v>
      </c>
      <c r="O89" s="101">
        <f t="shared" si="12"/>
        <v>1</v>
      </c>
      <c r="P89" s="101">
        <f t="shared" si="12"/>
        <v>0</v>
      </c>
      <c r="Q89" s="101">
        <f t="shared" si="12"/>
        <v>1</v>
      </c>
      <c r="R89" s="101">
        <f t="shared" si="12"/>
        <v>1</v>
      </c>
      <c r="S89" s="101">
        <f t="shared" si="12"/>
        <v>0</v>
      </c>
      <c r="T89" s="79"/>
      <c r="U89" s="79"/>
    </row>
    <row r="90" spans="5:23" x14ac:dyDescent="0.25">
      <c r="F90" t="s">
        <v>156</v>
      </c>
      <c r="G90" s="72" t="s">
        <v>226</v>
      </c>
      <c r="J90" s="101">
        <f t="shared" ref="J90:S90" si="13">IF(J$38 = "", J54, J54 * J$38)</f>
        <v>1</v>
      </c>
      <c r="K90" s="101">
        <f t="shared" si="13"/>
        <v>1</v>
      </c>
      <c r="L90" s="101">
        <f t="shared" si="13"/>
        <v>1</v>
      </c>
      <c r="M90" s="101">
        <f t="shared" si="13"/>
        <v>1</v>
      </c>
      <c r="N90" s="101">
        <f t="shared" si="13"/>
        <v>1</v>
      </c>
      <c r="O90" s="101">
        <f t="shared" si="13"/>
        <v>1</v>
      </c>
      <c r="P90" s="101">
        <f t="shared" si="13"/>
        <v>0</v>
      </c>
      <c r="Q90" s="101">
        <f t="shared" si="13"/>
        <v>1</v>
      </c>
      <c r="R90" s="101">
        <f t="shared" si="13"/>
        <v>0</v>
      </c>
      <c r="S90" s="101">
        <f t="shared" si="13"/>
        <v>0</v>
      </c>
      <c r="T90" s="79"/>
      <c r="U90" s="79"/>
    </row>
    <row r="91" spans="5:23" x14ac:dyDescent="0.25">
      <c r="F91" t="s">
        <v>157</v>
      </c>
      <c r="G91" s="72" t="s">
        <v>226</v>
      </c>
      <c r="J91" s="101">
        <f t="shared" ref="J91:S91" si="14">IF(J$38 = "", J55, J55 * J$38)</f>
        <v>1</v>
      </c>
      <c r="K91" s="101">
        <f t="shared" si="14"/>
        <v>1</v>
      </c>
      <c r="L91" s="101">
        <f t="shared" si="14"/>
        <v>1</v>
      </c>
      <c r="M91" s="101">
        <f t="shared" si="14"/>
        <v>1</v>
      </c>
      <c r="N91" s="101">
        <f t="shared" si="14"/>
        <v>1</v>
      </c>
      <c r="O91" s="101">
        <f t="shared" si="14"/>
        <v>1</v>
      </c>
      <c r="P91" s="101">
        <f t="shared" si="14"/>
        <v>0</v>
      </c>
      <c r="Q91" s="101">
        <f t="shared" si="14"/>
        <v>1</v>
      </c>
      <c r="R91" s="101">
        <f t="shared" si="14"/>
        <v>1</v>
      </c>
      <c r="S91" s="101">
        <f t="shared" si="14"/>
        <v>1</v>
      </c>
      <c r="T91" s="79"/>
      <c r="U91" s="79"/>
    </row>
    <row r="92" spans="5:23" x14ac:dyDescent="0.25">
      <c r="F92" t="s">
        <v>158</v>
      </c>
      <c r="G92" s="72" t="s">
        <v>226</v>
      </c>
      <c r="J92" s="101">
        <f t="shared" ref="J92:S92" si="15">IF(J$38 = "", J56, J56 * J$38)</f>
        <v>1</v>
      </c>
      <c r="K92" s="101">
        <f t="shared" si="15"/>
        <v>1</v>
      </c>
      <c r="L92" s="101">
        <f t="shared" si="15"/>
        <v>1</v>
      </c>
      <c r="M92" s="101">
        <f t="shared" si="15"/>
        <v>1</v>
      </c>
      <c r="N92" s="101">
        <f t="shared" si="15"/>
        <v>1</v>
      </c>
      <c r="O92" s="101">
        <f t="shared" si="15"/>
        <v>1</v>
      </c>
      <c r="P92" s="101">
        <f t="shared" si="15"/>
        <v>0</v>
      </c>
      <c r="Q92" s="101">
        <f t="shared" si="15"/>
        <v>1</v>
      </c>
      <c r="R92" s="101">
        <f t="shared" si="15"/>
        <v>1</v>
      </c>
      <c r="S92" s="101">
        <f t="shared" si="15"/>
        <v>1</v>
      </c>
      <c r="T92" s="79"/>
      <c r="U92" s="79"/>
    </row>
    <row r="93" spans="5:23" x14ac:dyDescent="0.25">
      <c r="F93" t="s">
        <v>159</v>
      </c>
      <c r="G93" s="72" t="s">
        <v>226</v>
      </c>
      <c r="J93" s="101">
        <f t="shared" ref="J93:S93" si="16">IF(J$38 = "", J57, J57 * J$38)</f>
        <v>1</v>
      </c>
      <c r="K93" s="101">
        <f t="shared" si="16"/>
        <v>1</v>
      </c>
      <c r="L93" s="101">
        <f t="shared" si="16"/>
        <v>1</v>
      </c>
      <c r="M93" s="101">
        <f t="shared" si="16"/>
        <v>1</v>
      </c>
      <c r="N93" s="101">
        <f t="shared" si="16"/>
        <v>1</v>
      </c>
      <c r="O93" s="101">
        <f t="shared" si="16"/>
        <v>1</v>
      </c>
      <c r="P93" s="101">
        <f t="shared" si="16"/>
        <v>0</v>
      </c>
      <c r="Q93" s="101">
        <f t="shared" si="16"/>
        <v>1</v>
      </c>
      <c r="R93" s="101">
        <f t="shared" si="16"/>
        <v>1</v>
      </c>
      <c r="S93" s="101">
        <f t="shared" si="16"/>
        <v>1</v>
      </c>
      <c r="T93" s="79"/>
      <c r="U93" s="79"/>
    </row>
    <row r="94" spans="5:23" x14ac:dyDescent="0.25">
      <c r="F94" t="s">
        <v>160</v>
      </c>
      <c r="G94" s="72" t="s">
        <v>226</v>
      </c>
      <c r="J94" s="101">
        <f t="shared" ref="J94:S94" si="17">IF(J$38 = "", J58, J58 * J$38)</f>
        <v>1</v>
      </c>
      <c r="K94" s="101">
        <f t="shared" si="17"/>
        <v>1</v>
      </c>
      <c r="L94" s="101">
        <f t="shared" si="17"/>
        <v>1</v>
      </c>
      <c r="M94" s="101">
        <f t="shared" si="17"/>
        <v>1</v>
      </c>
      <c r="N94" s="101">
        <f t="shared" si="17"/>
        <v>1</v>
      </c>
      <c r="O94" s="101">
        <f t="shared" si="17"/>
        <v>1</v>
      </c>
      <c r="P94" s="101">
        <f t="shared" si="17"/>
        <v>0</v>
      </c>
      <c r="Q94" s="101">
        <f t="shared" si="17"/>
        <v>1</v>
      </c>
      <c r="R94" s="101">
        <f t="shared" si="17"/>
        <v>1</v>
      </c>
      <c r="S94" s="101">
        <f t="shared" si="17"/>
        <v>0</v>
      </c>
      <c r="T94" s="79"/>
      <c r="U94" s="79"/>
    </row>
    <row r="95" spans="5:23" x14ac:dyDescent="0.25">
      <c r="F95" t="s">
        <v>161</v>
      </c>
      <c r="G95" s="72" t="s">
        <v>226</v>
      </c>
      <c r="J95" s="101">
        <f t="shared" ref="J95:S95" si="18">IF(J$38 = "", J59, J59 * J$38)</f>
        <v>1</v>
      </c>
      <c r="K95" s="101">
        <f t="shared" si="18"/>
        <v>1</v>
      </c>
      <c r="L95" s="101">
        <f t="shared" si="18"/>
        <v>1</v>
      </c>
      <c r="M95" s="101">
        <f t="shared" si="18"/>
        <v>1</v>
      </c>
      <c r="N95" s="101">
        <f t="shared" si="18"/>
        <v>1</v>
      </c>
      <c r="O95" s="101">
        <f t="shared" si="18"/>
        <v>1</v>
      </c>
      <c r="P95" s="101">
        <f t="shared" si="18"/>
        <v>0</v>
      </c>
      <c r="Q95" s="101">
        <f t="shared" si="18"/>
        <v>1</v>
      </c>
      <c r="R95" s="101">
        <f t="shared" si="18"/>
        <v>0</v>
      </c>
      <c r="S95" s="101">
        <f t="shared" si="18"/>
        <v>0</v>
      </c>
      <c r="T95" s="79"/>
      <c r="U95" s="79"/>
    </row>
    <row r="96" spans="5:23" x14ac:dyDescent="0.25">
      <c r="F96" t="s">
        <v>162</v>
      </c>
      <c r="G96" s="72" t="s">
        <v>226</v>
      </c>
      <c r="J96" s="101">
        <f t="shared" ref="J96:S96" si="19">IF(J$38 = "", J60, J60 * J$38)</f>
        <v>1</v>
      </c>
      <c r="K96" s="101">
        <f t="shared" si="19"/>
        <v>1</v>
      </c>
      <c r="L96" s="101">
        <f t="shared" si="19"/>
        <v>1</v>
      </c>
      <c r="M96" s="101">
        <f t="shared" si="19"/>
        <v>1</v>
      </c>
      <c r="N96" s="101">
        <f t="shared" si="19"/>
        <v>1</v>
      </c>
      <c r="O96" s="101">
        <f t="shared" si="19"/>
        <v>1</v>
      </c>
      <c r="P96" s="101">
        <f t="shared" si="19"/>
        <v>0</v>
      </c>
      <c r="Q96" s="101">
        <f t="shared" si="19"/>
        <v>1</v>
      </c>
      <c r="R96" s="101">
        <f t="shared" si="19"/>
        <v>1</v>
      </c>
      <c r="S96" s="101">
        <f t="shared" si="19"/>
        <v>1</v>
      </c>
      <c r="T96" s="79"/>
      <c r="U96" s="79"/>
    </row>
    <row r="97" spans="6:21" x14ac:dyDescent="0.25">
      <c r="F97" t="s">
        <v>163</v>
      </c>
      <c r="G97" s="72" t="s">
        <v>226</v>
      </c>
      <c r="J97" s="101">
        <f t="shared" ref="J97:S97" si="20">IF(J$38 = "", J61, J61 * J$38)</f>
        <v>1</v>
      </c>
      <c r="K97" s="101">
        <f t="shared" si="20"/>
        <v>1</v>
      </c>
      <c r="L97" s="101">
        <f t="shared" si="20"/>
        <v>1</v>
      </c>
      <c r="M97" s="101">
        <f t="shared" si="20"/>
        <v>1</v>
      </c>
      <c r="N97" s="101">
        <f t="shared" si="20"/>
        <v>1</v>
      </c>
      <c r="O97" s="101">
        <f t="shared" si="20"/>
        <v>1</v>
      </c>
      <c r="P97" s="101">
        <f t="shared" si="20"/>
        <v>0</v>
      </c>
      <c r="Q97" s="101">
        <f t="shared" si="20"/>
        <v>1</v>
      </c>
      <c r="R97" s="101">
        <f t="shared" si="20"/>
        <v>1</v>
      </c>
      <c r="S97" s="101">
        <f t="shared" si="20"/>
        <v>1</v>
      </c>
      <c r="T97" s="79"/>
      <c r="U97" s="79"/>
    </row>
    <row r="98" spans="6:21" x14ac:dyDescent="0.25">
      <c r="F98" t="s">
        <v>164</v>
      </c>
      <c r="G98" s="72" t="s">
        <v>226</v>
      </c>
      <c r="J98" s="101">
        <f t="shared" ref="J98:S98" si="21">IF(J$38 = "", J62, J62 * J$38)</f>
        <v>1</v>
      </c>
      <c r="K98" s="101">
        <f t="shared" si="21"/>
        <v>1</v>
      </c>
      <c r="L98" s="101">
        <f t="shared" si="21"/>
        <v>1</v>
      </c>
      <c r="M98" s="101">
        <f t="shared" si="21"/>
        <v>1</v>
      </c>
      <c r="N98" s="101">
        <f t="shared" si="21"/>
        <v>1</v>
      </c>
      <c r="O98" s="101">
        <f t="shared" si="21"/>
        <v>1</v>
      </c>
      <c r="P98" s="101">
        <f t="shared" si="21"/>
        <v>0</v>
      </c>
      <c r="Q98" s="101">
        <f t="shared" si="21"/>
        <v>1</v>
      </c>
      <c r="R98" s="101">
        <f t="shared" si="21"/>
        <v>1</v>
      </c>
      <c r="S98" s="101">
        <f t="shared" si="21"/>
        <v>1</v>
      </c>
      <c r="T98" s="79"/>
      <c r="U98" s="79"/>
    </row>
    <row r="99" spans="6:21" x14ac:dyDescent="0.25">
      <c r="F99" t="s">
        <v>165</v>
      </c>
      <c r="G99" s="72" t="s">
        <v>226</v>
      </c>
      <c r="J99" s="101">
        <f t="shared" ref="J99:S99" si="22">IF(J$38 = "", J63, J63 * J$38)</f>
        <v>1</v>
      </c>
      <c r="K99" s="101">
        <f t="shared" si="22"/>
        <v>1</v>
      </c>
      <c r="L99" s="101">
        <f t="shared" si="22"/>
        <v>1</v>
      </c>
      <c r="M99" s="101">
        <f t="shared" si="22"/>
        <v>1</v>
      </c>
      <c r="N99" s="101">
        <f t="shared" si="22"/>
        <v>1</v>
      </c>
      <c r="O99" s="101">
        <f t="shared" si="22"/>
        <v>1</v>
      </c>
      <c r="P99" s="101">
        <f t="shared" si="22"/>
        <v>0</v>
      </c>
      <c r="Q99" s="101">
        <f t="shared" si="22"/>
        <v>1</v>
      </c>
      <c r="R99" s="101">
        <f t="shared" si="22"/>
        <v>1</v>
      </c>
      <c r="S99" s="101">
        <f t="shared" si="22"/>
        <v>1</v>
      </c>
      <c r="T99" s="79"/>
      <c r="U99" s="79"/>
    </row>
    <row r="100" spans="6:21" x14ac:dyDescent="0.25">
      <c r="F100" t="s">
        <v>166</v>
      </c>
      <c r="G100" s="72" t="s">
        <v>226</v>
      </c>
      <c r="J100" s="101">
        <f t="shared" ref="J100:S100" si="23">IF(J$38 = "", J64, J64 * J$38)</f>
        <v>1</v>
      </c>
      <c r="K100" s="101">
        <f t="shared" si="23"/>
        <v>1</v>
      </c>
      <c r="L100" s="101">
        <f t="shared" si="23"/>
        <v>1</v>
      </c>
      <c r="M100" s="101">
        <f t="shared" si="23"/>
        <v>1</v>
      </c>
      <c r="N100" s="101">
        <f t="shared" si="23"/>
        <v>1</v>
      </c>
      <c r="O100" s="101">
        <f t="shared" si="23"/>
        <v>1</v>
      </c>
      <c r="P100" s="101">
        <f t="shared" si="23"/>
        <v>0</v>
      </c>
      <c r="Q100" s="101">
        <f t="shared" si="23"/>
        <v>1</v>
      </c>
      <c r="R100" s="101">
        <f t="shared" si="23"/>
        <v>1</v>
      </c>
      <c r="S100" s="101">
        <f t="shared" si="23"/>
        <v>1</v>
      </c>
      <c r="T100" s="79"/>
      <c r="U100" s="79"/>
    </row>
    <row r="101" spans="6:21" x14ac:dyDescent="0.25">
      <c r="F101" t="s">
        <v>167</v>
      </c>
      <c r="G101" s="72" t="s">
        <v>226</v>
      </c>
      <c r="J101" s="101">
        <f t="shared" ref="J101:S101" si="24">IF(J$38 = "", J65, J65 * J$38)</f>
        <v>-1</v>
      </c>
      <c r="K101" s="101">
        <f t="shared" si="24"/>
        <v>-1</v>
      </c>
      <c r="L101" s="101">
        <f t="shared" si="24"/>
        <v>-1</v>
      </c>
      <c r="M101" s="101">
        <f t="shared" si="24"/>
        <v>-1</v>
      </c>
      <c r="N101" s="101">
        <f t="shared" si="24"/>
        <v>-1</v>
      </c>
      <c r="O101" s="101">
        <f t="shared" si="24"/>
        <v>-1</v>
      </c>
      <c r="P101" s="101">
        <f t="shared" si="24"/>
        <v>0</v>
      </c>
      <c r="Q101" s="101">
        <f t="shared" si="24"/>
        <v>-1</v>
      </c>
      <c r="R101" s="101">
        <f t="shared" si="24"/>
        <v>-1</v>
      </c>
      <c r="S101" s="101">
        <f t="shared" si="24"/>
        <v>-1</v>
      </c>
      <c r="T101" s="79"/>
      <c r="U101" s="79"/>
    </row>
    <row r="102" spans="6:21" x14ac:dyDescent="0.25">
      <c r="F102" t="s">
        <v>168</v>
      </c>
      <c r="G102" s="72" t="s">
        <v>226</v>
      </c>
      <c r="J102" s="101">
        <f t="shared" ref="J102:S102" si="25">IF(J$38 = "", J66, J66 * J$38)</f>
        <v>-1</v>
      </c>
      <c r="K102" s="101">
        <f t="shared" si="25"/>
        <v>-1</v>
      </c>
      <c r="L102" s="101">
        <f t="shared" si="25"/>
        <v>-1</v>
      </c>
      <c r="M102" s="101">
        <f t="shared" si="25"/>
        <v>-1</v>
      </c>
      <c r="N102" s="101">
        <f t="shared" si="25"/>
        <v>-1</v>
      </c>
      <c r="O102" s="101">
        <f t="shared" si="25"/>
        <v>-1</v>
      </c>
      <c r="P102" s="101">
        <f t="shared" si="25"/>
        <v>0</v>
      </c>
      <c r="Q102" s="101">
        <f t="shared" si="25"/>
        <v>-1</v>
      </c>
      <c r="R102" s="101">
        <f t="shared" si="25"/>
        <v>-1</v>
      </c>
      <c r="S102" s="101">
        <f t="shared" si="25"/>
        <v>0</v>
      </c>
      <c r="T102" s="79"/>
      <c r="U102" s="79"/>
    </row>
    <row r="103" spans="6:21" x14ac:dyDescent="0.25">
      <c r="F103" t="s">
        <v>169</v>
      </c>
      <c r="G103" s="72" t="s">
        <v>226</v>
      </c>
      <c r="J103" s="101">
        <f t="shared" ref="J103:S103" si="26">IF(J$38 = "", J67, J67 * J$38)</f>
        <v>-1</v>
      </c>
      <c r="K103" s="101">
        <f t="shared" si="26"/>
        <v>-1</v>
      </c>
      <c r="L103" s="101">
        <f t="shared" si="26"/>
        <v>-1</v>
      </c>
      <c r="M103" s="101">
        <f t="shared" si="26"/>
        <v>-1</v>
      </c>
      <c r="N103" s="101">
        <f t="shared" si="26"/>
        <v>-1</v>
      </c>
      <c r="O103" s="101">
        <f t="shared" si="26"/>
        <v>-1</v>
      </c>
      <c r="P103" s="101">
        <f t="shared" si="26"/>
        <v>0</v>
      </c>
      <c r="Q103" s="101">
        <f t="shared" si="26"/>
        <v>-1</v>
      </c>
      <c r="R103" s="101">
        <f t="shared" si="26"/>
        <v>-1</v>
      </c>
      <c r="S103" s="101">
        <f t="shared" si="26"/>
        <v>-1</v>
      </c>
      <c r="T103" s="79"/>
      <c r="U103" s="79"/>
    </row>
    <row r="104" spans="6:21" x14ac:dyDescent="0.25">
      <c r="F104" t="s">
        <v>170</v>
      </c>
      <c r="G104" s="72" t="s">
        <v>226</v>
      </c>
      <c r="J104" s="101">
        <f t="shared" ref="J104:S104" si="27">IF(J$38 = "", J68, J68 * J$38)</f>
        <v>-1</v>
      </c>
      <c r="K104" s="101">
        <f t="shared" si="27"/>
        <v>-1</v>
      </c>
      <c r="L104" s="101">
        <f t="shared" si="27"/>
        <v>-1</v>
      </c>
      <c r="M104" s="101">
        <f t="shared" si="27"/>
        <v>-1</v>
      </c>
      <c r="N104" s="101">
        <f t="shared" si="27"/>
        <v>-1</v>
      </c>
      <c r="O104" s="101">
        <f t="shared" si="27"/>
        <v>-1</v>
      </c>
      <c r="P104" s="101">
        <f t="shared" si="27"/>
        <v>0</v>
      </c>
      <c r="Q104" s="101">
        <f t="shared" si="27"/>
        <v>-1</v>
      </c>
      <c r="R104" s="101">
        <f t="shared" si="27"/>
        <v>-1</v>
      </c>
      <c r="S104" s="101">
        <f t="shared" si="27"/>
        <v>-1</v>
      </c>
      <c r="T104" s="79"/>
      <c r="U104" s="79"/>
    </row>
    <row r="105" spans="6:21" x14ac:dyDescent="0.25">
      <c r="F105" t="s">
        <v>171</v>
      </c>
      <c r="G105" s="72" t="s">
        <v>226</v>
      </c>
      <c r="J105" s="101">
        <f t="shared" ref="J105:S105" si="28">IF(J$38 = "", J69, J69 * J$38)</f>
        <v>-1</v>
      </c>
      <c r="K105" s="101">
        <f t="shared" si="28"/>
        <v>-1</v>
      </c>
      <c r="L105" s="101">
        <f t="shared" si="28"/>
        <v>-1</v>
      </c>
      <c r="M105" s="101">
        <f t="shared" si="28"/>
        <v>-1</v>
      </c>
      <c r="N105" s="101">
        <f t="shared" si="28"/>
        <v>-1</v>
      </c>
      <c r="O105" s="101">
        <f t="shared" si="28"/>
        <v>-1</v>
      </c>
      <c r="P105" s="101">
        <f t="shared" si="28"/>
        <v>0</v>
      </c>
      <c r="Q105" s="101">
        <f t="shared" si="28"/>
        <v>-1</v>
      </c>
      <c r="R105" s="101">
        <f t="shared" si="28"/>
        <v>-1</v>
      </c>
      <c r="S105" s="101">
        <f t="shared" si="28"/>
        <v>-1</v>
      </c>
      <c r="T105" s="79"/>
      <c r="U105" s="79"/>
    </row>
    <row r="106" spans="6:21" x14ac:dyDescent="0.25">
      <c r="F106" t="s">
        <v>172</v>
      </c>
      <c r="G106" s="72" t="s">
        <v>226</v>
      </c>
      <c r="J106" s="101">
        <f t="shared" ref="J106:S106" si="29">IF(J$38 = "", J70, J70 * J$38)</f>
        <v>-1</v>
      </c>
      <c r="K106" s="101">
        <f t="shared" si="29"/>
        <v>-1</v>
      </c>
      <c r="L106" s="101">
        <f t="shared" si="29"/>
        <v>-1</v>
      </c>
      <c r="M106" s="101">
        <f t="shared" si="29"/>
        <v>-1</v>
      </c>
      <c r="N106" s="101">
        <f t="shared" si="29"/>
        <v>-1</v>
      </c>
      <c r="O106" s="101">
        <f t="shared" si="29"/>
        <v>-1</v>
      </c>
      <c r="P106" s="101">
        <f t="shared" si="29"/>
        <v>0</v>
      </c>
      <c r="Q106" s="101">
        <f t="shared" si="29"/>
        <v>-1</v>
      </c>
      <c r="R106" s="101">
        <f t="shared" si="29"/>
        <v>-1</v>
      </c>
      <c r="S106" s="101">
        <f t="shared" si="29"/>
        <v>-1</v>
      </c>
      <c r="T106" s="79"/>
      <c r="U106" s="79"/>
    </row>
    <row r="107" spans="6:21" x14ac:dyDescent="0.25">
      <c r="F107" t="s">
        <v>173</v>
      </c>
      <c r="G107" s="72" t="s">
        <v>226</v>
      </c>
      <c r="J107" s="101">
        <f t="shared" ref="J107:S107" si="30">IF(J$38 = "", J71, J71 * J$38)</f>
        <v>-1</v>
      </c>
      <c r="K107" s="101">
        <f t="shared" si="30"/>
        <v>-1</v>
      </c>
      <c r="L107" s="101">
        <f t="shared" si="30"/>
        <v>-1</v>
      </c>
      <c r="M107" s="101">
        <f t="shared" si="30"/>
        <v>-1</v>
      </c>
      <c r="N107" s="101">
        <f t="shared" si="30"/>
        <v>-1</v>
      </c>
      <c r="O107" s="101">
        <f t="shared" si="30"/>
        <v>-1</v>
      </c>
      <c r="P107" s="101">
        <f t="shared" si="30"/>
        <v>0</v>
      </c>
      <c r="Q107" s="101">
        <f t="shared" si="30"/>
        <v>-1</v>
      </c>
      <c r="R107" s="101">
        <f t="shared" si="30"/>
        <v>-1</v>
      </c>
      <c r="S107" s="101">
        <f t="shared" si="30"/>
        <v>0</v>
      </c>
      <c r="T107" s="79"/>
      <c r="U107" s="79"/>
    </row>
    <row r="108" spans="6:21" x14ac:dyDescent="0.25">
      <c r="F108" t="s">
        <v>174</v>
      </c>
      <c r="G108" s="72" t="s">
        <v>226</v>
      </c>
      <c r="J108" s="101">
        <f t="shared" ref="J108:S108" si="31">IF(J$38 = "", J72, J72 * J$38)</f>
        <v>-1</v>
      </c>
      <c r="K108" s="101">
        <f t="shared" si="31"/>
        <v>-1</v>
      </c>
      <c r="L108" s="101">
        <f t="shared" si="31"/>
        <v>-1</v>
      </c>
      <c r="M108" s="101">
        <f t="shared" si="31"/>
        <v>-1</v>
      </c>
      <c r="N108" s="101">
        <f t="shared" si="31"/>
        <v>-1</v>
      </c>
      <c r="O108" s="101">
        <f t="shared" si="31"/>
        <v>-1</v>
      </c>
      <c r="P108" s="101">
        <f t="shared" si="31"/>
        <v>0</v>
      </c>
      <c r="Q108" s="101">
        <f t="shared" si="31"/>
        <v>-1</v>
      </c>
      <c r="R108" s="101">
        <f t="shared" si="31"/>
        <v>-1</v>
      </c>
      <c r="S108" s="101">
        <f t="shared" si="31"/>
        <v>0</v>
      </c>
      <c r="T108" s="79"/>
      <c r="U108" s="79"/>
    </row>
    <row r="109" spans="6:21" x14ac:dyDescent="0.25">
      <c r="F109" t="s">
        <v>175</v>
      </c>
      <c r="G109" s="72" t="s">
        <v>226</v>
      </c>
      <c r="J109" s="101">
        <f t="shared" ref="J109:S109" si="32">IF(J$38 = "", J73, J73 * J$38)</f>
        <v>-1</v>
      </c>
      <c r="K109" s="101">
        <f t="shared" si="32"/>
        <v>-1</v>
      </c>
      <c r="L109" s="101">
        <f t="shared" si="32"/>
        <v>-1</v>
      </c>
      <c r="M109" s="101">
        <f t="shared" si="32"/>
        <v>-1</v>
      </c>
      <c r="N109" s="101">
        <f t="shared" si="32"/>
        <v>-1</v>
      </c>
      <c r="O109" s="101">
        <f t="shared" si="32"/>
        <v>-1</v>
      </c>
      <c r="P109" s="101">
        <f t="shared" si="32"/>
        <v>0</v>
      </c>
      <c r="Q109" s="101">
        <f t="shared" si="32"/>
        <v>-1</v>
      </c>
      <c r="R109" s="101">
        <f t="shared" si="32"/>
        <v>-1</v>
      </c>
      <c r="S109" s="101">
        <f t="shared" si="32"/>
        <v>0</v>
      </c>
      <c r="T109" s="79"/>
      <c r="U109" s="79"/>
    </row>
    <row r="110" spans="6:21" x14ac:dyDescent="0.25">
      <c r="F110" t="s">
        <v>176</v>
      </c>
      <c r="G110" s="72" t="s">
        <v>226</v>
      </c>
      <c r="J110" s="101">
        <f t="shared" ref="J110:S110" si="33">IF(J$38 = "", J74, J74 * J$38)</f>
        <v>-1</v>
      </c>
      <c r="K110" s="101">
        <f t="shared" si="33"/>
        <v>-1</v>
      </c>
      <c r="L110" s="101">
        <f t="shared" si="33"/>
        <v>-1</v>
      </c>
      <c r="M110" s="101">
        <f t="shared" si="33"/>
        <v>-1</v>
      </c>
      <c r="N110" s="101">
        <f t="shared" si="33"/>
        <v>-1</v>
      </c>
      <c r="O110" s="101">
        <f t="shared" si="33"/>
        <v>-1</v>
      </c>
      <c r="P110" s="101">
        <f t="shared" si="33"/>
        <v>0</v>
      </c>
      <c r="Q110" s="101">
        <f t="shared" si="33"/>
        <v>-1</v>
      </c>
      <c r="R110" s="101">
        <f t="shared" si="33"/>
        <v>-1</v>
      </c>
      <c r="S110" s="101">
        <f t="shared" si="33"/>
        <v>0</v>
      </c>
      <c r="T110" s="79"/>
      <c r="U110" s="79"/>
    </row>
    <row r="111" spans="6:21" x14ac:dyDescent="0.25">
      <c r="F111" t="s">
        <v>177</v>
      </c>
      <c r="G111" s="72" t="s">
        <v>226</v>
      </c>
      <c r="J111" s="101">
        <f t="shared" ref="J111:S111" si="34">IF(J$38 = "", J75, J75 * J$38)</f>
        <v>-1</v>
      </c>
      <c r="K111" s="101">
        <f t="shared" si="34"/>
        <v>-1</v>
      </c>
      <c r="L111" s="101">
        <f t="shared" si="34"/>
        <v>-1</v>
      </c>
      <c r="M111" s="101">
        <f t="shared" si="34"/>
        <v>-1</v>
      </c>
      <c r="N111" s="101">
        <f t="shared" si="34"/>
        <v>-1</v>
      </c>
      <c r="O111" s="101">
        <f t="shared" si="34"/>
        <v>-1</v>
      </c>
      <c r="P111" s="101">
        <f t="shared" si="34"/>
        <v>0</v>
      </c>
      <c r="Q111" s="101">
        <f t="shared" si="34"/>
        <v>-1</v>
      </c>
      <c r="R111" s="101">
        <f t="shared" si="34"/>
        <v>0</v>
      </c>
      <c r="S111" s="101">
        <f t="shared" si="34"/>
        <v>0</v>
      </c>
      <c r="T111" s="79"/>
      <c r="U111" s="79"/>
    </row>
    <row r="112" spans="6:21" x14ac:dyDescent="0.25">
      <c r="F112" t="s">
        <v>178</v>
      </c>
      <c r="G112" s="72" t="s">
        <v>226</v>
      </c>
      <c r="J112" s="101">
        <f t="shared" ref="J112:S112" si="35">IF(J$38 = "", J76, J76 * J$38)</f>
        <v>-1</v>
      </c>
      <c r="K112" s="101">
        <f t="shared" si="35"/>
        <v>-1</v>
      </c>
      <c r="L112" s="101">
        <f t="shared" si="35"/>
        <v>-1</v>
      </c>
      <c r="M112" s="101">
        <f t="shared" si="35"/>
        <v>-1</v>
      </c>
      <c r="N112" s="101">
        <f t="shared" si="35"/>
        <v>-1</v>
      </c>
      <c r="O112" s="101">
        <f t="shared" si="35"/>
        <v>-1</v>
      </c>
      <c r="P112" s="101">
        <f t="shared" si="35"/>
        <v>0</v>
      </c>
      <c r="Q112" s="101">
        <f t="shared" si="35"/>
        <v>-1</v>
      </c>
      <c r="R112" s="101">
        <f t="shared" si="35"/>
        <v>0</v>
      </c>
      <c r="S112" s="101">
        <f t="shared" si="35"/>
        <v>0</v>
      </c>
      <c r="T112" s="79"/>
      <c r="U112" s="79"/>
    </row>
    <row r="113" spans="5:23" x14ac:dyDescent="0.25">
      <c r="F113" t="s">
        <v>179</v>
      </c>
      <c r="G113" s="72" t="s">
        <v>226</v>
      </c>
      <c r="J113" s="101">
        <f t="shared" ref="J113:S113" si="36">IF(J$38 = "", J77, J77 * J$38)</f>
        <v>-1</v>
      </c>
      <c r="K113" s="101">
        <f t="shared" si="36"/>
        <v>-1</v>
      </c>
      <c r="L113" s="101">
        <f t="shared" si="36"/>
        <v>-1</v>
      </c>
      <c r="M113" s="101">
        <f t="shared" si="36"/>
        <v>-1</v>
      </c>
      <c r="N113" s="101">
        <f t="shared" si="36"/>
        <v>-1</v>
      </c>
      <c r="O113" s="101">
        <f t="shared" si="36"/>
        <v>-1</v>
      </c>
      <c r="P113" s="101">
        <f t="shared" si="36"/>
        <v>0</v>
      </c>
      <c r="Q113" s="101">
        <f t="shared" si="36"/>
        <v>-1</v>
      </c>
      <c r="R113" s="101">
        <f t="shared" si="36"/>
        <v>0</v>
      </c>
      <c r="S113" s="101">
        <f t="shared" si="36"/>
        <v>0</v>
      </c>
      <c r="T113" s="79"/>
      <c r="U113" s="79"/>
    </row>
    <row r="114" spans="5:23" x14ac:dyDescent="0.25">
      <c r="F114" s="37" t="s">
        <v>180</v>
      </c>
      <c r="G114" s="80" t="s">
        <v>226</v>
      </c>
      <c r="H114" s="37"/>
      <c r="I114" s="37"/>
      <c r="J114" s="103">
        <f t="shared" ref="J114:S114" si="37">IF(J$38 = "", J78, J78 * J$38)</f>
        <v>-1</v>
      </c>
      <c r="K114" s="103">
        <f t="shared" si="37"/>
        <v>-1</v>
      </c>
      <c r="L114" s="103">
        <f t="shared" si="37"/>
        <v>-1</v>
      </c>
      <c r="M114" s="103">
        <f t="shared" si="37"/>
        <v>-1</v>
      </c>
      <c r="N114" s="103">
        <f t="shared" si="37"/>
        <v>-1</v>
      </c>
      <c r="O114" s="103">
        <f t="shared" si="37"/>
        <v>-1</v>
      </c>
      <c r="P114" s="103">
        <f t="shared" si="37"/>
        <v>0</v>
      </c>
      <c r="Q114" s="103">
        <f t="shared" si="37"/>
        <v>-1</v>
      </c>
      <c r="R114" s="103">
        <f t="shared" si="37"/>
        <v>0</v>
      </c>
      <c r="S114" s="103">
        <f t="shared" si="37"/>
        <v>0</v>
      </c>
      <c r="T114" s="81"/>
      <c r="U114" s="81"/>
    </row>
    <row r="115" spans="5:23" x14ac:dyDescent="0.25">
      <c r="G115" s="13"/>
      <c r="J115" s="92"/>
      <c r="K115" s="92"/>
      <c r="L115" s="92"/>
      <c r="M115" s="92"/>
      <c r="N115" s="92"/>
      <c r="O115" s="92"/>
      <c r="P115" s="92"/>
      <c r="Q115" s="92"/>
      <c r="R115" s="92"/>
      <c r="S115" s="92"/>
      <c r="T115" s="92"/>
      <c r="U115" s="92"/>
    </row>
    <row r="116" spans="5:23" x14ac:dyDescent="0.25">
      <c r="E116" s="32" t="s">
        <v>236</v>
      </c>
      <c r="G116" s="13"/>
      <c r="I116" t="s">
        <v>190</v>
      </c>
      <c r="J116" s="92"/>
      <c r="K116" s="92"/>
      <c r="L116" s="92"/>
      <c r="M116" s="92"/>
      <c r="N116" s="92"/>
      <c r="O116" s="92"/>
      <c r="P116" s="92"/>
      <c r="Q116" s="92"/>
      <c r="R116" s="92"/>
      <c r="S116" s="92"/>
      <c r="T116" s="92"/>
      <c r="U116" s="92"/>
      <c r="W116" s="3" t="s">
        <v>462</v>
      </c>
    </row>
    <row r="117" spans="5:23" x14ac:dyDescent="0.25">
      <c r="E117" s="29" t="s">
        <v>238</v>
      </c>
      <c r="G117" s="13"/>
      <c r="J117" s="92"/>
      <c r="K117" s="92"/>
      <c r="L117" s="92"/>
      <c r="M117" s="92"/>
      <c r="N117" s="92"/>
      <c r="O117" s="92"/>
      <c r="P117" s="92"/>
      <c r="Q117" s="92"/>
      <c r="R117" s="92"/>
      <c r="S117" s="92"/>
      <c r="T117" s="92"/>
      <c r="U117" s="92"/>
    </row>
    <row r="118" spans="5:23" x14ac:dyDescent="0.25">
      <c r="F118" s="23" t="s">
        <v>148</v>
      </c>
      <c r="G118" s="78" t="s">
        <v>212</v>
      </c>
      <c r="H118" s="23"/>
      <c r="I118" s="23"/>
      <c r="J118" s="127">
        <f t="array" ref="J118:S150">TRANSPOSE('Fixed inputs'!J73:AP82)</f>
        <v>1</v>
      </c>
      <c r="K118" s="127">
        <v>1</v>
      </c>
      <c r="L118" s="127">
        <v>1</v>
      </c>
      <c r="M118" s="127">
        <v>1</v>
      </c>
      <c r="N118" s="127">
        <v>1</v>
      </c>
      <c r="O118" s="127">
        <v>1</v>
      </c>
      <c r="P118" s="127">
        <v>1</v>
      </c>
      <c r="Q118" s="127">
        <v>1</v>
      </c>
      <c r="R118" s="127">
        <v>1</v>
      </c>
      <c r="S118" s="127">
        <v>1</v>
      </c>
      <c r="T118" s="83"/>
      <c r="U118" s="83"/>
    </row>
    <row r="119" spans="5:23" x14ac:dyDescent="0.25">
      <c r="F119" t="s">
        <v>149</v>
      </c>
      <c r="G119" s="72" t="s">
        <v>212</v>
      </c>
      <c r="J119" s="123">
        <v>1</v>
      </c>
      <c r="K119" s="123">
        <v>1</v>
      </c>
      <c r="L119" s="123">
        <v>1</v>
      </c>
      <c r="M119" s="123">
        <v>1</v>
      </c>
      <c r="N119" s="123">
        <v>1</v>
      </c>
      <c r="O119" s="123">
        <v>1</v>
      </c>
      <c r="P119" s="123">
        <v>1</v>
      </c>
      <c r="Q119" s="123">
        <v>1</v>
      </c>
      <c r="R119" s="123">
        <v>1</v>
      </c>
      <c r="S119" s="123">
        <v>1</v>
      </c>
      <c r="T119" s="79"/>
      <c r="U119" s="79"/>
    </row>
    <row r="120" spans="5:23" x14ac:dyDescent="0.25">
      <c r="F120" t="s">
        <v>150</v>
      </c>
      <c r="G120" s="72" t="s">
        <v>212</v>
      </c>
      <c r="J120" s="123">
        <v>1</v>
      </c>
      <c r="K120" s="123">
        <v>1</v>
      </c>
      <c r="L120" s="123">
        <v>1</v>
      </c>
      <c r="M120" s="123">
        <v>1</v>
      </c>
      <c r="N120" s="123">
        <v>1</v>
      </c>
      <c r="O120" s="123">
        <v>1</v>
      </c>
      <c r="P120" s="123">
        <v>1</v>
      </c>
      <c r="Q120" s="123">
        <v>1</v>
      </c>
      <c r="R120" s="123">
        <v>1</v>
      </c>
      <c r="S120" s="123">
        <v>1</v>
      </c>
      <c r="T120" s="79"/>
      <c r="U120" s="79"/>
    </row>
    <row r="121" spans="5:23" x14ac:dyDescent="0.25">
      <c r="F121" t="s">
        <v>151</v>
      </c>
      <c r="G121" s="72" t="s">
        <v>212</v>
      </c>
      <c r="J121" s="123">
        <v>1</v>
      </c>
      <c r="K121" s="123">
        <v>1</v>
      </c>
      <c r="L121" s="123">
        <v>1</v>
      </c>
      <c r="M121" s="123">
        <v>1</v>
      </c>
      <c r="N121" s="123">
        <v>1</v>
      </c>
      <c r="O121" s="123">
        <v>1</v>
      </c>
      <c r="P121" s="123">
        <v>1</v>
      </c>
      <c r="Q121" s="123">
        <v>1</v>
      </c>
      <c r="R121" s="123">
        <v>1</v>
      </c>
      <c r="S121" s="123">
        <v>1</v>
      </c>
      <c r="T121" s="79"/>
      <c r="U121" s="79"/>
    </row>
    <row r="122" spans="5:23" x14ac:dyDescent="0.25">
      <c r="F122" t="s">
        <v>152</v>
      </c>
      <c r="G122" s="72" t="s">
        <v>212</v>
      </c>
      <c r="J122" s="123">
        <v>1</v>
      </c>
      <c r="K122" s="123">
        <v>1</v>
      </c>
      <c r="L122" s="123">
        <v>1</v>
      </c>
      <c r="M122" s="123">
        <v>1</v>
      </c>
      <c r="N122" s="123">
        <v>1</v>
      </c>
      <c r="O122" s="123">
        <v>1</v>
      </c>
      <c r="P122" s="123">
        <v>1</v>
      </c>
      <c r="Q122" s="123">
        <v>1</v>
      </c>
      <c r="R122" s="123">
        <v>1</v>
      </c>
      <c r="S122" s="123">
        <v>1</v>
      </c>
      <c r="T122" s="79"/>
      <c r="U122" s="79"/>
    </row>
    <row r="123" spans="5:23" x14ac:dyDescent="0.25">
      <c r="F123" t="s">
        <v>153</v>
      </c>
      <c r="G123" s="72" t="s">
        <v>212</v>
      </c>
      <c r="J123" s="123">
        <v>1</v>
      </c>
      <c r="K123" s="123">
        <v>1</v>
      </c>
      <c r="L123" s="123">
        <v>1</v>
      </c>
      <c r="M123" s="123">
        <v>1</v>
      </c>
      <c r="N123" s="123">
        <v>1</v>
      </c>
      <c r="O123" s="123">
        <v>1</v>
      </c>
      <c r="P123" s="123">
        <v>1</v>
      </c>
      <c r="Q123" s="123">
        <v>1</v>
      </c>
      <c r="R123" s="123">
        <v>1</v>
      </c>
      <c r="S123" s="123">
        <v>1</v>
      </c>
      <c r="T123" s="79"/>
      <c r="U123" s="79"/>
    </row>
    <row r="124" spans="5:23" x14ac:dyDescent="0.25">
      <c r="F124" t="s">
        <v>154</v>
      </c>
      <c r="G124" s="72" t="s">
        <v>212</v>
      </c>
      <c r="J124" s="123">
        <v>1</v>
      </c>
      <c r="K124" s="123">
        <v>1</v>
      </c>
      <c r="L124" s="123">
        <v>1</v>
      </c>
      <c r="M124" s="123">
        <v>1</v>
      </c>
      <c r="N124" s="123">
        <v>1</v>
      </c>
      <c r="O124" s="123">
        <v>1</v>
      </c>
      <c r="P124" s="123">
        <v>1</v>
      </c>
      <c r="Q124" s="123">
        <v>1</v>
      </c>
      <c r="R124" s="123">
        <v>1</v>
      </c>
      <c r="S124" s="123">
        <v>1</v>
      </c>
      <c r="T124" s="79"/>
      <c r="U124" s="79"/>
    </row>
    <row r="125" spans="5:23" x14ac:dyDescent="0.25">
      <c r="F125" t="s">
        <v>155</v>
      </c>
      <c r="G125" s="72" t="s">
        <v>212</v>
      </c>
      <c r="J125" s="123">
        <v>1</v>
      </c>
      <c r="K125" s="123">
        <v>1</v>
      </c>
      <c r="L125" s="123">
        <v>1</v>
      </c>
      <c r="M125" s="123">
        <v>1</v>
      </c>
      <c r="N125" s="123">
        <v>1</v>
      </c>
      <c r="O125" s="123">
        <v>1</v>
      </c>
      <c r="P125" s="123">
        <v>1</v>
      </c>
      <c r="Q125" s="123">
        <v>1</v>
      </c>
      <c r="R125" s="123">
        <v>1</v>
      </c>
      <c r="S125" s="123">
        <v>0</v>
      </c>
      <c r="T125" s="79"/>
      <c r="U125" s="79"/>
    </row>
    <row r="126" spans="5:23" x14ac:dyDescent="0.25">
      <c r="F126" t="s">
        <v>156</v>
      </c>
      <c r="G126" s="72" t="s">
        <v>212</v>
      </c>
      <c r="J126" s="123">
        <v>1</v>
      </c>
      <c r="K126" s="123">
        <v>1</v>
      </c>
      <c r="L126" s="123">
        <v>1</v>
      </c>
      <c r="M126" s="123">
        <v>1</v>
      </c>
      <c r="N126" s="123">
        <v>1</v>
      </c>
      <c r="O126" s="123">
        <v>1</v>
      </c>
      <c r="P126" s="123">
        <v>1</v>
      </c>
      <c r="Q126" s="123">
        <v>1</v>
      </c>
      <c r="R126" s="123">
        <v>0</v>
      </c>
      <c r="S126" s="123">
        <v>0</v>
      </c>
      <c r="T126" s="79"/>
      <c r="U126" s="79"/>
    </row>
    <row r="127" spans="5:23" x14ac:dyDescent="0.25">
      <c r="F127" t="s">
        <v>157</v>
      </c>
      <c r="G127" s="72" t="s">
        <v>212</v>
      </c>
      <c r="J127" s="123">
        <v>1</v>
      </c>
      <c r="K127" s="123">
        <v>1</v>
      </c>
      <c r="L127" s="123">
        <v>1</v>
      </c>
      <c r="M127" s="123">
        <v>1</v>
      </c>
      <c r="N127" s="123">
        <v>1</v>
      </c>
      <c r="O127" s="123">
        <v>1</v>
      </c>
      <c r="P127" s="123">
        <v>1</v>
      </c>
      <c r="Q127" s="123">
        <v>1</v>
      </c>
      <c r="R127" s="123">
        <v>1</v>
      </c>
      <c r="S127" s="123">
        <v>1</v>
      </c>
      <c r="T127" s="79"/>
      <c r="U127" s="79"/>
    </row>
    <row r="128" spans="5:23" x14ac:dyDescent="0.25">
      <c r="F128" t="s">
        <v>158</v>
      </c>
      <c r="G128" s="72" t="s">
        <v>212</v>
      </c>
      <c r="J128" s="123">
        <v>1</v>
      </c>
      <c r="K128" s="123">
        <v>1</v>
      </c>
      <c r="L128" s="123">
        <v>1</v>
      </c>
      <c r="M128" s="123">
        <v>1</v>
      </c>
      <c r="N128" s="123">
        <v>1</v>
      </c>
      <c r="O128" s="123">
        <v>1</v>
      </c>
      <c r="P128" s="123">
        <v>1</v>
      </c>
      <c r="Q128" s="123">
        <v>1</v>
      </c>
      <c r="R128" s="123">
        <v>1</v>
      </c>
      <c r="S128" s="123">
        <v>1</v>
      </c>
      <c r="T128" s="79"/>
      <c r="U128" s="79"/>
    </row>
    <row r="129" spans="6:21" x14ac:dyDescent="0.25">
      <c r="F129" t="s">
        <v>159</v>
      </c>
      <c r="G129" s="72" t="s">
        <v>212</v>
      </c>
      <c r="J129" s="123">
        <v>1</v>
      </c>
      <c r="K129" s="123">
        <v>1</v>
      </c>
      <c r="L129" s="123">
        <v>1</v>
      </c>
      <c r="M129" s="123">
        <v>1</v>
      </c>
      <c r="N129" s="123">
        <v>1</v>
      </c>
      <c r="O129" s="123">
        <v>1</v>
      </c>
      <c r="P129" s="123">
        <v>1</v>
      </c>
      <c r="Q129" s="123">
        <v>1</v>
      </c>
      <c r="R129" s="123">
        <v>1</v>
      </c>
      <c r="S129" s="123">
        <v>1</v>
      </c>
      <c r="T129" s="79"/>
      <c r="U129" s="79"/>
    </row>
    <row r="130" spans="6:21" x14ac:dyDescent="0.25">
      <c r="F130" t="s">
        <v>160</v>
      </c>
      <c r="G130" s="72" t="s">
        <v>212</v>
      </c>
      <c r="J130" s="123">
        <v>1</v>
      </c>
      <c r="K130" s="123">
        <v>1</v>
      </c>
      <c r="L130" s="123">
        <v>1</v>
      </c>
      <c r="M130" s="123">
        <v>1</v>
      </c>
      <c r="N130" s="123">
        <v>1</v>
      </c>
      <c r="O130" s="123">
        <v>1</v>
      </c>
      <c r="P130" s="123">
        <v>1</v>
      </c>
      <c r="Q130" s="123">
        <v>1</v>
      </c>
      <c r="R130" s="123">
        <v>1</v>
      </c>
      <c r="S130" s="123">
        <v>0</v>
      </c>
      <c r="T130" s="79"/>
      <c r="U130" s="79"/>
    </row>
    <row r="131" spans="6:21" x14ac:dyDescent="0.25">
      <c r="F131" t="s">
        <v>161</v>
      </c>
      <c r="G131" s="72" t="s">
        <v>212</v>
      </c>
      <c r="J131" s="123">
        <v>1</v>
      </c>
      <c r="K131" s="123">
        <v>1</v>
      </c>
      <c r="L131" s="123">
        <v>1</v>
      </c>
      <c r="M131" s="123">
        <v>1</v>
      </c>
      <c r="N131" s="123">
        <v>1</v>
      </c>
      <c r="O131" s="123">
        <v>1</v>
      </c>
      <c r="P131" s="123">
        <v>1</v>
      </c>
      <c r="Q131" s="123">
        <v>1</v>
      </c>
      <c r="R131" s="123">
        <v>0</v>
      </c>
      <c r="S131" s="123">
        <v>0</v>
      </c>
      <c r="T131" s="79"/>
      <c r="U131" s="79"/>
    </row>
    <row r="132" spans="6:21" x14ac:dyDescent="0.25">
      <c r="F132" t="s">
        <v>162</v>
      </c>
      <c r="G132" s="72" t="s">
        <v>212</v>
      </c>
      <c r="J132" s="123">
        <v>1</v>
      </c>
      <c r="K132" s="123">
        <v>1</v>
      </c>
      <c r="L132" s="123">
        <v>1</v>
      </c>
      <c r="M132" s="123">
        <v>1</v>
      </c>
      <c r="N132" s="123">
        <v>1</v>
      </c>
      <c r="O132" s="123">
        <v>1</v>
      </c>
      <c r="P132" s="123">
        <v>1</v>
      </c>
      <c r="Q132" s="123">
        <v>1</v>
      </c>
      <c r="R132" s="123">
        <v>1</v>
      </c>
      <c r="S132" s="123">
        <v>1</v>
      </c>
      <c r="T132" s="79"/>
      <c r="U132" s="79"/>
    </row>
    <row r="133" spans="6:21" x14ac:dyDescent="0.25">
      <c r="F133" t="s">
        <v>163</v>
      </c>
      <c r="G133" s="72" t="s">
        <v>212</v>
      </c>
      <c r="J133" s="123">
        <v>1</v>
      </c>
      <c r="K133" s="123">
        <v>1</v>
      </c>
      <c r="L133" s="123">
        <v>1</v>
      </c>
      <c r="M133" s="123">
        <v>1</v>
      </c>
      <c r="N133" s="123">
        <v>1</v>
      </c>
      <c r="O133" s="123">
        <v>1</v>
      </c>
      <c r="P133" s="123">
        <v>1</v>
      </c>
      <c r="Q133" s="123">
        <v>1</v>
      </c>
      <c r="R133" s="123">
        <v>1</v>
      </c>
      <c r="S133" s="123">
        <v>1</v>
      </c>
      <c r="T133" s="79"/>
      <c r="U133" s="79"/>
    </row>
    <row r="134" spans="6:21" x14ac:dyDescent="0.25">
      <c r="F134" t="s">
        <v>164</v>
      </c>
      <c r="G134" s="72" t="s">
        <v>212</v>
      </c>
      <c r="J134" s="123">
        <v>1</v>
      </c>
      <c r="K134" s="123">
        <v>1</v>
      </c>
      <c r="L134" s="123">
        <v>1</v>
      </c>
      <c r="M134" s="123">
        <v>1</v>
      </c>
      <c r="N134" s="123">
        <v>1</v>
      </c>
      <c r="O134" s="123">
        <v>1</v>
      </c>
      <c r="P134" s="123">
        <v>1</v>
      </c>
      <c r="Q134" s="123">
        <v>1</v>
      </c>
      <c r="R134" s="123">
        <v>1</v>
      </c>
      <c r="S134" s="123">
        <v>1</v>
      </c>
      <c r="T134" s="79"/>
      <c r="U134" s="79"/>
    </row>
    <row r="135" spans="6:21" x14ac:dyDescent="0.25">
      <c r="F135" t="s">
        <v>165</v>
      </c>
      <c r="G135" s="72" t="s">
        <v>212</v>
      </c>
      <c r="J135" s="123">
        <v>1</v>
      </c>
      <c r="K135" s="123">
        <v>1</v>
      </c>
      <c r="L135" s="123">
        <v>1</v>
      </c>
      <c r="M135" s="123">
        <v>1</v>
      </c>
      <c r="N135" s="123">
        <v>1</v>
      </c>
      <c r="O135" s="123">
        <v>1</v>
      </c>
      <c r="P135" s="123">
        <v>1</v>
      </c>
      <c r="Q135" s="123">
        <v>1</v>
      </c>
      <c r="R135" s="123">
        <v>1</v>
      </c>
      <c r="S135" s="123">
        <v>1</v>
      </c>
      <c r="T135" s="79"/>
      <c r="U135" s="79"/>
    </row>
    <row r="136" spans="6:21" x14ac:dyDescent="0.25">
      <c r="F136" t="s">
        <v>166</v>
      </c>
      <c r="G136" s="72" t="s">
        <v>212</v>
      </c>
      <c r="J136" s="123">
        <v>1</v>
      </c>
      <c r="K136" s="123">
        <v>1</v>
      </c>
      <c r="L136" s="123">
        <v>1</v>
      </c>
      <c r="M136" s="123">
        <v>1</v>
      </c>
      <c r="N136" s="123">
        <v>1</v>
      </c>
      <c r="O136" s="123">
        <v>1</v>
      </c>
      <c r="P136" s="123">
        <v>1</v>
      </c>
      <c r="Q136" s="123">
        <v>1</v>
      </c>
      <c r="R136" s="123">
        <v>1</v>
      </c>
      <c r="S136" s="123">
        <v>1</v>
      </c>
      <c r="T136" s="79"/>
      <c r="U136" s="79"/>
    </row>
    <row r="137" spans="6:21" x14ac:dyDescent="0.25">
      <c r="F137" t="s">
        <v>167</v>
      </c>
      <c r="G137" s="72" t="s">
        <v>212</v>
      </c>
      <c r="J137" s="123">
        <v>-1</v>
      </c>
      <c r="K137" s="123">
        <v>-1</v>
      </c>
      <c r="L137" s="123">
        <v>-1</v>
      </c>
      <c r="M137" s="123">
        <v>-1</v>
      </c>
      <c r="N137" s="123">
        <v>-1</v>
      </c>
      <c r="O137" s="123">
        <v>-1</v>
      </c>
      <c r="P137" s="123">
        <v>-1</v>
      </c>
      <c r="Q137" s="123">
        <v>-1</v>
      </c>
      <c r="R137" s="123">
        <v>-1</v>
      </c>
      <c r="S137" s="123">
        <v>0</v>
      </c>
      <c r="T137" s="79"/>
      <c r="U137" s="79"/>
    </row>
    <row r="138" spans="6:21" x14ac:dyDescent="0.25">
      <c r="F138" t="s">
        <v>168</v>
      </c>
      <c r="G138" s="72" t="s">
        <v>212</v>
      </c>
      <c r="J138" s="123">
        <v>-1</v>
      </c>
      <c r="K138" s="123">
        <v>-1</v>
      </c>
      <c r="L138" s="123">
        <v>-1</v>
      </c>
      <c r="M138" s="123">
        <v>-1</v>
      </c>
      <c r="N138" s="123">
        <v>-1</v>
      </c>
      <c r="O138" s="123">
        <v>-1</v>
      </c>
      <c r="P138" s="123">
        <v>-1</v>
      </c>
      <c r="Q138" s="123">
        <v>-1</v>
      </c>
      <c r="R138" s="123">
        <v>0</v>
      </c>
      <c r="S138" s="123">
        <v>0</v>
      </c>
      <c r="T138" s="79"/>
      <c r="U138" s="79"/>
    </row>
    <row r="139" spans="6:21" x14ac:dyDescent="0.25">
      <c r="F139" t="s">
        <v>169</v>
      </c>
      <c r="G139" s="72" t="s">
        <v>212</v>
      </c>
      <c r="J139" s="123">
        <v>-1</v>
      </c>
      <c r="K139" s="123">
        <v>-1</v>
      </c>
      <c r="L139" s="123">
        <v>-1</v>
      </c>
      <c r="M139" s="123">
        <v>-1</v>
      </c>
      <c r="N139" s="123">
        <v>-1</v>
      </c>
      <c r="O139" s="123">
        <v>-1</v>
      </c>
      <c r="P139" s="123">
        <v>-1</v>
      </c>
      <c r="Q139" s="123">
        <v>-1</v>
      </c>
      <c r="R139" s="123">
        <v>-1</v>
      </c>
      <c r="S139" s="123">
        <v>0</v>
      </c>
      <c r="T139" s="79"/>
      <c r="U139" s="79"/>
    </row>
    <row r="140" spans="6:21" x14ac:dyDescent="0.25">
      <c r="F140" t="s">
        <v>170</v>
      </c>
      <c r="G140" s="72" t="s">
        <v>212</v>
      </c>
      <c r="J140" s="123">
        <v>-1</v>
      </c>
      <c r="K140" s="123">
        <v>-1</v>
      </c>
      <c r="L140" s="123">
        <v>-1</v>
      </c>
      <c r="M140" s="123">
        <v>-1</v>
      </c>
      <c r="N140" s="123">
        <v>-1</v>
      </c>
      <c r="O140" s="123">
        <v>-1</v>
      </c>
      <c r="P140" s="123">
        <v>-1</v>
      </c>
      <c r="Q140" s="123">
        <v>-1</v>
      </c>
      <c r="R140" s="123">
        <v>-1</v>
      </c>
      <c r="S140" s="123">
        <v>0</v>
      </c>
      <c r="T140" s="79"/>
      <c r="U140" s="79"/>
    </row>
    <row r="141" spans="6:21" x14ac:dyDescent="0.25">
      <c r="F141" t="s">
        <v>171</v>
      </c>
      <c r="G141" s="72" t="s">
        <v>212</v>
      </c>
      <c r="J141" s="123">
        <v>-1</v>
      </c>
      <c r="K141" s="123">
        <v>-1</v>
      </c>
      <c r="L141" s="123">
        <v>-1</v>
      </c>
      <c r="M141" s="123">
        <v>-1</v>
      </c>
      <c r="N141" s="123">
        <v>-1</v>
      </c>
      <c r="O141" s="123">
        <v>-1</v>
      </c>
      <c r="P141" s="123">
        <v>-1</v>
      </c>
      <c r="Q141" s="123">
        <v>-1</v>
      </c>
      <c r="R141" s="123">
        <v>-1</v>
      </c>
      <c r="S141" s="123">
        <v>0</v>
      </c>
      <c r="T141" s="79"/>
      <c r="U141" s="79"/>
    </row>
    <row r="142" spans="6:21" x14ac:dyDescent="0.25">
      <c r="F142" t="s">
        <v>172</v>
      </c>
      <c r="G142" s="72" t="s">
        <v>212</v>
      </c>
      <c r="J142" s="123">
        <v>-1</v>
      </c>
      <c r="K142" s="123">
        <v>-1</v>
      </c>
      <c r="L142" s="123">
        <v>-1</v>
      </c>
      <c r="M142" s="123">
        <v>-1</v>
      </c>
      <c r="N142" s="123">
        <v>-1</v>
      </c>
      <c r="O142" s="123">
        <v>-1</v>
      </c>
      <c r="P142" s="123">
        <v>-1</v>
      </c>
      <c r="Q142" s="123">
        <v>-1</v>
      </c>
      <c r="R142" s="123">
        <v>-1</v>
      </c>
      <c r="S142" s="123">
        <v>0</v>
      </c>
      <c r="T142" s="79"/>
      <c r="U142" s="79"/>
    </row>
    <row r="143" spans="6:21" x14ac:dyDescent="0.25">
      <c r="F143" t="s">
        <v>173</v>
      </c>
      <c r="G143" s="72" t="s">
        <v>212</v>
      </c>
      <c r="J143" s="123">
        <v>-1</v>
      </c>
      <c r="K143" s="123">
        <v>-1</v>
      </c>
      <c r="L143" s="123">
        <v>-1</v>
      </c>
      <c r="M143" s="123">
        <v>-1</v>
      </c>
      <c r="N143" s="123">
        <v>-1</v>
      </c>
      <c r="O143" s="123">
        <v>-1</v>
      </c>
      <c r="P143" s="123">
        <v>-1</v>
      </c>
      <c r="Q143" s="123">
        <v>-1</v>
      </c>
      <c r="R143" s="123">
        <v>0</v>
      </c>
      <c r="S143" s="123">
        <v>0</v>
      </c>
      <c r="T143" s="79"/>
      <c r="U143" s="79"/>
    </row>
    <row r="144" spans="6:21" x14ac:dyDescent="0.25">
      <c r="F144" t="s">
        <v>174</v>
      </c>
      <c r="G144" s="72" t="s">
        <v>212</v>
      </c>
      <c r="J144" s="123">
        <v>-1</v>
      </c>
      <c r="K144" s="123">
        <v>-1</v>
      </c>
      <c r="L144" s="123">
        <v>-1</v>
      </c>
      <c r="M144" s="123">
        <v>-1</v>
      </c>
      <c r="N144" s="123">
        <v>-1</v>
      </c>
      <c r="O144" s="123">
        <v>-1</v>
      </c>
      <c r="P144" s="123">
        <v>-1</v>
      </c>
      <c r="Q144" s="123">
        <v>-1</v>
      </c>
      <c r="R144" s="123">
        <v>0</v>
      </c>
      <c r="S144" s="123">
        <v>0</v>
      </c>
      <c r="T144" s="79"/>
      <c r="U144" s="79"/>
    </row>
    <row r="145" spans="5:23" x14ac:dyDescent="0.25">
      <c r="F145" t="s">
        <v>175</v>
      </c>
      <c r="G145" s="72" t="s">
        <v>212</v>
      </c>
      <c r="J145" s="123">
        <v>-1</v>
      </c>
      <c r="K145" s="123">
        <v>-1</v>
      </c>
      <c r="L145" s="123">
        <v>-1</v>
      </c>
      <c r="M145" s="123">
        <v>-1</v>
      </c>
      <c r="N145" s="123">
        <v>-1</v>
      </c>
      <c r="O145" s="123">
        <v>-1</v>
      </c>
      <c r="P145" s="123">
        <v>-1</v>
      </c>
      <c r="Q145" s="123">
        <v>-1</v>
      </c>
      <c r="R145" s="123">
        <v>0</v>
      </c>
      <c r="S145" s="123">
        <v>0</v>
      </c>
      <c r="T145" s="79"/>
      <c r="U145" s="79"/>
    </row>
    <row r="146" spans="5:23" x14ac:dyDescent="0.25">
      <c r="F146" t="s">
        <v>176</v>
      </c>
      <c r="G146" s="72" t="s">
        <v>212</v>
      </c>
      <c r="J146" s="123">
        <v>-1</v>
      </c>
      <c r="K146" s="123">
        <v>-1</v>
      </c>
      <c r="L146" s="123">
        <v>-1</v>
      </c>
      <c r="M146" s="123">
        <v>-1</v>
      </c>
      <c r="N146" s="123">
        <v>-1</v>
      </c>
      <c r="O146" s="123">
        <v>-1</v>
      </c>
      <c r="P146" s="123">
        <v>-1</v>
      </c>
      <c r="Q146" s="123">
        <v>-1</v>
      </c>
      <c r="R146" s="123">
        <v>0</v>
      </c>
      <c r="S146" s="123">
        <v>0</v>
      </c>
      <c r="T146" s="79"/>
      <c r="U146" s="79"/>
    </row>
    <row r="147" spans="5:23" x14ac:dyDescent="0.25">
      <c r="F147" t="s">
        <v>177</v>
      </c>
      <c r="G147" s="72" t="s">
        <v>212</v>
      </c>
      <c r="J147" s="123">
        <v>-1</v>
      </c>
      <c r="K147" s="123">
        <v>-1</v>
      </c>
      <c r="L147" s="123">
        <v>-1</v>
      </c>
      <c r="M147" s="123">
        <v>-1</v>
      </c>
      <c r="N147" s="123">
        <v>-1</v>
      </c>
      <c r="O147" s="123">
        <v>-1</v>
      </c>
      <c r="P147" s="123">
        <v>-1</v>
      </c>
      <c r="Q147" s="123">
        <v>0</v>
      </c>
      <c r="R147" s="123">
        <v>0</v>
      </c>
      <c r="S147" s="123">
        <v>0</v>
      </c>
      <c r="T147" s="79"/>
      <c r="U147" s="79"/>
    </row>
    <row r="148" spans="5:23" x14ac:dyDescent="0.25">
      <c r="F148" t="s">
        <v>178</v>
      </c>
      <c r="G148" s="72" t="s">
        <v>212</v>
      </c>
      <c r="J148" s="123">
        <v>-1</v>
      </c>
      <c r="K148" s="123">
        <v>-1</v>
      </c>
      <c r="L148" s="123">
        <v>-1</v>
      </c>
      <c r="M148" s="123">
        <v>-1</v>
      </c>
      <c r="N148" s="123">
        <v>-1</v>
      </c>
      <c r="O148" s="123">
        <v>-1</v>
      </c>
      <c r="P148" s="123">
        <v>-1</v>
      </c>
      <c r="Q148" s="123">
        <v>0</v>
      </c>
      <c r="R148" s="123">
        <v>0</v>
      </c>
      <c r="S148" s="123">
        <v>0</v>
      </c>
      <c r="T148" s="79"/>
      <c r="U148" s="79"/>
    </row>
    <row r="149" spans="5:23" x14ac:dyDescent="0.25">
      <c r="F149" t="s">
        <v>179</v>
      </c>
      <c r="G149" s="72" t="s">
        <v>212</v>
      </c>
      <c r="J149" s="123">
        <v>-1</v>
      </c>
      <c r="K149" s="123">
        <v>-1</v>
      </c>
      <c r="L149" s="123">
        <v>-1</v>
      </c>
      <c r="M149" s="123">
        <v>-1</v>
      </c>
      <c r="N149" s="123">
        <v>-1</v>
      </c>
      <c r="O149" s="123">
        <v>-1</v>
      </c>
      <c r="P149" s="123">
        <v>-1</v>
      </c>
      <c r="Q149" s="123">
        <v>0</v>
      </c>
      <c r="R149" s="123">
        <v>0</v>
      </c>
      <c r="S149" s="123">
        <v>0</v>
      </c>
      <c r="T149" s="79"/>
      <c r="U149" s="79"/>
    </row>
    <row r="150" spans="5:23" x14ac:dyDescent="0.25">
      <c r="F150" s="37" t="s">
        <v>180</v>
      </c>
      <c r="G150" s="80" t="s">
        <v>212</v>
      </c>
      <c r="H150" s="37"/>
      <c r="I150" s="37"/>
      <c r="J150" s="128">
        <v>-1</v>
      </c>
      <c r="K150" s="128">
        <v>-1</v>
      </c>
      <c r="L150" s="128">
        <v>-1</v>
      </c>
      <c r="M150" s="128">
        <v>-1</v>
      </c>
      <c r="N150" s="128">
        <v>-1</v>
      </c>
      <c r="O150" s="128">
        <v>-1</v>
      </c>
      <c r="P150" s="128">
        <v>-1</v>
      </c>
      <c r="Q150" s="128">
        <v>0</v>
      </c>
      <c r="R150" s="128">
        <v>0</v>
      </c>
      <c r="S150" s="128">
        <v>0</v>
      </c>
      <c r="T150" s="81"/>
      <c r="U150" s="81"/>
    </row>
    <row r="151" spans="5:23" x14ac:dyDescent="0.25">
      <c r="G151" s="13"/>
      <c r="J151" s="92"/>
      <c r="K151" s="92"/>
      <c r="L151" s="92"/>
      <c r="M151" s="92"/>
      <c r="N151" s="92"/>
      <c r="O151" s="92"/>
      <c r="P151" s="92"/>
      <c r="Q151" s="92"/>
      <c r="R151" s="92"/>
      <c r="S151" s="92"/>
      <c r="T151" s="92"/>
      <c r="U151" s="92"/>
    </row>
    <row r="152" spans="5:23" x14ac:dyDescent="0.25">
      <c r="E152" s="32" t="s">
        <v>463</v>
      </c>
      <c r="G152" s="13"/>
      <c r="I152" t="s">
        <v>190</v>
      </c>
      <c r="J152" s="92"/>
      <c r="K152" s="92"/>
      <c r="L152" s="92"/>
      <c r="M152" s="92"/>
      <c r="N152" s="92"/>
      <c r="O152" s="92"/>
      <c r="P152" s="92"/>
      <c r="Q152" s="92"/>
      <c r="R152" s="92"/>
      <c r="S152" s="92"/>
      <c r="T152" s="92"/>
      <c r="U152" s="92"/>
      <c r="W152" s="3" t="s">
        <v>462</v>
      </c>
    </row>
    <row r="153" spans="5:23" x14ac:dyDescent="0.25">
      <c r="E153" s="29" t="s">
        <v>238</v>
      </c>
      <c r="G153" s="13"/>
      <c r="J153" s="92"/>
      <c r="K153" s="92"/>
      <c r="L153" s="92"/>
      <c r="M153" s="92"/>
      <c r="N153" s="92"/>
      <c r="O153" s="92"/>
      <c r="P153" s="92"/>
      <c r="Q153" s="92"/>
      <c r="R153" s="92"/>
      <c r="S153" s="92"/>
      <c r="T153" s="92"/>
      <c r="U153" s="92"/>
    </row>
    <row r="154" spans="5:23" x14ac:dyDescent="0.25">
      <c r="E154" s="29" t="s">
        <v>461</v>
      </c>
      <c r="G154" s="13"/>
      <c r="J154" s="92"/>
      <c r="K154" s="92"/>
      <c r="L154" s="92"/>
      <c r="M154" s="92"/>
      <c r="N154" s="92"/>
      <c r="O154" s="92"/>
      <c r="P154" s="92"/>
      <c r="Q154" s="92"/>
      <c r="R154" s="92"/>
      <c r="S154" s="92"/>
      <c r="T154" s="92"/>
      <c r="U154" s="92"/>
    </row>
    <row r="155" spans="5:23" x14ac:dyDescent="0.25">
      <c r="F155" s="23" t="s">
        <v>148</v>
      </c>
      <c r="G155" s="78" t="s">
        <v>212</v>
      </c>
      <c r="H155" s="23"/>
      <c r="I155" s="23"/>
      <c r="J155" s="129">
        <f>IF(J$38 = "", J118, J118 * J$38)</f>
        <v>1</v>
      </c>
      <c r="K155" s="129">
        <f t="shared" ref="K155:S155" si="38">IF(K$38 = "", K118, K118 * K$38)</f>
        <v>1</v>
      </c>
      <c r="L155" s="129">
        <f t="shared" si="38"/>
        <v>1</v>
      </c>
      <c r="M155" s="129">
        <f t="shared" si="38"/>
        <v>1</v>
      </c>
      <c r="N155" s="129">
        <f t="shared" si="38"/>
        <v>1</v>
      </c>
      <c r="O155" s="129">
        <f t="shared" si="38"/>
        <v>1</v>
      </c>
      <c r="P155" s="129">
        <f t="shared" si="38"/>
        <v>0</v>
      </c>
      <c r="Q155" s="129">
        <f t="shared" si="38"/>
        <v>1</v>
      </c>
      <c r="R155" s="129">
        <f t="shared" si="38"/>
        <v>1</v>
      </c>
      <c r="S155" s="129">
        <f t="shared" si="38"/>
        <v>1</v>
      </c>
      <c r="T155" s="83"/>
      <c r="U155" s="83"/>
    </row>
    <row r="156" spans="5:23" x14ac:dyDescent="0.25">
      <c r="F156" t="s">
        <v>149</v>
      </c>
      <c r="G156" s="72" t="s">
        <v>212</v>
      </c>
      <c r="J156" s="101">
        <f t="shared" ref="J156:S156" si="39">IF(J$38 = "", J119, J119 * J$38)</f>
        <v>1</v>
      </c>
      <c r="K156" s="101">
        <f t="shared" si="39"/>
        <v>1</v>
      </c>
      <c r="L156" s="101">
        <f t="shared" si="39"/>
        <v>1</v>
      </c>
      <c r="M156" s="101">
        <f t="shared" si="39"/>
        <v>1</v>
      </c>
      <c r="N156" s="101">
        <f t="shared" si="39"/>
        <v>1</v>
      </c>
      <c r="O156" s="101">
        <f t="shared" si="39"/>
        <v>1</v>
      </c>
      <c r="P156" s="101">
        <f t="shared" si="39"/>
        <v>0</v>
      </c>
      <c r="Q156" s="101">
        <f t="shared" si="39"/>
        <v>1</v>
      </c>
      <c r="R156" s="101">
        <f t="shared" si="39"/>
        <v>1</v>
      </c>
      <c r="S156" s="101">
        <f t="shared" si="39"/>
        <v>1</v>
      </c>
      <c r="T156" s="79"/>
      <c r="U156" s="79"/>
    </row>
    <row r="157" spans="5:23" x14ac:dyDescent="0.25">
      <c r="F157" t="s">
        <v>150</v>
      </c>
      <c r="G157" s="72" t="s">
        <v>212</v>
      </c>
      <c r="J157" s="101">
        <f t="shared" ref="J157:S157" si="40">IF(J$38 = "", J120, J120 * J$38)</f>
        <v>1</v>
      </c>
      <c r="K157" s="101">
        <f t="shared" si="40"/>
        <v>1</v>
      </c>
      <c r="L157" s="101">
        <f t="shared" si="40"/>
        <v>1</v>
      </c>
      <c r="M157" s="101">
        <f t="shared" si="40"/>
        <v>1</v>
      </c>
      <c r="N157" s="101">
        <f t="shared" si="40"/>
        <v>1</v>
      </c>
      <c r="O157" s="101">
        <f t="shared" si="40"/>
        <v>1</v>
      </c>
      <c r="P157" s="101">
        <f t="shared" si="40"/>
        <v>0</v>
      </c>
      <c r="Q157" s="101">
        <f t="shared" si="40"/>
        <v>1</v>
      </c>
      <c r="R157" s="101">
        <f t="shared" si="40"/>
        <v>1</v>
      </c>
      <c r="S157" s="101">
        <f t="shared" si="40"/>
        <v>1</v>
      </c>
      <c r="T157" s="79"/>
      <c r="U157" s="79"/>
    </row>
    <row r="158" spans="5:23" x14ac:dyDescent="0.25">
      <c r="F158" t="s">
        <v>151</v>
      </c>
      <c r="G158" s="72" t="s">
        <v>212</v>
      </c>
      <c r="J158" s="101">
        <f t="shared" ref="J158:S158" si="41">IF(J$38 = "", J121, J121 * J$38)</f>
        <v>1</v>
      </c>
      <c r="K158" s="101">
        <f t="shared" si="41"/>
        <v>1</v>
      </c>
      <c r="L158" s="101">
        <f t="shared" si="41"/>
        <v>1</v>
      </c>
      <c r="M158" s="101">
        <f t="shared" si="41"/>
        <v>1</v>
      </c>
      <c r="N158" s="101">
        <f t="shared" si="41"/>
        <v>1</v>
      </c>
      <c r="O158" s="101">
        <f t="shared" si="41"/>
        <v>1</v>
      </c>
      <c r="P158" s="101">
        <f t="shared" si="41"/>
        <v>0</v>
      </c>
      <c r="Q158" s="101">
        <f t="shared" si="41"/>
        <v>1</v>
      </c>
      <c r="R158" s="101">
        <f t="shared" si="41"/>
        <v>1</v>
      </c>
      <c r="S158" s="101">
        <f t="shared" si="41"/>
        <v>1</v>
      </c>
      <c r="T158" s="79"/>
      <c r="U158" s="79"/>
    </row>
    <row r="159" spans="5:23" x14ac:dyDescent="0.25">
      <c r="F159" t="s">
        <v>152</v>
      </c>
      <c r="G159" s="72" t="s">
        <v>212</v>
      </c>
      <c r="J159" s="101">
        <f t="shared" ref="J159:S159" si="42">IF(J$38 = "", J122, J122 * J$38)</f>
        <v>1</v>
      </c>
      <c r="K159" s="101">
        <f t="shared" si="42"/>
        <v>1</v>
      </c>
      <c r="L159" s="101">
        <f t="shared" si="42"/>
        <v>1</v>
      </c>
      <c r="M159" s="101">
        <f t="shared" si="42"/>
        <v>1</v>
      </c>
      <c r="N159" s="101">
        <f t="shared" si="42"/>
        <v>1</v>
      </c>
      <c r="O159" s="101">
        <f t="shared" si="42"/>
        <v>1</v>
      </c>
      <c r="P159" s="101">
        <f t="shared" si="42"/>
        <v>0</v>
      </c>
      <c r="Q159" s="101">
        <f t="shared" si="42"/>
        <v>1</v>
      </c>
      <c r="R159" s="101">
        <f t="shared" si="42"/>
        <v>1</v>
      </c>
      <c r="S159" s="101">
        <f t="shared" si="42"/>
        <v>1</v>
      </c>
      <c r="T159" s="79"/>
      <c r="U159" s="79"/>
    </row>
    <row r="160" spans="5:23" x14ac:dyDescent="0.25">
      <c r="F160" t="s">
        <v>153</v>
      </c>
      <c r="G160" s="72" t="s">
        <v>212</v>
      </c>
      <c r="J160" s="101">
        <f t="shared" ref="J160:S160" si="43">IF(J$38 = "", J123, J123 * J$38)</f>
        <v>1</v>
      </c>
      <c r="K160" s="101">
        <f t="shared" si="43"/>
        <v>1</v>
      </c>
      <c r="L160" s="101">
        <f t="shared" si="43"/>
        <v>1</v>
      </c>
      <c r="M160" s="101">
        <f t="shared" si="43"/>
        <v>1</v>
      </c>
      <c r="N160" s="101">
        <f t="shared" si="43"/>
        <v>1</v>
      </c>
      <c r="O160" s="101">
        <f t="shared" si="43"/>
        <v>1</v>
      </c>
      <c r="P160" s="101">
        <f t="shared" si="43"/>
        <v>0</v>
      </c>
      <c r="Q160" s="101">
        <f t="shared" si="43"/>
        <v>1</v>
      </c>
      <c r="R160" s="101">
        <f t="shared" si="43"/>
        <v>1</v>
      </c>
      <c r="S160" s="101">
        <f t="shared" si="43"/>
        <v>1</v>
      </c>
      <c r="T160" s="79"/>
      <c r="U160" s="79"/>
    </row>
    <row r="161" spans="6:21" x14ac:dyDescent="0.25">
      <c r="F161" t="s">
        <v>154</v>
      </c>
      <c r="G161" s="72" t="s">
        <v>212</v>
      </c>
      <c r="J161" s="101">
        <f t="shared" ref="J161:S161" si="44">IF(J$38 = "", J124, J124 * J$38)</f>
        <v>1</v>
      </c>
      <c r="K161" s="101">
        <f t="shared" si="44"/>
        <v>1</v>
      </c>
      <c r="L161" s="101">
        <f t="shared" si="44"/>
        <v>1</v>
      </c>
      <c r="M161" s="101">
        <f t="shared" si="44"/>
        <v>1</v>
      </c>
      <c r="N161" s="101">
        <f t="shared" si="44"/>
        <v>1</v>
      </c>
      <c r="O161" s="101">
        <f t="shared" si="44"/>
        <v>1</v>
      </c>
      <c r="P161" s="101">
        <f t="shared" si="44"/>
        <v>0</v>
      </c>
      <c r="Q161" s="101">
        <f t="shared" si="44"/>
        <v>1</v>
      </c>
      <c r="R161" s="101">
        <f t="shared" si="44"/>
        <v>1</v>
      </c>
      <c r="S161" s="101">
        <f t="shared" si="44"/>
        <v>1</v>
      </c>
      <c r="T161" s="79"/>
      <c r="U161" s="79"/>
    </row>
    <row r="162" spans="6:21" x14ac:dyDescent="0.25">
      <c r="F162" t="s">
        <v>155</v>
      </c>
      <c r="G162" s="72" t="s">
        <v>212</v>
      </c>
      <c r="J162" s="101">
        <f t="shared" ref="J162:S162" si="45">IF(J$38 = "", J125, J125 * J$38)</f>
        <v>1</v>
      </c>
      <c r="K162" s="101">
        <f t="shared" si="45"/>
        <v>1</v>
      </c>
      <c r="L162" s="101">
        <f t="shared" si="45"/>
        <v>1</v>
      </c>
      <c r="M162" s="101">
        <f t="shared" si="45"/>
        <v>1</v>
      </c>
      <c r="N162" s="101">
        <f t="shared" si="45"/>
        <v>1</v>
      </c>
      <c r="O162" s="101">
        <f t="shared" si="45"/>
        <v>1</v>
      </c>
      <c r="P162" s="101">
        <f t="shared" si="45"/>
        <v>0</v>
      </c>
      <c r="Q162" s="101">
        <f t="shared" si="45"/>
        <v>1</v>
      </c>
      <c r="R162" s="101">
        <f t="shared" si="45"/>
        <v>1</v>
      </c>
      <c r="S162" s="101">
        <f t="shared" si="45"/>
        <v>0</v>
      </c>
      <c r="T162" s="79"/>
      <c r="U162" s="79"/>
    </row>
    <row r="163" spans="6:21" x14ac:dyDescent="0.25">
      <c r="F163" t="s">
        <v>156</v>
      </c>
      <c r="G163" s="72" t="s">
        <v>212</v>
      </c>
      <c r="J163" s="101">
        <f t="shared" ref="J163:S163" si="46">IF(J$38 = "", J126, J126 * J$38)</f>
        <v>1</v>
      </c>
      <c r="K163" s="101">
        <f t="shared" si="46"/>
        <v>1</v>
      </c>
      <c r="L163" s="101">
        <f t="shared" si="46"/>
        <v>1</v>
      </c>
      <c r="M163" s="101">
        <f t="shared" si="46"/>
        <v>1</v>
      </c>
      <c r="N163" s="101">
        <f t="shared" si="46"/>
        <v>1</v>
      </c>
      <c r="O163" s="101">
        <f t="shared" si="46"/>
        <v>1</v>
      </c>
      <c r="P163" s="101">
        <f t="shared" si="46"/>
        <v>0</v>
      </c>
      <c r="Q163" s="101">
        <f t="shared" si="46"/>
        <v>1</v>
      </c>
      <c r="R163" s="101">
        <f t="shared" si="46"/>
        <v>0</v>
      </c>
      <c r="S163" s="101">
        <f t="shared" si="46"/>
        <v>0</v>
      </c>
      <c r="T163" s="79"/>
      <c r="U163" s="79"/>
    </row>
    <row r="164" spans="6:21" x14ac:dyDescent="0.25">
      <c r="F164" t="s">
        <v>157</v>
      </c>
      <c r="G164" s="72" t="s">
        <v>212</v>
      </c>
      <c r="J164" s="101">
        <f t="shared" ref="J164:S164" si="47">IF(J$38 = "", J127, J127 * J$38)</f>
        <v>1</v>
      </c>
      <c r="K164" s="101">
        <f t="shared" si="47"/>
        <v>1</v>
      </c>
      <c r="L164" s="101">
        <f t="shared" si="47"/>
        <v>1</v>
      </c>
      <c r="M164" s="101">
        <f t="shared" si="47"/>
        <v>1</v>
      </c>
      <c r="N164" s="101">
        <f t="shared" si="47"/>
        <v>1</v>
      </c>
      <c r="O164" s="101">
        <f t="shared" si="47"/>
        <v>1</v>
      </c>
      <c r="P164" s="101">
        <f t="shared" si="47"/>
        <v>0</v>
      </c>
      <c r="Q164" s="101">
        <f t="shared" si="47"/>
        <v>1</v>
      </c>
      <c r="R164" s="101">
        <f t="shared" si="47"/>
        <v>1</v>
      </c>
      <c r="S164" s="101">
        <f t="shared" si="47"/>
        <v>1</v>
      </c>
      <c r="T164" s="79"/>
      <c r="U164" s="79"/>
    </row>
    <row r="165" spans="6:21" x14ac:dyDescent="0.25">
      <c r="F165" t="s">
        <v>158</v>
      </c>
      <c r="G165" s="72" t="s">
        <v>212</v>
      </c>
      <c r="J165" s="101">
        <f t="shared" ref="J165:S165" si="48">IF(J$38 = "", J128, J128 * J$38)</f>
        <v>1</v>
      </c>
      <c r="K165" s="101">
        <f t="shared" si="48"/>
        <v>1</v>
      </c>
      <c r="L165" s="101">
        <f t="shared" si="48"/>
        <v>1</v>
      </c>
      <c r="M165" s="101">
        <f t="shared" si="48"/>
        <v>1</v>
      </c>
      <c r="N165" s="101">
        <f t="shared" si="48"/>
        <v>1</v>
      </c>
      <c r="O165" s="101">
        <f t="shared" si="48"/>
        <v>1</v>
      </c>
      <c r="P165" s="101">
        <f t="shared" si="48"/>
        <v>0</v>
      </c>
      <c r="Q165" s="101">
        <f t="shared" si="48"/>
        <v>1</v>
      </c>
      <c r="R165" s="101">
        <f t="shared" si="48"/>
        <v>1</v>
      </c>
      <c r="S165" s="101">
        <f t="shared" si="48"/>
        <v>1</v>
      </c>
      <c r="T165" s="79"/>
      <c r="U165" s="79"/>
    </row>
    <row r="166" spans="6:21" x14ac:dyDescent="0.25">
      <c r="F166" t="s">
        <v>159</v>
      </c>
      <c r="G166" s="72" t="s">
        <v>212</v>
      </c>
      <c r="J166" s="101">
        <f t="shared" ref="J166:S166" si="49">IF(J$38 = "", J129, J129 * J$38)</f>
        <v>1</v>
      </c>
      <c r="K166" s="101">
        <f t="shared" si="49"/>
        <v>1</v>
      </c>
      <c r="L166" s="101">
        <f t="shared" si="49"/>
        <v>1</v>
      </c>
      <c r="M166" s="101">
        <f t="shared" si="49"/>
        <v>1</v>
      </c>
      <c r="N166" s="101">
        <f t="shared" si="49"/>
        <v>1</v>
      </c>
      <c r="O166" s="101">
        <f t="shared" si="49"/>
        <v>1</v>
      </c>
      <c r="P166" s="101">
        <f t="shared" si="49"/>
        <v>0</v>
      </c>
      <c r="Q166" s="101">
        <f t="shared" si="49"/>
        <v>1</v>
      </c>
      <c r="R166" s="101">
        <f t="shared" si="49"/>
        <v>1</v>
      </c>
      <c r="S166" s="101">
        <f t="shared" si="49"/>
        <v>1</v>
      </c>
      <c r="T166" s="79"/>
      <c r="U166" s="79"/>
    </row>
    <row r="167" spans="6:21" x14ac:dyDescent="0.25">
      <c r="F167" t="s">
        <v>160</v>
      </c>
      <c r="G167" s="72" t="s">
        <v>212</v>
      </c>
      <c r="J167" s="101">
        <f t="shared" ref="J167:S167" si="50">IF(J$38 = "", J130, J130 * J$38)</f>
        <v>1</v>
      </c>
      <c r="K167" s="101">
        <f t="shared" si="50"/>
        <v>1</v>
      </c>
      <c r="L167" s="101">
        <f t="shared" si="50"/>
        <v>1</v>
      </c>
      <c r="M167" s="101">
        <f t="shared" si="50"/>
        <v>1</v>
      </c>
      <c r="N167" s="101">
        <f t="shared" si="50"/>
        <v>1</v>
      </c>
      <c r="O167" s="101">
        <f t="shared" si="50"/>
        <v>1</v>
      </c>
      <c r="P167" s="101">
        <f t="shared" si="50"/>
        <v>0</v>
      </c>
      <c r="Q167" s="101">
        <f t="shared" si="50"/>
        <v>1</v>
      </c>
      <c r="R167" s="101">
        <f t="shared" si="50"/>
        <v>1</v>
      </c>
      <c r="S167" s="101">
        <f t="shared" si="50"/>
        <v>0</v>
      </c>
      <c r="T167" s="79"/>
      <c r="U167" s="79"/>
    </row>
    <row r="168" spans="6:21" x14ac:dyDescent="0.25">
      <c r="F168" t="s">
        <v>161</v>
      </c>
      <c r="G168" s="72" t="s">
        <v>212</v>
      </c>
      <c r="J168" s="101">
        <f t="shared" ref="J168:S168" si="51">IF(J$38 = "", J131, J131 * J$38)</f>
        <v>1</v>
      </c>
      <c r="K168" s="101">
        <f t="shared" si="51"/>
        <v>1</v>
      </c>
      <c r="L168" s="101">
        <f t="shared" si="51"/>
        <v>1</v>
      </c>
      <c r="M168" s="101">
        <f t="shared" si="51"/>
        <v>1</v>
      </c>
      <c r="N168" s="101">
        <f t="shared" si="51"/>
        <v>1</v>
      </c>
      <c r="O168" s="101">
        <f t="shared" si="51"/>
        <v>1</v>
      </c>
      <c r="P168" s="101">
        <f t="shared" si="51"/>
        <v>0</v>
      </c>
      <c r="Q168" s="101">
        <f t="shared" si="51"/>
        <v>1</v>
      </c>
      <c r="R168" s="101">
        <f t="shared" si="51"/>
        <v>0</v>
      </c>
      <c r="S168" s="101">
        <f t="shared" si="51"/>
        <v>0</v>
      </c>
      <c r="T168" s="79"/>
      <c r="U168" s="79"/>
    </row>
    <row r="169" spans="6:21" x14ac:dyDescent="0.25">
      <c r="F169" t="s">
        <v>162</v>
      </c>
      <c r="G169" s="72" t="s">
        <v>212</v>
      </c>
      <c r="J169" s="101">
        <f t="shared" ref="J169:S169" si="52">IF(J$38 = "", J132, J132 * J$38)</f>
        <v>1</v>
      </c>
      <c r="K169" s="101">
        <f t="shared" si="52"/>
        <v>1</v>
      </c>
      <c r="L169" s="101">
        <f t="shared" si="52"/>
        <v>1</v>
      </c>
      <c r="M169" s="101">
        <f t="shared" si="52"/>
        <v>1</v>
      </c>
      <c r="N169" s="101">
        <f t="shared" si="52"/>
        <v>1</v>
      </c>
      <c r="O169" s="101">
        <f t="shared" si="52"/>
        <v>1</v>
      </c>
      <c r="P169" s="101">
        <f t="shared" si="52"/>
        <v>0</v>
      </c>
      <c r="Q169" s="101">
        <f t="shared" si="52"/>
        <v>1</v>
      </c>
      <c r="R169" s="101">
        <f t="shared" si="52"/>
        <v>1</v>
      </c>
      <c r="S169" s="101">
        <f t="shared" si="52"/>
        <v>1</v>
      </c>
      <c r="T169" s="79"/>
      <c r="U169" s="79"/>
    </row>
    <row r="170" spans="6:21" x14ac:dyDescent="0.25">
      <c r="F170" t="s">
        <v>163</v>
      </c>
      <c r="G170" s="72" t="s">
        <v>212</v>
      </c>
      <c r="J170" s="101">
        <f t="shared" ref="J170:S170" si="53">IF(J$38 = "", J133, J133 * J$38)</f>
        <v>1</v>
      </c>
      <c r="K170" s="101">
        <f t="shared" si="53"/>
        <v>1</v>
      </c>
      <c r="L170" s="101">
        <f t="shared" si="53"/>
        <v>1</v>
      </c>
      <c r="M170" s="101">
        <f t="shared" si="53"/>
        <v>1</v>
      </c>
      <c r="N170" s="101">
        <f t="shared" si="53"/>
        <v>1</v>
      </c>
      <c r="O170" s="101">
        <f t="shared" si="53"/>
        <v>1</v>
      </c>
      <c r="P170" s="101">
        <f t="shared" si="53"/>
        <v>0</v>
      </c>
      <c r="Q170" s="101">
        <f t="shared" si="53"/>
        <v>1</v>
      </c>
      <c r="R170" s="101">
        <f t="shared" si="53"/>
        <v>1</v>
      </c>
      <c r="S170" s="101">
        <f t="shared" si="53"/>
        <v>1</v>
      </c>
      <c r="T170" s="79"/>
      <c r="U170" s="79"/>
    </row>
    <row r="171" spans="6:21" x14ac:dyDescent="0.25">
      <c r="F171" t="s">
        <v>164</v>
      </c>
      <c r="G171" s="72" t="s">
        <v>212</v>
      </c>
      <c r="J171" s="101">
        <f t="shared" ref="J171:S171" si="54">IF(J$38 = "", J134, J134 * J$38)</f>
        <v>1</v>
      </c>
      <c r="K171" s="101">
        <f t="shared" si="54"/>
        <v>1</v>
      </c>
      <c r="L171" s="101">
        <f t="shared" si="54"/>
        <v>1</v>
      </c>
      <c r="M171" s="101">
        <f t="shared" si="54"/>
        <v>1</v>
      </c>
      <c r="N171" s="101">
        <f t="shared" si="54"/>
        <v>1</v>
      </c>
      <c r="O171" s="101">
        <f t="shared" si="54"/>
        <v>1</v>
      </c>
      <c r="P171" s="101">
        <f t="shared" si="54"/>
        <v>0</v>
      </c>
      <c r="Q171" s="101">
        <f t="shared" si="54"/>
        <v>1</v>
      </c>
      <c r="R171" s="101">
        <f t="shared" si="54"/>
        <v>1</v>
      </c>
      <c r="S171" s="101">
        <f t="shared" si="54"/>
        <v>1</v>
      </c>
      <c r="T171" s="79"/>
      <c r="U171" s="79"/>
    </row>
    <row r="172" spans="6:21" x14ac:dyDescent="0.25">
      <c r="F172" t="s">
        <v>165</v>
      </c>
      <c r="G172" s="72" t="s">
        <v>212</v>
      </c>
      <c r="J172" s="101">
        <f t="shared" ref="J172:S172" si="55">IF(J$38 = "", J135, J135 * J$38)</f>
        <v>1</v>
      </c>
      <c r="K172" s="101">
        <f t="shared" si="55"/>
        <v>1</v>
      </c>
      <c r="L172" s="101">
        <f t="shared" si="55"/>
        <v>1</v>
      </c>
      <c r="M172" s="101">
        <f t="shared" si="55"/>
        <v>1</v>
      </c>
      <c r="N172" s="101">
        <f t="shared" si="55"/>
        <v>1</v>
      </c>
      <c r="O172" s="101">
        <f t="shared" si="55"/>
        <v>1</v>
      </c>
      <c r="P172" s="101">
        <f t="shared" si="55"/>
        <v>0</v>
      </c>
      <c r="Q172" s="101">
        <f t="shared" si="55"/>
        <v>1</v>
      </c>
      <c r="R172" s="101">
        <f t="shared" si="55"/>
        <v>1</v>
      </c>
      <c r="S172" s="101">
        <f t="shared" si="55"/>
        <v>1</v>
      </c>
      <c r="T172" s="79"/>
      <c r="U172" s="79"/>
    </row>
    <row r="173" spans="6:21" x14ac:dyDescent="0.25">
      <c r="F173" t="s">
        <v>166</v>
      </c>
      <c r="G173" s="72" t="s">
        <v>212</v>
      </c>
      <c r="J173" s="101">
        <f t="shared" ref="J173:S173" si="56">IF(J$38 = "", J136, J136 * J$38)</f>
        <v>1</v>
      </c>
      <c r="K173" s="101">
        <f t="shared" si="56"/>
        <v>1</v>
      </c>
      <c r="L173" s="101">
        <f t="shared" si="56"/>
        <v>1</v>
      </c>
      <c r="M173" s="101">
        <f t="shared" si="56"/>
        <v>1</v>
      </c>
      <c r="N173" s="101">
        <f t="shared" si="56"/>
        <v>1</v>
      </c>
      <c r="O173" s="101">
        <f t="shared" si="56"/>
        <v>1</v>
      </c>
      <c r="P173" s="101">
        <f t="shared" si="56"/>
        <v>0</v>
      </c>
      <c r="Q173" s="101">
        <f t="shared" si="56"/>
        <v>1</v>
      </c>
      <c r="R173" s="101">
        <f t="shared" si="56"/>
        <v>1</v>
      </c>
      <c r="S173" s="101">
        <f t="shared" si="56"/>
        <v>1</v>
      </c>
      <c r="T173" s="79"/>
      <c r="U173" s="79"/>
    </row>
    <row r="174" spans="6:21" x14ac:dyDescent="0.25">
      <c r="F174" t="s">
        <v>167</v>
      </c>
      <c r="G174" s="72" t="s">
        <v>212</v>
      </c>
      <c r="J174" s="101">
        <f t="shared" ref="J174:S174" si="57">IF(J$38 = "", J137, J137 * J$38)</f>
        <v>-1</v>
      </c>
      <c r="K174" s="101">
        <f t="shared" si="57"/>
        <v>-1</v>
      </c>
      <c r="L174" s="101">
        <f t="shared" si="57"/>
        <v>-1</v>
      </c>
      <c r="M174" s="101">
        <f t="shared" si="57"/>
        <v>-1</v>
      </c>
      <c r="N174" s="101">
        <f t="shared" si="57"/>
        <v>-1</v>
      </c>
      <c r="O174" s="101">
        <f t="shared" si="57"/>
        <v>-1</v>
      </c>
      <c r="P174" s="101">
        <f t="shared" si="57"/>
        <v>0</v>
      </c>
      <c r="Q174" s="101">
        <f t="shared" si="57"/>
        <v>-1</v>
      </c>
      <c r="R174" s="101">
        <f t="shared" si="57"/>
        <v>-1</v>
      </c>
      <c r="S174" s="101">
        <f t="shared" si="57"/>
        <v>0</v>
      </c>
      <c r="T174" s="79"/>
      <c r="U174" s="79"/>
    </row>
    <row r="175" spans="6:21" x14ac:dyDescent="0.25">
      <c r="F175" t="s">
        <v>168</v>
      </c>
      <c r="G175" s="72" t="s">
        <v>212</v>
      </c>
      <c r="J175" s="101">
        <f t="shared" ref="J175:S175" si="58">IF(J$38 = "", J138, J138 * J$38)</f>
        <v>-1</v>
      </c>
      <c r="K175" s="101">
        <f t="shared" si="58"/>
        <v>-1</v>
      </c>
      <c r="L175" s="101">
        <f t="shared" si="58"/>
        <v>-1</v>
      </c>
      <c r="M175" s="101">
        <f t="shared" si="58"/>
        <v>-1</v>
      </c>
      <c r="N175" s="101">
        <f t="shared" si="58"/>
        <v>-1</v>
      </c>
      <c r="O175" s="101">
        <f t="shared" si="58"/>
        <v>-1</v>
      </c>
      <c r="P175" s="101">
        <f t="shared" si="58"/>
        <v>0</v>
      </c>
      <c r="Q175" s="101">
        <f t="shared" si="58"/>
        <v>-1</v>
      </c>
      <c r="R175" s="101">
        <f t="shared" si="58"/>
        <v>0</v>
      </c>
      <c r="S175" s="101">
        <f t="shared" si="58"/>
        <v>0</v>
      </c>
      <c r="T175" s="79"/>
      <c r="U175" s="79"/>
    </row>
    <row r="176" spans="6:21" x14ac:dyDescent="0.25">
      <c r="F176" t="s">
        <v>169</v>
      </c>
      <c r="G176" s="72" t="s">
        <v>212</v>
      </c>
      <c r="J176" s="101">
        <f t="shared" ref="J176:S176" si="59">IF(J$38 = "", J139, J139 * J$38)</f>
        <v>-1</v>
      </c>
      <c r="K176" s="101">
        <f t="shared" si="59"/>
        <v>-1</v>
      </c>
      <c r="L176" s="101">
        <f t="shared" si="59"/>
        <v>-1</v>
      </c>
      <c r="M176" s="101">
        <f t="shared" si="59"/>
        <v>-1</v>
      </c>
      <c r="N176" s="101">
        <f t="shared" si="59"/>
        <v>-1</v>
      </c>
      <c r="O176" s="101">
        <f t="shared" si="59"/>
        <v>-1</v>
      </c>
      <c r="P176" s="101">
        <f t="shared" si="59"/>
        <v>0</v>
      </c>
      <c r="Q176" s="101">
        <f t="shared" si="59"/>
        <v>-1</v>
      </c>
      <c r="R176" s="101">
        <f t="shared" si="59"/>
        <v>-1</v>
      </c>
      <c r="S176" s="101">
        <f t="shared" si="59"/>
        <v>0</v>
      </c>
      <c r="T176" s="79"/>
      <c r="U176" s="79"/>
    </row>
    <row r="177" spans="3:23" x14ac:dyDescent="0.25">
      <c r="F177" t="s">
        <v>170</v>
      </c>
      <c r="G177" s="72" t="s">
        <v>212</v>
      </c>
      <c r="J177" s="101">
        <f t="shared" ref="J177:S177" si="60">IF(J$38 = "", J140, J140 * J$38)</f>
        <v>-1</v>
      </c>
      <c r="K177" s="101">
        <f t="shared" si="60"/>
        <v>-1</v>
      </c>
      <c r="L177" s="101">
        <f t="shared" si="60"/>
        <v>-1</v>
      </c>
      <c r="M177" s="101">
        <f t="shared" si="60"/>
        <v>-1</v>
      </c>
      <c r="N177" s="101">
        <f t="shared" si="60"/>
        <v>-1</v>
      </c>
      <c r="O177" s="101">
        <f t="shared" si="60"/>
        <v>-1</v>
      </c>
      <c r="P177" s="101">
        <f t="shared" si="60"/>
        <v>0</v>
      </c>
      <c r="Q177" s="101">
        <f t="shared" si="60"/>
        <v>-1</v>
      </c>
      <c r="R177" s="101">
        <f t="shared" si="60"/>
        <v>-1</v>
      </c>
      <c r="S177" s="101">
        <f t="shared" si="60"/>
        <v>0</v>
      </c>
      <c r="T177" s="79"/>
      <c r="U177" s="79"/>
    </row>
    <row r="178" spans="3:23" x14ac:dyDescent="0.25">
      <c r="F178" t="s">
        <v>171</v>
      </c>
      <c r="G178" s="72" t="s">
        <v>212</v>
      </c>
      <c r="J178" s="101">
        <f t="shared" ref="J178:S178" si="61">IF(J$38 = "", J141, J141 * J$38)</f>
        <v>-1</v>
      </c>
      <c r="K178" s="101">
        <f t="shared" si="61"/>
        <v>-1</v>
      </c>
      <c r="L178" s="101">
        <f t="shared" si="61"/>
        <v>-1</v>
      </c>
      <c r="M178" s="101">
        <f t="shared" si="61"/>
        <v>-1</v>
      </c>
      <c r="N178" s="101">
        <f t="shared" si="61"/>
        <v>-1</v>
      </c>
      <c r="O178" s="101">
        <f t="shared" si="61"/>
        <v>-1</v>
      </c>
      <c r="P178" s="101">
        <f t="shared" si="61"/>
        <v>0</v>
      </c>
      <c r="Q178" s="101">
        <f t="shared" si="61"/>
        <v>-1</v>
      </c>
      <c r="R178" s="101">
        <f t="shared" si="61"/>
        <v>-1</v>
      </c>
      <c r="S178" s="101">
        <f t="shared" si="61"/>
        <v>0</v>
      </c>
      <c r="T178" s="79"/>
      <c r="U178" s="79"/>
    </row>
    <row r="179" spans="3:23" x14ac:dyDescent="0.25">
      <c r="F179" t="s">
        <v>172</v>
      </c>
      <c r="G179" s="72" t="s">
        <v>212</v>
      </c>
      <c r="J179" s="101">
        <f t="shared" ref="J179:S179" si="62">IF(J$38 = "", J142, J142 * J$38)</f>
        <v>-1</v>
      </c>
      <c r="K179" s="101">
        <f t="shared" si="62"/>
        <v>-1</v>
      </c>
      <c r="L179" s="101">
        <f t="shared" si="62"/>
        <v>-1</v>
      </c>
      <c r="M179" s="101">
        <f t="shared" si="62"/>
        <v>-1</v>
      </c>
      <c r="N179" s="101">
        <f t="shared" si="62"/>
        <v>-1</v>
      </c>
      <c r="O179" s="101">
        <f t="shared" si="62"/>
        <v>-1</v>
      </c>
      <c r="P179" s="101">
        <f t="shared" si="62"/>
        <v>0</v>
      </c>
      <c r="Q179" s="101">
        <f t="shared" si="62"/>
        <v>-1</v>
      </c>
      <c r="R179" s="101">
        <f t="shared" si="62"/>
        <v>-1</v>
      </c>
      <c r="S179" s="101">
        <f t="shared" si="62"/>
        <v>0</v>
      </c>
      <c r="T179" s="79"/>
      <c r="U179" s="79"/>
    </row>
    <row r="180" spans="3:23" x14ac:dyDescent="0.25">
      <c r="F180" t="s">
        <v>173</v>
      </c>
      <c r="G180" s="72" t="s">
        <v>212</v>
      </c>
      <c r="J180" s="101">
        <f t="shared" ref="J180:S180" si="63">IF(J$38 = "", J143, J143 * J$38)</f>
        <v>-1</v>
      </c>
      <c r="K180" s="101">
        <f t="shared" si="63"/>
        <v>-1</v>
      </c>
      <c r="L180" s="101">
        <f t="shared" si="63"/>
        <v>-1</v>
      </c>
      <c r="M180" s="101">
        <f t="shared" si="63"/>
        <v>-1</v>
      </c>
      <c r="N180" s="101">
        <f t="shared" si="63"/>
        <v>-1</v>
      </c>
      <c r="O180" s="101">
        <f t="shared" si="63"/>
        <v>-1</v>
      </c>
      <c r="P180" s="101">
        <f t="shared" si="63"/>
        <v>0</v>
      </c>
      <c r="Q180" s="101">
        <f t="shared" si="63"/>
        <v>-1</v>
      </c>
      <c r="R180" s="101">
        <f t="shared" si="63"/>
        <v>0</v>
      </c>
      <c r="S180" s="101">
        <f t="shared" si="63"/>
        <v>0</v>
      </c>
      <c r="T180" s="79"/>
      <c r="U180" s="79"/>
    </row>
    <row r="181" spans="3:23" x14ac:dyDescent="0.25">
      <c r="F181" t="s">
        <v>174</v>
      </c>
      <c r="G181" s="72" t="s">
        <v>212</v>
      </c>
      <c r="J181" s="101">
        <f t="shared" ref="J181:S181" si="64">IF(J$38 = "", J144, J144 * J$38)</f>
        <v>-1</v>
      </c>
      <c r="K181" s="101">
        <f t="shared" si="64"/>
        <v>-1</v>
      </c>
      <c r="L181" s="101">
        <f t="shared" si="64"/>
        <v>-1</v>
      </c>
      <c r="M181" s="101">
        <f t="shared" si="64"/>
        <v>-1</v>
      </c>
      <c r="N181" s="101">
        <f t="shared" si="64"/>
        <v>-1</v>
      </c>
      <c r="O181" s="101">
        <f t="shared" si="64"/>
        <v>-1</v>
      </c>
      <c r="P181" s="101">
        <f t="shared" si="64"/>
        <v>0</v>
      </c>
      <c r="Q181" s="101">
        <f t="shared" si="64"/>
        <v>-1</v>
      </c>
      <c r="R181" s="101">
        <f t="shared" si="64"/>
        <v>0</v>
      </c>
      <c r="S181" s="101">
        <f t="shared" si="64"/>
        <v>0</v>
      </c>
      <c r="T181" s="79"/>
      <c r="U181" s="79"/>
    </row>
    <row r="182" spans="3:23" x14ac:dyDescent="0.25">
      <c r="F182" t="s">
        <v>175</v>
      </c>
      <c r="G182" s="72" t="s">
        <v>212</v>
      </c>
      <c r="J182" s="101">
        <f t="shared" ref="J182:S182" si="65">IF(J$38 = "", J145, J145 * J$38)</f>
        <v>-1</v>
      </c>
      <c r="K182" s="101">
        <f t="shared" si="65"/>
        <v>-1</v>
      </c>
      <c r="L182" s="101">
        <f t="shared" si="65"/>
        <v>-1</v>
      </c>
      <c r="M182" s="101">
        <f t="shared" si="65"/>
        <v>-1</v>
      </c>
      <c r="N182" s="101">
        <f t="shared" si="65"/>
        <v>-1</v>
      </c>
      <c r="O182" s="101">
        <f t="shared" si="65"/>
        <v>-1</v>
      </c>
      <c r="P182" s="101">
        <f t="shared" si="65"/>
        <v>0</v>
      </c>
      <c r="Q182" s="101">
        <f t="shared" si="65"/>
        <v>-1</v>
      </c>
      <c r="R182" s="101">
        <f t="shared" si="65"/>
        <v>0</v>
      </c>
      <c r="S182" s="101">
        <f t="shared" si="65"/>
        <v>0</v>
      </c>
      <c r="T182" s="79"/>
      <c r="U182" s="79"/>
    </row>
    <row r="183" spans="3:23" x14ac:dyDescent="0.25">
      <c r="F183" t="s">
        <v>176</v>
      </c>
      <c r="G183" s="72" t="s">
        <v>212</v>
      </c>
      <c r="J183" s="101">
        <f t="shared" ref="J183:S183" si="66">IF(J$38 = "", J146, J146 * J$38)</f>
        <v>-1</v>
      </c>
      <c r="K183" s="101">
        <f t="shared" si="66"/>
        <v>-1</v>
      </c>
      <c r="L183" s="101">
        <f t="shared" si="66"/>
        <v>-1</v>
      </c>
      <c r="M183" s="101">
        <f t="shared" si="66"/>
        <v>-1</v>
      </c>
      <c r="N183" s="101">
        <f t="shared" si="66"/>
        <v>-1</v>
      </c>
      <c r="O183" s="101">
        <f t="shared" si="66"/>
        <v>-1</v>
      </c>
      <c r="P183" s="101">
        <f t="shared" si="66"/>
        <v>0</v>
      </c>
      <c r="Q183" s="101">
        <f t="shared" si="66"/>
        <v>-1</v>
      </c>
      <c r="R183" s="101">
        <f t="shared" si="66"/>
        <v>0</v>
      </c>
      <c r="S183" s="101">
        <f t="shared" si="66"/>
        <v>0</v>
      </c>
      <c r="T183" s="79"/>
      <c r="U183" s="79"/>
    </row>
    <row r="184" spans="3:23" x14ac:dyDescent="0.25">
      <c r="F184" t="s">
        <v>177</v>
      </c>
      <c r="G184" s="72" t="s">
        <v>212</v>
      </c>
      <c r="J184" s="101">
        <f t="shared" ref="J184:S184" si="67">IF(J$38 = "", J147, J147 * J$38)</f>
        <v>-1</v>
      </c>
      <c r="K184" s="101">
        <f t="shared" si="67"/>
        <v>-1</v>
      </c>
      <c r="L184" s="101">
        <f t="shared" si="67"/>
        <v>-1</v>
      </c>
      <c r="M184" s="101">
        <f t="shared" si="67"/>
        <v>-1</v>
      </c>
      <c r="N184" s="101">
        <f t="shared" si="67"/>
        <v>-1</v>
      </c>
      <c r="O184" s="101">
        <f t="shared" si="67"/>
        <v>-1</v>
      </c>
      <c r="P184" s="101">
        <f t="shared" si="67"/>
        <v>0</v>
      </c>
      <c r="Q184" s="101">
        <f t="shared" si="67"/>
        <v>0</v>
      </c>
      <c r="R184" s="101">
        <f t="shared" si="67"/>
        <v>0</v>
      </c>
      <c r="S184" s="101">
        <f t="shared" si="67"/>
        <v>0</v>
      </c>
      <c r="T184" s="79"/>
      <c r="U184" s="79"/>
    </row>
    <row r="185" spans="3:23" x14ac:dyDescent="0.25">
      <c r="F185" t="s">
        <v>178</v>
      </c>
      <c r="G185" s="72" t="s">
        <v>212</v>
      </c>
      <c r="J185" s="101">
        <f t="shared" ref="J185:S185" si="68">IF(J$38 = "", J148, J148 * J$38)</f>
        <v>-1</v>
      </c>
      <c r="K185" s="101">
        <f t="shared" si="68"/>
        <v>-1</v>
      </c>
      <c r="L185" s="101">
        <f t="shared" si="68"/>
        <v>-1</v>
      </c>
      <c r="M185" s="101">
        <f t="shared" si="68"/>
        <v>-1</v>
      </c>
      <c r="N185" s="101">
        <f t="shared" si="68"/>
        <v>-1</v>
      </c>
      <c r="O185" s="101">
        <f t="shared" si="68"/>
        <v>-1</v>
      </c>
      <c r="P185" s="101">
        <f t="shared" si="68"/>
        <v>0</v>
      </c>
      <c r="Q185" s="101">
        <f t="shared" si="68"/>
        <v>0</v>
      </c>
      <c r="R185" s="101">
        <f t="shared" si="68"/>
        <v>0</v>
      </c>
      <c r="S185" s="101">
        <f t="shared" si="68"/>
        <v>0</v>
      </c>
      <c r="T185" s="79"/>
      <c r="U185" s="79"/>
    </row>
    <row r="186" spans="3:23" x14ac:dyDescent="0.25">
      <c r="F186" t="s">
        <v>179</v>
      </c>
      <c r="G186" s="72" t="s">
        <v>212</v>
      </c>
      <c r="J186" s="101">
        <f t="shared" ref="J186:S186" si="69">IF(J$38 = "", J149, J149 * J$38)</f>
        <v>-1</v>
      </c>
      <c r="K186" s="101">
        <f t="shared" si="69"/>
        <v>-1</v>
      </c>
      <c r="L186" s="101">
        <f t="shared" si="69"/>
        <v>-1</v>
      </c>
      <c r="M186" s="101">
        <f t="shared" si="69"/>
        <v>-1</v>
      </c>
      <c r="N186" s="101">
        <f t="shared" si="69"/>
        <v>-1</v>
      </c>
      <c r="O186" s="101">
        <f t="shared" si="69"/>
        <v>-1</v>
      </c>
      <c r="P186" s="101">
        <f t="shared" si="69"/>
        <v>0</v>
      </c>
      <c r="Q186" s="101">
        <f t="shared" si="69"/>
        <v>0</v>
      </c>
      <c r="R186" s="101">
        <f t="shared" si="69"/>
        <v>0</v>
      </c>
      <c r="S186" s="101">
        <f t="shared" si="69"/>
        <v>0</v>
      </c>
      <c r="T186" s="79"/>
      <c r="U186" s="79"/>
    </row>
    <row r="187" spans="3:23" x14ac:dyDescent="0.25">
      <c r="F187" s="37" t="s">
        <v>180</v>
      </c>
      <c r="G187" s="80" t="s">
        <v>212</v>
      </c>
      <c r="H187" s="37"/>
      <c r="I187" s="37"/>
      <c r="J187" s="103">
        <f t="shared" ref="J187:S187" si="70">IF(J$38 = "", J150, J150 * J$38)</f>
        <v>-1</v>
      </c>
      <c r="K187" s="103">
        <f t="shared" si="70"/>
        <v>-1</v>
      </c>
      <c r="L187" s="103">
        <f t="shared" si="70"/>
        <v>-1</v>
      </c>
      <c r="M187" s="103">
        <f t="shared" si="70"/>
        <v>-1</v>
      </c>
      <c r="N187" s="103">
        <f t="shared" si="70"/>
        <v>-1</v>
      </c>
      <c r="O187" s="103">
        <f t="shared" si="70"/>
        <v>-1</v>
      </c>
      <c r="P187" s="103">
        <f t="shared" si="70"/>
        <v>0</v>
      </c>
      <c r="Q187" s="103">
        <f t="shared" si="70"/>
        <v>0</v>
      </c>
      <c r="R187" s="103">
        <f t="shared" si="70"/>
        <v>0</v>
      </c>
      <c r="S187" s="103">
        <f t="shared" si="70"/>
        <v>0</v>
      </c>
      <c r="T187" s="81"/>
      <c r="U187" s="81"/>
    </row>
    <row r="188" spans="3:23" x14ac:dyDescent="0.25">
      <c r="G188" s="13"/>
      <c r="J188" s="92"/>
      <c r="K188" s="92"/>
      <c r="L188" s="92"/>
      <c r="M188" s="92"/>
      <c r="N188" s="92"/>
      <c r="O188" s="92"/>
      <c r="P188" s="92"/>
      <c r="Q188" s="92"/>
      <c r="R188" s="92"/>
      <c r="S188" s="92"/>
      <c r="T188" s="92"/>
      <c r="U188" s="92"/>
    </row>
    <row r="189" spans="3:23" x14ac:dyDescent="0.25">
      <c r="C189" s="31" t="str">
        <f ca="1">INDEX('Version control'!$H$34:$H$56,MATCH($A$1,'Version control'!$F$34:$F$56,0),1)&amp;"-E: User loss factors"</f>
        <v>Section 102-E: User loss factors</v>
      </c>
      <c r="D189" s="31"/>
      <c r="E189" s="31"/>
      <c r="F189" s="31"/>
      <c r="G189" s="31"/>
      <c r="H189" s="31"/>
      <c r="I189" s="31"/>
      <c r="J189" s="93"/>
      <c r="K189" s="93"/>
      <c r="L189" s="93"/>
      <c r="M189" s="93"/>
      <c r="N189" s="93"/>
      <c r="O189" s="93"/>
      <c r="P189" s="93"/>
      <c r="Q189" s="93"/>
      <c r="R189" s="93"/>
      <c r="S189" s="93"/>
      <c r="T189" s="93"/>
      <c r="U189" s="93"/>
      <c r="V189" s="31"/>
      <c r="W189" s="31"/>
    </row>
    <row r="190" spans="3:23" x14ac:dyDescent="0.25">
      <c r="H190" s="3"/>
      <c r="I190" s="3"/>
      <c r="J190" s="130"/>
      <c r="K190" s="130"/>
      <c r="L190" s="130"/>
      <c r="M190" s="130"/>
      <c r="N190" s="130"/>
      <c r="O190" s="130"/>
      <c r="P190" s="130"/>
      <c r="Q190" s="130"/>
      <c r="R190" s="130"/>
      <c r="S190" s="130"/>
      <c r="T190" s="130"/>
      <c r="U190" s="130"/>
      <c r="W190" s="3"/>
    </row>
    <row r="191" spans="3:23" x14ac:dyDescent="0.25">
      <c r="E191" s="32" t="s">
        <v>464</v>
      </c>
      <c r="G191" s="13"/>
      <c r="J191" s="92"/>
      <c r="K191" s="92"/>
      <c r="L191" s="92"/>
      <c r="M191" s="92"/>
      <c r="N191" s="92"/>
      <c r="O191" s="92"/>
      <c r="P191" s="92"/>
      <c r="Q191" s="92"/>
      <c r="R191" s="92"/>
      <c r="S191" s="92"/>
      <c r="T191" s="92"/>
      <c r="U191" s="92"/>
      <c r="W191" s="3"/>
    </row>
    <row r="192" spans="3:23" x14ac:dyDescent="0.25">
      <c r="E192" s="29" t="s">
        <v>465</v>
      </c>
      <c r="G192" s="13"/>
      <c r="J192" s="92"/>
      <c r="K192" s="92"/>
      <c r="L192" s="92"/>
      <c r="M192" s="92"/>
      <c r="N192" s="92"/>
      <c r="O192" s="92"/>
      <c r="P192" s="92"/>
      <c r="Q192" s="92"/>
      <c r="R192" s="92"/>
      <c r="S192" s="92"/>
      <c r="T192" s="92"/>
      <c r="U192" s="92"/>
    </row>
    <row r="193" spans="5:23" x14ac:dyDescent="0.25">
      <c r="E193" s="29" t="s">
        <v>466</v>
      </c>
      <c r="G193" s="13"/>
      <c r="H193" s="131" t="s">
        <v>467</v>
      </c>
      <c r="J193" s="92"/>
      <c r="K193" s="92"/>
      <c r="L193" s="92"/>
      <c r="M193" s="92"/>
      <c r="N193" s="92"/>
      <c r="O193" s="92"/>
      <c r="P193" s="92"/>
      <c r="Q193" s="92"/>
      <c r="R193" s="92"/>
      <c r="S193" s="92"/>
      <c r="T193" s="92"/>
      <c r="U193" s="92"/>
    </row>
    <row r="194" spans="5:23" x14ac:dyDescent="0.25">
      <c r="F194" s="64" t="s">
        <v>148</v>
      </c>
      <c r="G194" s="78" t="s">
        <v>342</v>
      </c>
      <c r="H194" s="129">
        <f t="shared" ref="H194:H226" si="71">MAX(J194:S194)</f>
        <v>1.0900000000000001</v>
      </c>
      <c r="I194" s="23"/>
      <c r="J194" s="129">
        <f>OR(SUM(J82:$S82) = 1, SUM(J82:$S82) = -1) * J$29</f>
        <v>0</v>
      </c>
      <c r="K194" s="129">
        <f>OR(SUM(K82:$S82) = 1, SUM(K82:$S82) = -1) * K$29</f>
        <v>0</v>
      </c>
      <c r="L194" s="129">
        <f>OR(SUM(L82:$S82) = 1, SUM(L82:$S82) = -1) * L$29</f>
        <v>0</v>
      </c>
      <c r="M194" s="129">
        <f>OR(SUM(M82:$S82) = 1, SUM(M82:$S82) = -1) * M$29</f>
        <v>0</v>
      </c>
      <c r="N194" s="129">
        <f>OR(SUM(N82:$S82) = 1, SUM(N82:$S82) = -1) * N$29</f>
        <v>0</v>
      </c>
      <c r="O194" s="129">
        <f>OR(SUM(O82:$S82) = 1, SUM(O82:$S82) = -1) * O$29</f>
        <v>0</v>
      </c>
      <c r="P194" s="129">
        <f>OR(SUM(P82:$S82) = 1, SUM(P82:$S82) = -1) * P$29</f>
        <v>0</v>
      </c>
      <c r="Q194" s="129">
        <f>OR(SUM(Q82:$S82) = 1, SUM(Q82:$S82) = -1) * Q$29</f>
        <v>0</v>
      </c>
      <c r="R194" s="129">
        <f>OR(SUM(R82:$S82) = 1, SUM(R82:$S82) = -1) * R$29</f>
        <v>0</v>
      </c>
      <c r="S194" s="129">
        <f>OR(SUM(S82:$S82) = 1, SUM(S82:$S82) = -1) * S$29</f>
        <v>1.0900000000000001</v>
      </c>
      <c r="T194" s="83"/>
      <c r="U194" s="83"/>
      <c r="W194" s="3"/>
    </row>
    <row r="195" spans="5:23" x14ac:dyDescent="0.25">
      <c r="F195" s="28" t="s">
        <v>149</v>
      </c>
      <c r="G195" s="72" t="s">
        <v>342</v>
      </c>
      <c r="H195" s="101">
        <f t="shared" si="71"/>
        <v>1.0900000000000001</v>
      </c>
      <c r="J195" s="101">
        <f>OR(SUM(J83:$S83) = 1, SUM(J83:$S83) = -1) * J$29</f>
        <v>0</v>
      </c>
      <c r="K195" s="101">
        <f>OR(SUM(K83:$S83) = 1, SUM(K83:$S83) = -1) * K$29</f>
        <v>0</v>
      </c>
      <c r="L195" s="101">
        <f>OR(SUM(L83:$S83) = 1, SUM(L83:$S83) = -1) * L$29</f>
        <v>0</v>
      </c>
      <c r="M195" s="101">
        <f>OR(SUM(M83:$S83) = 1, SUM(M83:$S83) = -1) * M$29</f>
        <v>0</v>
      </c>
      <c r="N195" s="101">
        <f>OR(SUM(N83:$S83) = 1, SUM(N83:$S83) = -1) * N$29</f>
        <v>0</v>
      </c>
      <c r="O195" s="101">
        <f>OR(SUM(O83:$S83) = 1, SUM(O83:$S83) = -1) * O$29</f>
        <v>0</v>
      </c>
      <c r="P195" s="101">
        <f>OR(SUM(P83:$S83) = 1, SUM(P83:$S83) = -1) * P$29</f>
        <v>0</v>
      </c>
      <c r="Q195" s="101">
        <f>OR(SUM(Q83:$S83) = 1, SUM(Q83:$S83) = -1) * Q$29</f>
        <v>0</v>
      </c>
      <c r="R195" s="101">
        <f>OR(SUM(R83:$S83) = 1, SUM(R83:$S83) = -1) * R$29</f>
        <v>0</v>
      </c>
      <c r="S195" s="101">
        <f>OR(SUM(S83:$S83) = 1, SUM(S83:$S83) = -1) * S$29</f>
        <v>1.0900000000000001</v>
      </c>
      <c r="T195" s="79"/>
      <c r="U195" s="79"/>
      <c r="W195" s="3"/>
    </row>
    <row r="196" spans="5:23" x14ac:dyDescent="0.25">
      <c r="F196" s="28" t="s">
        <v>150</v>
      </c>
      <c r="G196" s="72" t="s">
        <v>342</v>
      </c>
      <c r="H196" s="101">
        <f t="shared" si="71"/>
        <v>1.0900000000000001</v>
      </c>
      <c r="J196" s="101">
        <f>OR(SUM(J84:$S84) = 1, SUM(J84:$S84) = -1) * J$29</f>
        <v>0</v>
      </c>
      <c r="K196" s="101">
        <f>OR(SUM(K84:$S84) = 1, SUM(K84:$S84) = -1) * K$29</f>
        <v>0</v>
      </c>
      <c r="L196" s="101">
        <f>OR(SUM(L84:$S84) = 1, SUM(L84:$S84) = -1) * L$29</f>
        <v>0</v>
      </c>
      <c r="M196" s="101">
        <f>OR(SUM(M84:$S84) = 1, SUM(M84:$S84) = -1) * M$29</f>
        <v>0</v>
      </c>
      <c r="N196" s="101">
        <f>OR(SUM(N84:$S84) = 1, SUM(N84:$S84) = -1) * N$29</f>
        <v>0</v>
      </c>
      <c r="O196" s="101">
        <f>OR(SUM(O84:$S84) = 1, SUM(O84:$S84) = -1) * O$29</f>
        <v>0</v>
      </c>
      <c r="P196" s="101">
        <f>OR(SUM(P84:$S84) = 1, SUM(P84:$S84) = -1) * P$29</f>
        <v>0</v>
      </c>
      <c r="Q196" s="101">
        <f>OR(SUM(Q84:$S84) = 1, SUM(Q84:$S84) = -1) * Q$29</f>
        <v>0</v>
      </c>
      <c r="R196" s="101">
        <f>OR(SUM(R84:$S84) = 1, SUM(R84:$S84) = -1) * R$29</f>
        <v>0</v>
      </c>
      <c r="S196" s="101">
        <f>OR(SUM(S84:$S84) = 1, SUM(S84:$S84) = -1) * S$29</f>
        <v>1.0900000000000001</v>
      </c>
      <c r="T196" s="79"/>
      <c r="U196" s="79"/>
      <c r="W196" s="3"/>
    </row>
    <row r="197" spans="5:23" x14ac:dyDescent="0.25">
      <c r="F197" s="28" t="s">
        <v>151</v>
      </c>
      <c r="G197" s="72" t="s">
        <v>342</v>
      </c>
      <c r="H197" s="101">
        <f t="shared" si="71"/>
        <v>1.0900000000000001</v>
      </c>
      <c r="J197" s="101">
        <f>OR(SUM(J85:$S85) = 1, SUM(J85:$S85) = -1) * J$29</f>
        <v>0</v>
      </c>
      <c r="K197" s="101">
        <f>OR(SUM(K85:$S85) = 1, SUM(K85:$S85) = -1) * K$29</f>
        <v>0</v>
      </c>
      <c r="L197" s="101">
        <f>OR(SUM(L85:$S85) = 1, SUM(L85:$S85) = -1) * L$29</f>
        <v>0</v>
      </c>
      <c r="M197" s="101">
        <f>OR(SUM(M85:$S85) = 1, SUM(M85:$S85) = -1) * M$29</f>
        <v>0</v>
      </c>
      <c r="N197" s="101">
        <f>OR(SUM(N85:$S85) = 1, SUM(N85:$S85) = -1) * N$29</f>
        <v>0</v>
      </c>
      <c r="O197" s="101">
        <f>OR(SUM(O85:$S85) = 1, SUM(O85:$S85) = -1) * O$29</f>
        <v>0</v>
      </c>
      <c r="P197" s="101">
        <f>OR(SUM(P85:$S85) = 1, SUM(P85:$S85) = -1) * P$29</f>
        <v>0</v>
      </c>
      <c r="Q197" s="101">
        <f>OR(SUM(Q85:$S85) = 1, SUM(Q85:$S85) = -1) * Q$29</f>
        <v>0</v>
      </c>
      <c r="R197" s="101">
        <f>OR(SUM(R85:$S85) = 1, SUM(R85:$S85) = -1) * R$29</f>
        <v>0</v>
      </c>
      <c r="S197" s="101">
        <f>OR(SUM(S85:$S85) = 1, SUM(S85:$S85) = -1) * S$29</f>
        <v>1.0900000000000001</v>
      </c>
      <c r="T197" s="79"/>
      <c r="U197" s="79"/>
    </row>
    <row r="198" spans="5:23" x14ac:dyDescent="0.25">
      <c r="F198" s="28" t="s">
        <v>152</v>
      </c>
      <c r="G198" s="72" t="s">
        <v>342</v>
      </c>
      <c r="H198" s="101">
        <f t="shared" si="71"/>
        <v>1.0900000000000001</v>
      </c>
      <c r="J198" s="101">
        <f>OR(SUM(J86:$S86) = 1, SUM(J86:$S86) = -1) * J$29</f>
        <v>0</v>
      </c>
      <c r="K198" s="101">
        <f>OR(SUM(K86:$S86) = 1, SUM(K86:$S86) = -1) * K$29</f>
        <v>0</v>
      </c>
      <c r="L198" s="101">
        <f>OR(SUM(L86:$S86) = 1, SUM(L86:$S86) = -1) * L$29</f>
        <v>0</v>
      </c>
      <c r="M198" s="101">
        <f>OR(SUM(M86:$S86) = 1, SUM(M86:$S86) = -1) * M$29</f>
        <v>0</v>
      </c>
      <c r="N198" s="101">
        <f>OR(SUM(N86:$S86) = 1, SUM(N86:$S86) = -1) * N$29</f>
        <v>0</v>
      </c>
      <c r="O198" s="101">
        <f>OR(SUM(O86:$S86) = 1, SUM(O86:$S86) = -1) * O$29</f>
        <v>0</v>
      </c>
      <c r="P198" s="101">
        <f>OR(SUM(P86:$S86) = 1, SUM(P86:$S86) = -1) * P$29</f>
        <v>0</v>
      </c>
      <c r="Q198" s="101">
        <f>OR(SUM(Q86:$S86) = 1, SUM(Q86:$S86) = -1) * Q$29</f>
        <v>0</v>
      </c>
      <c r="R198" s="101">
        <f>OR(SUM(R86:$S86) = 1, SUM(R86:$S86) = -1) * R$29</f>
        <v>0</v>
      </c>
      <c r="S198" s="101">
        <f>OR(SUM(S86:$S86) = 1, SUM(S86:$S86) = -1) * S$29</f>
        <v>1.0900000000000001</v>
      </c>
      <c r="T198" s="79"/>
      <c r="U198" s="79"/>
    </row>
    <row r="199" spans="5:23" x14ac:dyDescent="0.25">
      <c r="F199" s="28" t="s">
        <v>153</v>
      </c>
      <c r="G199" s="72" t="s">
        <v>342</v>
      </c>
      <c r="H199" s="101">
        <f t="shared" si="71"/>
        <v>1.0900000000000001</v>
      </c>
      <c r="J199" s="101">
        <f>OR(SUM(J87:$S87) = 1, SUM(J87:$S87) = -1) * J$29</f>
        <v>0</v>
      </c>
      <c r="K199" s="101">
        <f>OR(SUM(K87:$S87) = 1, SUM(K87:$S87) = -1) * K$29</f>
        <v>0</v>
      </c>
      <c r="L199" s="101">
        <f>OR(SUM(L87:$S87) = 1, SUM(L87:$S87) = -1) * L$29</f>
        <v>0</v>
      </c>
      <c r="M199" s="101">
        <f>OR(SUM(M87:$S87) = 1, SUM(M87:$S87) = -1) * M$29</f>
        <v>0</v>
      </c>
      <c r="N199" s="101">
        <f>OR(SUM(N87:$S87) = 1, SUM(N87:$S87) = -1) * N$29</f>
        <v>0</v>
      </c>
      <c r="O199" s="101">
        <f>OR(SUM(O87:$S87) = 1, SUM(O87:$S87) = -1) * O$29</f>
        <v>0</v>
      </c>
      <c r="P199" s="101">
        <f>OR(SUM(P87:$S87) = 1, SUM(P87:$S87) = -1) * P$29</f>
        <v>0</v>
      </c>
      <c r="Q199" s="101">
        <f>OR(SUM(Q87:$S87) = 1, SUM(Q87:$S87) = -1) * Q$29</f>
        <v>0</v>
      </c>
      <c r="R199" s="101">
        <f>OR(SUM(R87:$S87) = 1, SUM(R87:$S87) = -1) * R$29</f>
        <v>0</v>
      </c>
      <c r="S199" s="101">
        <f>OR(SUM(S87:$S87) = 1, SUM(S87:$S87) = -1) * S$29</f>
        <v>1.0900000000000001</v>
      </c>
      <c r="T199" s="79"/>
      <c r="U199" s="79"/>
    </row>
    <row r="200" spans="5:23" x14ac:dyDescent="0.25">
      <c r="F200" s="28" t="s">
        <v>154</v>
      </c>
      <c r="G200" s="72" t="s">
        <v>342</v>
      </c>
      <c r="H200" s="101">
        <f t="shared" si="71"/>
        <v>1.0900000000000001</v>
      </c>
      <c r="J200" s="101">
        <f>OR(SUM(J88:$S88) = 1, SUM(J88:$S88) = -1) * J$29</f>
        <v>0</v>
      </c>
      <c r="K200" s="101">
        <f>OR(SUM(K88:$S88) = 1, SUM(K88:$S88) = -1) * K$29</f>
        <v>0</v>
      </c>
      <c r="L200" s="101">
        <f>OR(SUM(L88:$S88) = 1, SUM(L88:$S88) = -1) * L$29</f>
        <v>0</v>
      </c>
      <c r="M200" s="101">
        <f>OR(SUM(M88:$S88) = 1, SUM(M88:$S88) = -1) * M$29</f>
        <v>0</v>
      </c>
      <c r="N200" s="101">
        <f>OR(SUM(N88:$S88) = 1, SUM(N88:$S88) = -1) * N$29</f>
        <v>0</v>
      </c>
      <c r="O200" s="101">
        <f>OR(SUM(O88:$S88) = 1, SUM(O88:$S88) = -1) * O$29</f>
        <v>0</v>
      </c>
      <c r="P200" s="101">
        <f>OR(SUM(P88:$S88) = 1, SUM(P88:$S88) = -1) * P$29</f>
        <v>0</v>
      </c>
      <c r="Q200" s="101">
        <f>OR(SUM(Q88:$S88) = 1, SUM(Q88:$S88) = -1) * Q$29</f>
        <v>0</v>
      </c>
      <c r="R200" s="101">
        <f>OR(SUM(R88:$S88) = 1, SUM(R88:$S88) = -1) * R$29</f>
        <v>0</v>
      </c>
      <c r="S200" s="101">
        <f>OR(SUM(S88:$S88) = 1, SUM(S88:$S88) = -1) * S$29</f>
        <v>1.0900000000000001</v>
      </c>
      <c r="T200" s="79"/>
      <c r="U200" s="79"/>
    </row>
    <row r="201" spans="5:23" x14ac:dyDescent="0.25">
      <c r="F201" s="28" t="s">
        <v>155</v>
      </c>
      <c r="G201" s="72" t="s">
        <v>342</v>
      </c>
      <c r="H201" s="101">
        <f t="shared" si="71"/>
        <v>1.0569999999999999</v>
      </c>
      <c r="J201" s="101">
        <f>OR(SUM(J89:$S89) = 1, SUM(J89:$S89) = -1) * J$29</f>
        <v>0</v>
      </c>
      <c r="K201" s="101">
        <f>OR(SUM(K89:$S89) = 1, SUM(K89:$S89) = -1) * K$29</f>
        <v>0</v>
      </c>
      <c r="L201" s="101">
        <f>OR(SUM(L89:$S89) = 1, SUM(L89:$S89) = -1) * L$29</f>
        <v>0</v>
      </c>
      <c r="M201" s="101">
        <f>OR(SUM(M89:$S89) = 1, SUM(M89:$S89) = -1) * M$29</f>
        <v>0</v>
      </c>
      <c r="N201" s="101">
        <f>OR(SUM(N89:$S89) = 1, SUM(N89:$S89) = -1) * N$29</f>
        <v>0</v>
      </c>
      <c r="O201" s="101">
        <f>OR(SUM(O89:$S89) = 1, SUM(O89:$S89) = -1) * O$29</f>
        <v>0</v>
      </c>
      <c r="P201" s="101">
        <f>OR(SUM(P89:$S89) = 1, SUM(P89:$S89) = -1) * P$29</f>
        <v>0</v>
      </c>
      <c r="Q201" s="101">
        <f>OR(SUM(Q89:$S89) = 1, SUM(Q89:$S89) = -1) * Q$29</f>
        <v>0</v>
      </c>
      <c r="R201" s="101">
        <f>OR(SUM(R89:$S89) = 1, SUM(R89:$S89) = -1) * R$29</f>
        <v>1.0569999999999999</v>
      </c>
      <c r="S201" s="101">
        <f>OR(SUM(S89:$S89) = 1, SUM(S89:$S89) = -1) * S$29</f>
        <v>0</v>
      </c>
      <c r="T201" s="79"/>
      <c r="U201" s="79"/>
    </row>
    <row r="202" spans="5:23" x14ac:dyDescent="0.25">
      <c r="F202" s="28" t="s">
        <v>156</v>
      </c>
      <c r="G202" s="72" t="s">
        <v>342</v>
      </c>
      <c r="H202" s="101">
        <f t="shared" si="71"/>
        <v>1.0349999999999999</v>
      </c>
      <c r="J202" s="101">
        <f>OR(SUM(J90:$S90) = 1, SUM(J90:$S90) = -1) * J$29</f>
        <v>0</v>
      </c>
      <c r="K202" s="101">
        <f>OR(SUM(K90:$S90) = 1, SUM(K90:$S90) = -1) * K$29</f>
        <v>0</v>
      </c>
      <c r="L202" s="101">
        <f>OR(SUM(L90:$S90) = 1, SUM(L90:$S90) = -1) * L$29</f>
        <v>0</v>
      </c>
      <c r="M202" s="101">
        <f>OR(SUM(M90:$S90) = 1, SUM(M90:$S90) = -1) * M$29</f>
        <v>0</v>
      </c>
      <c r="N202" s="101">
        <f>OR(SUM(N90:$S90) = 1, SUM(N90:$S90) = -1) * N$29</f>
        <v>0</v>
      </c>
      <c r="O202" s="101">
        <f>OR(SUM(O90:$S90) = 1, SUM(O90:$S90) = -1) * O$29</f>
        <v>0</v>
      </c>
      <c r="P202" s="101">
        <f>OR(SUM(P90:$S90) = 1, SUM(P90:$S90) = -1) * P$29</f>
        <v>1.026</v>
      </c>
      <c r="Q202" s="101">
        <f>OR(SUM(Q90:$S90) = 1, SUM(Q90:$S90) = -1) * Q$29</f>
        <v>1.0349999999999999</v>
      </c>
      <c r="R202" s="101">
        <f>OR(SUM(R90:$S90) = 1, SUM(R90:$S90) = -1) * R$29</f>
        <v>0</v>
      </c>
      <c r="S202" s="101">
        <f>OR(SUM(S90:$S90) = 1, SUM(S90:$S90) = -1) * S$29</f>
        <v>0</v>
      </c>
      <c r="T202" s="79"/>
      <c r="U202" s="79"/>
    </row>
    <row r="203" spans="5:23" x14ac:dyDescent="0.25">
      <c r="F203" s="28" t="s">
        <v>157</v>
      </c>
      <c r="G203" s="72" t="s">
        <v>342</v>
      </c>
      <c r="H203" s="101">
        <f t="shared" si="71"/>
        <v>1.0900000000000001</v>
      </c>
      <c r="J203" s="101">
        <f>OR(SUM(J91:$S91) = 1, SUM(J91:$S91) = -1) * J$29</f>
        <v>0</v>
      </c>
      <c r="K203" s="101">
        <f>OR(SUM(K91:$S91) = 1, SUM(K91:$S91) = -1) * K$29</f>
        <v>0</v>
      </c>
      <c r="L203" s="101">
        <f>OR(SUM(L91:$S91) = 1, SUM(L91:$S91) = -1) * L$29</f>
        <v>0</v>
      </c>
      <c r="M203" s="101">
        <f>OR(SUM(M91:$S91) = 1, SUM(M91:$S91) = -1) * M$29</f>
        <v>0</v>
      </c>
      <c r="N203" s="101">
        <f>OR(SUM(N91:$S91) = 1, SUM(N91:$S91) = -1) * N$29</f>
        <v>0</v>
      </c>
      <c r="O203" s="101">
        <f>OR(SUM(O91:$S91) = 1, SUM(O91:$S91) = -1) * O$29</f>
        <v>0</v>
      </c>
      <c r="P203" s="101">
        <f>OR(SUM(P91:$S91) = 1, SUM(P91:$S91) = -1) * P$29</f>
        <v>0</v>
      </c>
      <c r="Q203" s="101">
        <f>OR(SUM(Q91:$S91) = 1, SUM(Q91:$S91) = -1) * Q$29</f>
        <v>0</v>
      </c>
      <c r="R203" s="101">
        <f>OR(SUM(R91:$S91) = 1, SUM(R91:$S91) = -1) * R$29</f>
        <v>0</v>
      </c>
      <c r="S203" s="101">
        <f>OR(SUM(S91:$S91) = 1, SUM(S91:$S91) = -1) * S$29</f>
        <v>1.0900000000000001</v>
      </c>
      <c r="T203" s="79"/>
      <c r="U203" s="79"/>
    </row>
    <row r="204" spans="5:23" x14ac:dyDescent="0.25">
      <c r="F204" s="28" t="s">
        <v>158</v>
      </c>
      <c r="G204" s="72" t="s">
        <v>342</v>
      </c>
      <c r="H204" s="101">
        <f t="shared" si="71"/>
        <v>1.0900000000000001</v>
      </c>
      <c r="J204" s="101">
        <f>OR(SUM(J92:$S92) = 1, SUM(J92:$S92) = -1) * J$29</f>
        <v>0</v>
      </c>
      <c r="K204" s="101">
        <f>OR(SUM(K92:$S92) = 1, SUM(K92:$S92) = -1) * K$29</f>
        <v>0</v>
      </c>
      <c r="L204" s="101">
        <f>OR(SUM(L92:$S92) = 1, SUM(L92:$S92) = -1) * L$29</f>
        <v>0</v>
      </c>
      <c r="M204" s="101">
        <f>OR(SUM(M92:$S92) = 1, SUM(M92:$S92) = -1) * M$29</f>
        <v>0</v>
      </c>
      <c r="N204" s="101">
        <f>OR(SUM(N92:$S92) = 1, SUM(N92:$S92) = -1) * N$29</f>
        <v>0</v>
      </c>
      <c r="O204" s="101">
        <f>OR(SUM(O92:$S92) = 1, SUM(O92:$S92) = -1) * O$29</f>
        <v>0</v>
      </c>
      <c r="P204" s="101">
        <f>OR(SUM(P92:$S92) = 1, SUM(P92:$S92) = -1) * P$29</f>
        <v>0</v>
      </c>
      <c r="Q204" s="101">
        <f>OR(SUM(Q92:$S92) = 1, SUM(Q92:$S92) = -1) * Q$29</f>
        <v>0</v>
      </c>
      <c r="R204" s="101">
        <f>OR(SUM(R92:$S92) = 1, SUM(R92:$S92) = -1) * R$29</f>
        <v>0</v>
      </c>
      <c r="S204" s="101">
        <f>OR(SUM(S92:$S92) = 1, SUM(S92:$S92) = -1) * S$29</f>
        <v>1.0900000000000001</v>
      </c>
      <c r="T204" s="79"/>
      <c r="U204" s="79"/>
    </row>
    <row r="205" spans="5:23" x14ac:dyDescent="0.25">
      <c r="F205" s="28" t="s">
        <v>159</v>
      </c>
      <c r="G205" s="72" t="s">
        <v>342</v>
      </c>
      <c r="H205" s="101">
        <f t="shared" si="71"/>
        <v>1.0900000000000001</v>
      </c>
      <c r="J205" s="101">
        <f>OR(SUM(J93:$S93) = 1, SUM(J93:$S93) = -1) * J$29</f>
        <v>0</v>
      </c>
      <c r="K205" s="101">
        <f>OR(SUM(K93:$S93) = 1, SUM(K93:$S93) = -1) * K$29</f>
        <v>0</v>
      </c>
      <c r="L205" s="101">
        <f>OR(SUM(L93:$S93) = 1, SUM(L93:$S93) = -1) * L$29</f>
        <v>0</v>
      </c>
      <c r="M205" s="101">
        <f>OR(SUM(M93:$S93) = 1, SUM(M93:$S93) = -1) * M$29</f>
        <v>0</v>
      </c>
      <c r="N205" s="101">
        <f>OR(SUM(N93:$S93) = 1, SUM(N93:$S93) = -1) * N$29</f>
        <v>0</v>
      </c>
      <c r="O205" s="101">
        <f>OR(SUM(O93:$S93) = 1, SUM(O93:$S93) = -1) * O$29</f>
        <v>0</v>
      </c>
      <c r="P205" s="101">
        <f>OR(SUM(P93:$S93) = 1, SUM(P93:$S93) = -1) * P$29</f>
        <v>0</v>
      </c>
      <c r="Q205" s="101">
        <f>OR(SUM(Q93:$S93) = 1, SUM(Q93:$S93) = -1) * Q$29</f>
        <v>0</v>
      </c>
      <c r="R205" s="101">
        <f>OR(SUM(R93:$S93) = 1, SUM(R93:$S93) = -1) * R$29</f>
        <v>0</v>
      </c>
      <c r="S205" s="101">
        <f>OR(SUM(S93:$S93) = 1, SUM(S93:$S93) = -1) * S$29</f>
        <v>1.0900000000000001</v>
      </c>
      <c r="T205" s="79"/>
      <c r="U205" s="79"/>
    </row>
    <row r="206" spans="5:23" x14ac:dyDescent="0.25">
      <c r="F206" s="28" t="s">
        <v>160</v>
      </c>
      <c r="G206" s="72" t="s">
        <v>342</v>
      </c>
      <c r="H206" s="101">
        <f t="shared" si="71"/>
        <v>1.0569999999999999</v>
      </c>
      <c r="J206" s="101">
        <f>OR(SUM(J94:$S94) = 1, SUM(J94:$S94) = -1) * J$29</f>
        <v>0</v>
      </c>
      <c r="K206" s="101">
        <f>OR(SUM(K94:$S94) = 1, SUM(K94:$S94) = -1) * K$29</f>
        <v>0</v>
      </c>
      <c r="L206" s="101">
        <f>OR(SUM(L94:$S94) = 1, SUM(L94:$S94) = -1) * L$29</f>
        <v>0</v>
      </c>
      <c r="M206" s="101">
        <f>OR(SUM(M94:$S94) = 1, SUM(M94:$S94) = -1) * M$29</f>
        <v>0</v>
      </c>
      <c r="N206" s="101">
        <f>OR(SUM(N94:$S94) = 1, SUM(N94:$S94) = -1) * N$29</f>
        <v>0</v>
      </c>
      <c r="O206" s="101">
        <f>OR(SUM(O94:$S94) = 1, SUM(O94:$S94) = -1) * O$29</f>
        <v>0</v>
      </c>
      <c r="P206" s="101">
        <f>OR(SUM(P94:$S94) = 1, SUM(P94:$S94) = -1) * P$29</f>
        <v>0</v>
      </c>
      <c r="Q206" s="101">
        <f>OR(SUM(Q94:$S94) = 1, SUM(Q94:$S94) = -1) * Q$29</f>
        <v>0</v>
      </c>
      <c r="R206" s="101">
        <f>OR(SUM(R94:$S94) = 1, SUM(R94:$S94) = -1) * R$29</f>
        <v>1.0569999999999999</v>
      </c>
      <c r="S206" s="101">
        <f>OR(SUM(S94:$S94) = 1, SUM(S94:$S94) = -1) * S$29</f>
        <v>0</v>
      </c>
      <c r="T206" s="79"/>
      <c r="U206" s="79"/>
    </row>
    <row r="207" spans="5:23" x14ac:dyDescent="0.25">
      <c r="F207" s="28" t="s">
        <v>161</v>
      </c>
      <c r="G207" s="72" t="s">
        <v>342</v>
      </c>
      <c r="H207" s="101">
        <f t="shared" si="71"/>
        <v>1.0349999999999999</v>
      </c>
      <c r="J207" s="101">
        <f>OR(SUM(J95:$S95) = 1, SUM(J95:$S95) = -1) * J$29</f>
        <v>0</v>
      </c>
      <c r="K207" s="101">
        <f>OR(SUM(K95:$S95) = 1, SUM(K95:$S95) = -1) * K$29</f>
        <v>0</v>
      </c>
      <c r="L207" s="101">
        <f>OR(SUM(L95:$S95) = 1, SUM(L95:$S95) = -1) * L$29</f>
        <v>0</v>
      </c>
      <c r="M207" s="101">
        <f>OR(SUM(M95:$S95) = 1, SUM(M95:$S95) = -1) * M$29</f>
        <v>0</v>
      </c>
      <c r="N207" s="101">
        <f>OR(SUM(N95:$S95) = 1, SUM(N95:$S95) = -1) * N$29</f>
        <v>0</v>
      </c>
      <c r="O207" s="101">
        <f>OR(SUM(O95:$S95) = 1, SUM(O95:$S95) = -1) * O$29</f>
        <v>0</v>
      </c>
      <c r="P207" s="101">
        <f>OR(SUM(P95:$S95) = 1, SUM(P95:$S95) = -1) * P$29</f>
        <v>1.026</v>
      </c>
      <c r="Q207" s="101">
        <f>OR(SUM(Q95:$S95) = 1, SUM(Q95:$S95) = -1) * Q$29</f>
        <v>1.0349999999999999</v>
      </c>
      <c r="R207" s="101">
        <f>OR(SUM(R95:$S95) = 1, SUM(R95:$S95) = -1) * R$29</f>
        <v>0</v>
      </c>
      <c r="S207" s="101">
        <f>OR(SUM(S95:$S95) = 1, SUM(S95:$S95) = -1) * S$29</f>
        <v>0</v>
      </c>
      <c r="T207" s="79"/>
      <c r="U207" s="79"/>
    </row>
    <row r="208" spans="5:23" x14ac:dyDescent="0.25">
      <c r="F208" s="28" t="s">
        <v>162</v>
      </c>
      <c r="G208" s="72" t="s">
        <v>342</v>
      </c>
      <c r="H208" s="101">
        <f t="shared" si="71"/>
        <v>1.0900000000000001</v>
      </c>
      <c r="J208" s="101">
        <f>OR(SUM(J96:$S96) = 1, SUM(J96:$S96) = -1) * J$29</f>
        <v>0</v>
      </c>
      <c r="K208" s="101">
        <f>OR(SUM(K96:$S96) = 1, SUM(K96:$S96) = -1) * K$29</f>
        <v>0</v>
      </c>
      <c r="L208" s="101">
        <f>OR(SUM(L96:$S96) = 1, SUM(L96:$S96) = -1) * L$29</f>
        <v>0</v>
      </c>
      <c r="M208" s="101">
        <f>OR(SUM(M96:$S96) = 1, SUM(M96:$S96) = -1) * M$29</f>
        <v>0</v>
      </c>
      <c r="N208" s="101">
        <f>OR(SUM(N96:$S96) = 1, SUM(N96:$S96) = -1) * N$29</f>
        <v>0</v>
      </c>
      <c r="O208" s="101">
        <f>OR(SUM(O96:$S96) = 1, SUM(O96:$S96) = -1) * O$29</f>
        <v>0</v>
      </c>
      <c r="P208" s="101">
        <f>OR(SUM(P96:$S96) = 1, SUM(P96:$S96) = -1) * P$29</f>
        <v>0</v>
      </c>
      <c r="Q208" s="101">
        <f>OR(SUM(Q96:$S96) = 1, SUM(Q96:$S96) = -1) * Q$29</f>
        <v>0</v>
      </c>
      <c r="R208" s="101">
        <f>OR(SUM(R96:$S96) = 1, SUM(R96:$S96) = -1) * R$29</f>
        <v>0</v>
      </c>
      <c r="S208" s="101">
        <f>OR(SUM(S96:$S96) = 1, SUM(S96:$S96) = -1) * S$29</f>
        <v>1.0900000000000001</v>
      </c>
      <c r="T208" s="79"/>
      <c r="U208" s="79"/>
    </row>
    <row r="209" spans="6:21" x14ac:dyDescent="0.25">
      <c r="F209" s="28" t="s">
        <v>163</v>
      </c>
      <c r="G209" s="72" t="s">
        <v>342</v>
      </c>
      <c r="H209" s="101">
        <f t="shared" si="71"/>
        <v>1.0900000000000001</v>
      </c>
      <c r="J209" s="101">
        <f>OR(SUM(J97:$S97) = 1, SUM(J97:$S97) = -1) * J$29</f>
        <v>0</v>
      </c>
      <c r="K209" s="101">
        <f>OR(SUM(K97:$S97) = 1, SUM(K97:$S97) = -1) * K$29</f>
        <v>0</v>
      </c>
      <c r="L209" s="101">
        <f>OR(SUM(L97:$S97) = 1, SUM(L97:$S97) = -1) * L$29</f>
        <v>0</v>
      </c>
      <c r="M209" s="101">
        <f>OR(SUM(M97:$S97) = 1, SUM(M97:$S97) = -1) * M$29</f>
        <v>0</v>
      </c>
      <c r="N209" s="101">
        <f>OR(SUM(N97:$S97) = 1, SUM(N97:$S97) = -1) * N$29</f>
        <v>0</v>
      </c>
      <c r="O209" s="101">
        <f>OR(SUM(O97:$S97) = 1, SUM(O97:$S97) = -1) * O$29</f>
        <v>0</v>
      </c>
      <c r="P209" s="101">
        <f>OR(SUM(P97:$S97) = 1, SUM(P97:$S97) = -1) * P$29</f>
        <v>0</v>
      </c>
      <c r="Q209" s="101">
        <f>OR(SUM(Q97:$S97) = 1, SUM(Q97:$S97) = -1) * Q$29</f>
        <v>0</v>
      </c>
      <c r="R209" s="101">
        <f>OR(SUM(R97:$S97) = 1, SUM(R97:$S97) = -1) * R$29</f>
        <v>0</v>
      </c>
      <c r="S209" s="101">
        <f>OR(SUM(S97:$S97) = 1, SUM(S97:$S97) = -1) * S$29</f>
        <v>1.0900000000000001</v>
      </c>
      <c r="T209" s="79"/>
      <c r="U209" s="79"/>
    </row>
    <row r="210" spans="6:21" x14ac:dyDescent="0.25">
      <c r="F210" s="28" t="s">
        <v>164</v>
      </c>
      <c r="G210" s="72" t="s">
        <v>342</v>
      </c>
      <c r="H210" s="101">
        <f t="shared" si="71"/>
        <v>1.0900000000000001</v>
      </c>
      <c r="J210" s="101">
        <f>OR(SUM(J98:$S98) = 1, SUM(J98:$S98) = -1) * J$29</f>
        <v>0</v>
      </c>
      <c r="K210" s="101">
        <f>OR(SUM(K98:$S98) = 1, SUM(K98:$S98) = -1) * K$29</f>
        <v>0</v>
      </c>
      <c r="L210" s="101">
        <f>OR(SUM(L98:$S98) = 1, SUM(L98:$S98) = -1) * L$29</f>
        <v>0</v>
      </c>
      <c r="M210" s="101">
        <f>OR(SUM(M98:$S98) = 1, SUM(M98:$S98) = -1) * M$29</f>
        <v>0</v>
      </c>
      <c r="N210" s="101">
        <f>OR(SUM(N98:$S98) = 1, SUM(N98:$S98) = -1) * N$29</f>
        <v>0</v>
      </c>
      <c r="O210" s="101">
        <f>OR(SUM(O98:$S98) = 1, SUM(O98:$S98) = -1) * O$29</f>
        <v>0</v>
      </c>
      <c r="P210" s="101">
        <f>OR(SUM(P98:$S98) = 1, SUM(P98:$S98) = -1) * P$29</f>
        <v>0</v>
      </c>
      <c r="Q210" s="101">
        <f>OR(SUM(Q98:$S98) = 1, SUM(Q98:$S98) = -1) * Q$29</f>
        <v>0</v>
      </c>
      <c r="R210" s="101">
        <f>OR(SUM(R98:$S98) = 1, SUM(R98:$S98) = -1) * R$29</f>
        <v>0</v>
      </c>
      <c r="S210" s="101">
        <f>OR(SUM(S98:$S98) = 1, SUM(S98:$S98) = -1) * S$29</f>
        <v>1.0900000000000001</v>
      </c>
      <c r="T210" s="79"/>
      <c r="U210" s="79"/>
    </row>
    <row r="211" spans="6:21" x14ac:dyDescent="0.25">
      <c r="F211" s="28" t="s">
        <v>165</v>
      </c>
      <c r="G211" s="72" t="s">
        <v>342</v>
      </c>
      <c r="H211" s="101">
        <f t="shared" si="71"/>
        <v>1.0900000000000001</v>
      </c>
      <c r="J211" s="101">
        <f>OR(SUM(J99:$S99) = 1, SUM(J99:$S99) = -1) * J$29</f>
        <v>0</v>
      </c>
      <c r="K211" s="101">
        <f>OR(SUM(K99:$S99) = 1, SUM(K99:$S99) = -1) * K$29</f>
        <v>0</v>
      </c>
      <c r="L211" s="101">
        <f>OR(SUM(L99:$S99) = 1, SUM(L99:$S99) = -1) * L$29</f>
        <v>0</v>
      </c>
      <c r="M211" s="101">
        <f>OR(SUM(M99:$S99) = 1, SUM(M99:$S99) = -1) * M$29</f>
        <v>0</v>
      </c>
      <c r="N211" s="101">
        <f>OR(SUM(N99:$S99) = 1, SUM(N99:$S99) = -1) * N$29</f>
        <v>0</v>
      </c>
      <c r="O211" s="101">
        <f>OR(SUM(O99:$S99) = 1, SUM(O99:$S99) = -1) * O$29</f>
        <v>0</v>
      </c>
      <c r="P211" s="101">
        <f>OR(SUM(P99:$S99) = 1, SUM(P99:$S99) = -1) * P$29</f>
        <v>0</v>
      </c>
      <c r="Q211" s="101">
        <f>OR(SUM(Q99:$S99) = 1, SUM(Q99:$S99) = -1) * Q$29</f>
        <v>0</v>
      </c>
      <c r="R211" s="101">
        <f>OR(SUM(R99:$S99) = 1, SUM(R99:$S99) = -1) * R$29</f>
        <v>0</v>
      </c>
      <c r="S211" s="101">
        <f>OR(SUM(S99:$S99) = 1, SUM(S99:$S99) = -1) * S$29</f>
        <v>1.0900000000000001</v>
      </c>
      <c r="T211" s="79"/>
      <c r="U211" s="79"/>
    </row>
    <row r="212" spans="6:21" x14ac:dyDescent="0.25">
      <c r="F212" s="28" t="s">
        <v>166</v>
      </c>
      <c r="G212" s="72" t="s">
        <v>342</v>
      </c>
      <c r="H212" s="101">
        <f t="shared" si="71"/>
        <v>1.0900000000000001</v>
      </c>
      <c r="J212" s="101">
        <f>OR(SUM(J100:$S100) = 1, SUM(J100:$S100) = -1) * J$29</f>
        <v>0</v>
      </c>
      <c r="K212" s="101">
        <f>OR(SUM(K100:$S100) = 1, SUM(K100:$S100) = -1) * K$29</f>
        <v>0</v>
      </c>
      <c r="L212" s="101">
        <f>OR(SUM(L100:$S100) = 1, SUM(L100:$S100) = -1) * L$29</f>
        <v>0</v>
      </c>
      <c r="M212" s="101">
        <f>OR(SUM(M100:$S100) = 1, SUM(M100:$S100) = -1) * M$29</f>
        <v>0</v>
      </c>
      <c r="N212" s="101">
        <f>OR(SUM(N100:$S100) = 1, SUM(N100:$S100) = -1) * N$29</f>
        <v>0</v>
      </c>
      <c r="O212" s="101">
        <f>OR(SUM(O100:$S100) = 1, SUM(O100:$S100) = -1) * O$29</f>
        <v>0</v>
      </c>
      <c r="P212" s="101">
        <f>OR(SUM(P100:$S100) = 1, SUM(P100:$S100) = -1) * P$29</f>
        <v>0</v>
      </c>
      <c r="Q212" s="101">
        <f>OR(SUM(Q100:$S100) = 1, SUM(Q100:$S100) = -1) * Q$29</f>
        <v>0</v>
      </c>
      <c r="R212" s="101">
        <f>OR(SUM(R100:$S100) = 1, SUM(R100:$S100) = -1) * R$29</f>
        <v>0</v>
      </c>
      <c r="S212" s="101">
        <f>OR(SUM(S100:$S100) = 1, SUM(S100:$S100) = -1) * S$29</f>
        <v>1.0900000000000001</v>
      </c>
      <c r="T212" s="79"/>
      <c r="U212" s="79"/>
    </row>
    <row r="213" spans="6:21" x14ac:dyDescent="0.25">
      <c r="F213" s="28" t="s">
        <v>167</v>
      </c>
      <c r="G213" s="72" t="s">
        <v>342</v>
      </c>
      <c r="H213" s="101">
        <f t="shared" si="71"/>
        <v>1.0900000000000001</v>
      </c>
      <c r="J213" s="101">
        <f>OR(SUM(J101:$S101) = 1, SUM(J101:$S101) = -1) * J$29</f>
        <v>0</v>
      </c>
      <c r="K213" s="101">
        <f>OR(SUM(K101:$S101) = 1, SUM(K101:$S101) = -1) * K$29</f>
        <v>0</v>
      </c>
      <c r="L213" s="101">
        <f>OR(SUM(L101:$S101) = 1, SUM(L101:$S101) = -1) * L$29</f>
        <v>0</v>
      </c>
      <c r="M213" s="101">
        <f>OR(SUM(M101:$S101) = 1, SUM(M101:$S101) = -1) * M$29</f>
        <v>0</v>
      </c>
      <c r="N213" s="101">
        <f>OR(SUM(N101:$S101) = 1, SUM(N101:$S101) = -1) * N$29</f>
        <v>0</v>
      </c>
      <c r="O213" s="101">
        <f>OR(SUM(O101:$S101) = 1, SUM(O101:$S101) = -1) * O$29</f>
        <v>0</v>
      </c>
      <c r="P213" s="101">
        <f>OR(SUM(P101:$S101) = 1, SUM(P101:$S101) = -1) * P$29</f>
        <v>0</v>
      </c>
      <c r="Q213" s="101">
        <f>OR(SUM(Q101:$S101) = 1, SUM(Q101:$S101) = -1) * Q$29</f>
        <v>0</v>
      </c>
      <c r="R213" s="101">
        <f>OR(SUM(R101:$S101) = 1, SUM(R101:$S101) = -1) * R$29</f>
        <v>0</v>
      </c>
      <c r="S213" s="101">
        <f>OR(SUM(S101:$S101) = 1, SUM(S101:$S101) = -1) * S$29</f>
        <v>1.0900000000000001</v>
      </c>
      <c r="T213" s="79"/>
      <c r="U213" s="79"/>
    </row>
    <row r="214" spans="6:21" x14ac:dyDescent="0.25">
      <c r="F214" s="28" t="s">
        <v>168</v>
      </c>
      <c r="G214" s="72" t="s">
        <v>342</v>
      </c>
      <c r="H214" s="101">
        <f t="shared" si="71"/>
        <v>1.0569999999999999</v>
      </c>
      <c r="J214" s="101">
        <f>OR(SUM(J102:$S102) = 1, SUM(J102:$S102) = -1) * J$29</f>
        <v>0</v>
      </c>
      <c r="K214" s="101">
        <f>OR(SUM(K102:$S102) = 1, SUM(K102:$S102) = -1) * K$29</f>
        <v>0</v>
      </c>
      <c r="L214" s="101">
        <f>OR(SUM(L102:$S102) = 1, SUM(L102:$S102) = -1) * L$29</f>
        <v>0</v>
      </c>
      <c r="M214" s="101">
        <f>OR(SUM(M102:$S102) = 1, SUM(M102:$S102) = -1) * M$29</f>
        <v>0</v>
      </c>
      <c r="N214" s="101">
        <f>OR(SUM(N102:$S102) = 1, SUM(N102:$S102) = -1) * N$29</f>
        <v>0</v>
      </c>
      <c r="O214" s="101">
        <f>OR(SUM(O102:$S102) = 1, SUM(O102:$S102) = -1) * O$29</f>
        <v>0</v>
      </c>
      <c r="P214" s="101">
        <f>OR(SUM(P102:$S102) = 1, SUM(P102:$S102) = -1) * P$29</f>
        <v>0</v>
      </c>
      <c r="Q214" s="101">
        <f>OR(SUM(Q102:$S102) = 1, SUM(Q102:$S102) = -1) * Q$29</f>
        <v>0</v>
      </c>
      <c r="R214" s="101">
        <f>OR(SUM(R102:$S102) = 1, SUM(R102:$S102) = -1) * R$29</f>
        <v>1.0569999999999999</v>
      </c>
      <c r="S214" s="101">
        <f>OR(SUM(S102:$S102) = 1, SUM(S102:$S102) = -1) * S$29</f>
        <v>0</v>
      </c>
      <c r="T214" s="79"/>
      <c r="U214" s="79"/>
    </row>
    <row r="215" spans="6:21" x14ac:dyDescent="0.25">
      <c r="F215" s="28" t="s">
        <v>169</v>
      </c>
      <c r="G215" s="72" t="s">
        <v>342</v>
      </c>
      <c r="H215" s="101">
        <f t="shared" si="71"/>
        <v>1.0900000000000001</v>
      </c>
      <c r="J215" s="101">
        <f>OR(SUM(J103:$S103) = 1, SUM(J103:$S103) = -1) * J$29</f>
        <v>0</v>
      </c>
      <c r="K215" s="101">
        <f>OR(SUM(K103:$S103) = 1, SUM(K103:$S103) = -1) * K$29</f>
        <v>0</v>
      </c>
      <c r="L215" s="101">
        <f>OR(SUM(L103:$S103) = 1, SUM(L103:$S103) = -1) * L$29</f>
        <v>0</v>
      </c>
      <c r="M215" s="101">
        <f>OR(SUM(M103:$S103) = 1, SUM(M103:$S103) = -1) * M$29</f>
        <v>0</v>
      </c>
      <c r="N215" s="101">
        <f>OR(SUM(N103:$S103) = 1, SUM(N103:$S103) = -1) * N$29</f>
        <v>0</v>
      </c>
      <c r="O215" s="101">
        <f>OR(SUM(O103:$S103) = 1, SUM(O103:$S103) = -1) * O$29</f>
        <v>0</v>
      </c>
      <c r="P215" s="101">
        <f>OR(SUM(P103:$S103) = 1, SUM(P103:$S103) = -1) * P$29</f>
        <v>0</v>
      </c>
      <c r="Q215" s="101">
        <f>OR(SUM(Q103:$S103) = 1, SUM(Q103:$S103) = -1) * Q$29</f>
        <v>0</v>
      </c>
      <c r="R215" s="101">
        <f>OR(SUM(R103:$S103) = 1, SUM(R103:$S103) = -1) * R$29</f>
        <v>0</v>
      </c>
      <c r="S215" s="101">
        <f>OR(SUM(S103:$S103) = 1, SUM(S103:$S103) = -1) * S$29</f>
        <v>1.0900000000000001</v>
      </c>
      <c r="T215" s="79"/>
      <c r="U215" s="79"/>
    </row>
    <row r="216" spans="6:21" x14ac:dyDescent="0.25">
      <c r="F216" s="28" t="s">
        <v>170</v>
      </c>
      <c r="G216" s="72" t="s">
        <v>342</v>
      </c>
      <c r="H216" s="101">
        <f t="shared" si="71"/>
        <v>1.0900000000000001</v>
      </c>
      <c r="J216" s="101">
        <f>OR(SUM(J104:$S104) = 1, SUM(J104:$S104) = -1) * J$29</f>
        <v>0</v>
      </c>
      <c r="K216" s="101">
        <f>OR(SUM(K104:$S104) = 1, SUM(K104:$S104) = -1) * K$29</f>
        <v>0</v>
      </c>
      <c r="L216" s="101">
        <f>OR(SUM(L104:$S104) = 1, SUM(L104:$S104) = -1) * L$29</f>
        <v>0</v>
      </c>
      <c r="M216" s="101">
        <f>OR(SUM(M104:$S104) = 1, SUM(M104:$S104) = -1) * M$29</f>
        <v>0</v>
      </c>
      <c r="N216" s="101">
        <f>OR(SUM(N104:$S104) = 1, SUM(N104:$S104) = -1) * N$29</f>
        <v>0</v>
      </c>
      <c r="O216" s="101">
        <f>OR(SUM(O104:$S104) = 1, SUM(O104:$S104) = -1) * O$29</f>
        <v>0</v>
      </c>
      <c r="P216" s="101">
        <f>OR(SUM(P104:$S104) = 1, SUM(P104:$S104) = -1) * P$29</f>
        <v>0</v>
      </c>
      <c r="Q216" s="101">
        <f>OR(SUM(Q104:$S104) = 1, SUM(Q104:$S104) = -1) * Q$29</f>
        <v>0</v>
      </c>
      <c r="R216" s="101">
        <f>OR(SUM(R104:$S104) = 1, SUM(R104:$S104) = -1) * R$29</f>
        <v>0</v>
      </c>
      <c r="S216" s="101">
        <f>OR(SUM(S104:$S104) = 1, SUM(S104:$S104) = -1) * S$29</f>
        <v>1.0900000000000001</v>
      </c>
      <c r="T216" s="79"/>
      <c r="U216" s="79"/>
    </row>
    <row r="217" spans="6:21" x14ac:dyDescent="0.25">
      <c r="F217" s="28" t="s">
        <v>171</v>
      </c>
      <c r="G217" s="72" t="s">
        <v>342</v>
      </c>
      <c r="H217" s="101">
        <f t="shared" si="71"/>
        <v>1.0900000000000001</v>
      </c>
      <c r="J217" s="101">
        <f>OR(SUM(J105:$S105) = 1, SUM(J105:$S105) = -1) * J$29</f>
        <v>0</v>
      </c>
      <c r="K217" s="101">
        <f>OR(SUM(K105:$S105) = 1, SUM(K105:$S105) = -1) * K$29</f>
        <v>0</v>
      </c>
      <c r="L217" s="101">
        <f>OR(SUM(L105:$S105) = 1, SUM(L105:$S105) = -1) * L$29</f>
        <v>0</v>
      </c>
      <c r="M217" s="101">
        <f>OR(SUM(M105:$S105) = 1, SUM(M105:$S105) = -1) * M$29</f>
        <v>0</v>
      </c>
      <c r="N217" s="101">
        <f>OR(SUM(N105:$S105) = 1, SUM(N105:$S105) = -1) * N$29</f>
        <v>0</v>
      </c>
      <c r="O217" s="101">
        <f>OR(SUM(O105:$S105) = 1, SUM(O105:$S105) = -1) * O$29</f>
        <v>0</v>
      </c>
      <c r="P217" s="101">
        <f>OR(SUM(P105:$S105) = 1, SUM(P105:$S105) = -1) * P$29</f>
        <v>0</v>
      </c>
      <c r="Q217" s="101">
        <f>OR(SUM(Q105:$S105) = 1, SUM(Q105:$S105) = -1) * Q$29</f>
        <v>0</v>
      </c>
      <c r="R217" s="101">
        <f>OR(SUM(R105:$S105) = 1, SUM(R105:$S105) = -1) * R$29</f>
        <v>0</v>
      </c>
      <c r="S217" s="101">
        <f>OR(SUM(S105:$S105) = 1, SUM(S105:$S105) = -1) * S$29</f>
        <v>1.0900000000000001</v>
      </c>
      <c r="T217" s="79"/>
      <c r="U217" s="79"/>
    </row>
    <row r="218" spans="6:21" x14ac:dyDescent="0.25">
      <c r="F218" s="28" t="s">
        <v>172</v>
      </c>
      <c r="G218" s="72" t="s">
        <v>342</v>
      </c>
      <c r="H218" s="101">
        <f t="shared" si="71"/>
        <v>1.0900000000000001</v>
      </c>
      <c r="J218" s="101">
        <f>OR(SUM(J106:$S106) = 1, SUM(J106:$S106) = -1) * J$29</f>
        <v>0</v>
      </c>
      <c r="K218" s="101">
        <f>OR(SUM(K106:$S106) = 1, SUM(K106:$S106) = -1) * K$29</f>
        <v>0</v>
      </c>
      <c r="L218" s="101">
        <f>OR(SUM(L106:$S106) = 1, SUM(L106:$S106) = -1) * L$29</f>
        <v>0</v>
      </c>
      <c r="M218" s="101">
        <f>OR(SUM(M106:$S106) = 1, SUM(M106:$S106) = -1) * M$29</f>
        <v>0</v>
      </c>
      <c r="N218" s="101">
        <f>OR(SUM(N106:$S106) = 1, SUM(N106:$S106) = -1) * N$29</f>
        <v>0</v>
      </c>
      <c r="O218" s="101">
        <f>OR(SUM(O106:$S106) = 1, SUM(O106:$S106) = -1) * O$29</f>
        <v>0</v>
      </c>
      <c r="P218" s="101">
        <f>OR(SUM(P106:$S106) = 1, SUM(P106:$S106) = -1) * P$29</f>
        <v>0</v>
      </c>
      <c r="Q218" s="101">
        <f>OR(SUM(Q106:$S106) = 1, SUM(Q106:$S106) = -1) * Q$29</f>
        <v>0</v>
      </c>
      <c r="R218" s="101">
        <f>OR(SUM(R106:$S106) = 1, SUM(R106:$S106) = -1) * R$29</f>
        <v>0</v>
      </c>
      <c r="S218" s="101">
        <f>OR(SUM(S106:$S106) = 1, SUM(S106:$S106) = -1) * S$29</f>
        <v>1.0900000000000001</v>
      </c>
      <c r="T218" s="79"/>
      <c r="U218" s="79"/>
    </row>
    <row r="219" spans="6:21" x14ac:dyDescent="0.25">
      <c r="F219" s="28" t="s">
        <v>173</v>
      </c>
      <c r="G219" s="72" t="s">
        <v>342</v>
      </c>
      <c r="H219" s="101">
        <f t="shared" si="71"/>
        <v>1.0569999999999999</v>
      </c>
      <c r="J219" s="101">
        <f>OR(SUM(J107:$S107) = 1, SUM(J107:$S107) = -1) * J$29</f>
        <v>0</v>
      </c>
      <c r="K219" s="101">
        <f>OR(SUM(K107:$S107) = 1, SUM(K107:$S107) = -1) * K$29</f>
        <v>0</v>
      </c>
      <c r="L219" s="101">
        <f>OR(SUM(L107:$S107) = 1, SUM(L107:$S107) = -1) * L$29</f>
        <v>0</v>
      </c>
      <c r="M219" s="101">
        <f>OR(SUM(M107:$S107) = 1, SUM(M107:$S107) = -1) * M$29</f>
        <v>0</v>
      </c>
      <c r="N219" s="101">
        <f>OR(SUM(N107:$S107) = 1, SUM(N107:$S107) = -1) * N$29</f>
        <v>0</v>
      </c>
      <c r="O219" s="101">
        <f>OR(SUM(O107:$S107) = 1, SUM(O107:$S107) = -1) * O$29</f>
        <v>0</v>
      </c>
      <c r="P219" s="101">
        <f>OR(SUM(P107:$S107) = 1, SUM(P107:$S107) = -1) * P$29</f>
        <v>0</v>
      </c>
      <c r="Q219" s="101">
        <f>OR(SUM(Q107:$S107) = 1, SUM(Q107:$S107) = -1) * Q$29</f>
        <v>0</v>
      </c>
      <c r="R219" s="101">
        <f>OR(SUM(R107:$S107) = 1, SUM(R107:$S107) = -1) * R$29</f>
        <v>1.0569999999999999</v>
      </c>
      <c r="S219" s="101">
        <f>OR(SUM(S107:$S107) = 1, SUM(S107:$S107) = -1) * S$29</f>
        <v>0</v>
      </c>
      <c r="T219" s="79"/>
      <c r="U219" s="79"/>
    </row>
    <row r="220" spans="6:21" x14ac:dyDescent="0.25">
      <c r="F220" s="28" t="s">
        <v>174</v>
      </c>
      <c r="G220" s="72" t="s">
        <v>342</v>
      </c>
      <c r="H220" s="101">
        <f t="shared" si="71"/>
        <v>1.0569999999999999</v>
      </c>
      <c r="J220" s="101">
        <f>OR(SUM(J108:$S108) = 1, SUM(J108:$S108) = -1) * J$29</f>
        <v>0</v>
      </c>
      <c r="K220" s="101">
        <f>OR(SUM(K108:$S108) = 1, SUM(K108:$S108) = -1) * K$29</f>
        <v>0</v>
      </c>
      <c r="L220" s="101">
        <f>OR(SUM(L108:$S108) = 1, SUM(L108:$S108) = -1) * L$29</f>
        <v>0</v>
      </c>
      <c r="M220" s="101">
        <f>OR(SUM(M108:$S108) = 1, SUM(M108:$S108) = -1) * M$29</f>
        <v>0</v>
      </c>
      <c r="N220" s="101">
        <f>OR(SUM(N108:$S108) = 1, SUM(N108:$S108) = -1) * N$29</f>
        <v>0</v>
      </c>
      <c r="O220" s="101">
        <f>OR(SUM(O108:$S108) = 1, SUM(O108:$S108) = -1) * O$29</f>
        <v>0</v>
      </c>
      <c r="P220" s="101">
        <f>OR(SUM(P108:$S108) = 1, SUM(P108:$S108) = -1) * P$29</f>
        <v>0</v>
      </c>
      <c r="Q220" s="101">
        <f>OR(SUM(Q108:$S108) = 1, SUM(Q108:$S108) = -1) * Q$29</f>
        <v>0</v>
      </c>
      <c r="R220" s="101">
        <f>OR(SUM(R108:$S108) = 1, SUM(R108:$S108) = -1) * R$29</f>
        <v>1.0569999999999999</v>
      </c>
      <c r="S220" s="101">
        <f>OR(SUM(S108:$S108) = 1, SUM(S108:$S108) = -1) * S$29</f>
        <v>0</v>
      </c>
      <c r="T220" s="79"/>
      <c r="U220" s="79"/>
    </row>
    <row r="221" spans="6:21" x14ac:dyDescent="0.25">
      <c r="F221" s="28" t="s">
        <v>175</v>
      </c>
      <c r="G221" s="72" t="s">
        <v>342</v>
      </c>
      <c r="H221" s="101">
        <f t="shared" si="71"/>
        <v>1.0569999999999999</v>
      </c>
      <c r="J221" s="101">
        <f>OR(SUM(J109:$S109) = 1, SUM(J109:$S109) = -1) * J$29</f>
        <v>0</v>
      </c>
      <c r="K221" s="101">
        <f>OR(SUM(K109:$S109) = 1, SUM(K109:$S109) = -1) * K$29</f>
        <v>0</v>
      </c>
      <c r="L221" s="101">
        <f>OR(SUM(L109:$S109) = 1, SUM(L109:$S109) = -1) * L$29</f>
        <v>0</v>
      </c>
      <c r="M221" s="101">
        <f>OR(SUM(M109:$S109) = 1, SUM(M109:$S109) = -1) * M$29</f>
        <v>0</v>
      </c>
      <c r="N221" s="101">
        <f>OR(SUM(N109:$S109) = 1, SUM(N109:$S109) = -1) * N$29</f>
        <v>0</v>
      </c>
      <c r="O221" s="101">
        <f>OR(SUM(O109:$S109) = 1, SUM(O109:$S109) = -1) * O$29</f>
        <v>0</v>
      </c>
      <c r="P221" s="101">
        <f>OR(SUM(P109:$S109) = 1, SUM(P109:$S109) = -1) * P$29</f>
        <v>0</v>
      </c>
      <c r="Q221" s="101">
        <f>OR(SUM(Q109:$S109) = 1, SUM(Q109:$S109) = -1) * Q$29</f>
        <v>0</v>
      </c>
      <c r="R221" s="101">
        <f>OR(SUM(R109:$S109) = 1, SUM(R109:$S109) = -1) * R$29</f>
        <v>1.0569999999999999</v>
      </c>
      <c r="S221" s="101">
        <f>OR(SUM(S109:$S109) = 1, SUM(S109:$S109) = -1) * S$29</f>
        <v>0</v>
      </c>
      <c r="T221" s="79"/>
      <c r="U221" s="79"/>
    </row>
    <row r="222" spans="6:21" x14ac:dyDescent="0.25">
      <c r="F222" s="28" t="s">
        <v>176</v>
      </c>
      <c r="G222" s="72" t="s">
        <v>342</v>
      </c>
      <c r="H222" s="101">
        <f t="shared" si="71"/>
        <v>1.0569999999999999</v>
      </c>
      <c r="J222" s="101">
        <f>OR(SUM(J110:$S110) = 1, SUM(J110:$S110) = -1) * J$29</f>
        <v>0</v>
      </c>
      <c r="K222" s="101">
        <f>OR(SUM(K110:$S110) = 1, SUM(K110:$S110) = -1) * K$29</f>
        <v>0</v>
      </c>
      <c r="L222" s="101">
        <f>OR(SUM(L110:$S110) = 1, SUM(L110:$S110) = -1) * L$29</f>
        <v>0</v>
      </c>
      <c r="M222" s="101">
        <f>OR(SUM(M110:$S110) = 1, SUM(M110:$S110) = -1) * M$29</f>
        <v>0</v>
      </c>
      <c r="N222" s="101">
        <f>OR(SUM(N110:$S110) = 1, SUM(N110:$S110) = -1) * N$29</f>
        <v>0</v>
      </c>
      <c r="O222" s="101">
        <f>OR(SUM(O110:$S110) = 1, SUM(O110:$S110) = -1) * O$29</f>
        <v>0</v>
      </c>
      <c r="P222" s="101">
        <f>OR(SUM(P110:$S110) = 1, SUM(P110:$S110) = -1) * P$29</f>
        <v>0</v>
      </c>
      <c r="Q222" s="101">
        <f>OR(SUM(Q110:$S110) = 1, SUM(Q110:$S110) = -1) * Q$29</f>
        <v>0</v>
      </c>
      <c r="R222" s="101">
        <f>OR(SUM(R110:$S110) = 1, SUM(R110:$S110) = -1) * R$29</f>
        <v>1.0569999999999999</v>
      </c>
      <c r="S222" s="101">
        <f>OR(SUM(S110:$S110) = 1, SUM(S110:$S110) = -1) * S$29</f>
        <v>0</v>
      </c>
      <c r="T222" s="79"/>
      <c r="U222" s="79"/>
    </row>
    <row r="223" spans="6:21" x14ac:dyDescent="0.25">
      <c r="F223" s="28" t="s">
        <v>177</v>
      </c>
      <c r="G223" s="72" t="s">
        <v>342</v>
      </c>
      <c r="H223" s="101">
        <f t="shared" si="71"/>
        <v>1.0349999999999999</v>
      </c>
      <c r="J223" s="101">
        <f>OR(SUM(J111:$S111) = 1, SUM(J111:$S111) = -1) * J$29</f>
        <v>0</v>
      </c>
      <c r="K223" s="101">
        <f>OR(SUM(K111:$S111) = 1, SUM(K111:$S111) = -1) * K$29</f>
        <v>0</v>
      </c>
      <c r="L223" s="101">
        <f>OR(SUM(L111:$S111) = 1, SUM(L111:$S111) = -1) * L$29</f>
        <v>0</v>
      </c>
      <c r="M223" s="101">
        <f>OR(SUM(M111:$S111) = 1, SUM(M111:$S111) = -1) * M$29</f>
        <v>0</v>
      </c>
      <c r="N223" s="101">
        <f>OR(SUM(N111:$S111) = 1, SUM(N111:$S111) = -1) * N$29</f>
        <v>0</v>
      </c>
      <c r="O223" s="101">
        <f>OR(SUM(O111:$S111) = 1, SUM(O111:$S111) = -1) * O$29</f>
        <v>0</v>
      </c>
      <c r="P223" s="101">
        <f>OR(SUM(P111:$S111) = 1, SUM(P111:$S111) = -1) * P$29</f>
        <v>1.026</v>
      </c>
      <c r="Q223" s="101">
        <f>OR(SUM(Q111:$S111) = 1, SUM(Q111:$S111) = -1) * Q$29</f>
        <v>1.0349999999999999</v>
      </c>
      <c r="R223" s="101">
        <f>OR(SUM(R111:$S111) = 1, SUM(R111:$S111) = -1) * R$29</f>
        <v>0</v>
      </c>
      <c r="S223" s="101">
        <f>OR(SUM(S111:$S111) = 1, SUM(S111:$S111) = -1) * S$29</f>
        <v>0</v>
      </c>
      <c r="T223" s="79"/>
      <c r="U223" s="79"/>
    </row>
    <row r="224" spans="6:21" x14ac:dyDescent="0.25">
      <c r="F224" s="28" t="s">
        <v>178</v>
      </c>
      <c r="G224" s="72" t="s">
        <v>342</v>
      </c>
      <c r="H224" s="101">
        <f t="shared" si="71"/>
        <v>1.0349999999999999</v>
      </c>
      <c r="J224" s="101">
        <f>OR(SUM(J112:$S112) = 1, SUM(J112:$S112) = -1) * J$29</f>
        <v>0</v>
      </c>
      <c r="K224" s="101">
        <f>OR(SUM(K112:$S112) = 1, SUM(K112:$S112) = -1) * K$29</f>
        <v>0</v>
      </c>
      <c r="L224" s="101">
        <f>OR(SUM(L112:$S112) = 1, SUM(L112:$S112) = -1) * L$29</f>
        <v>0</v>
      </c>
      <c r="M224" s="101">
        <f>OR(SUM(M112:$S112) = 1, SUM(M112:$S112) = -1) * M$29</f>
        <v>0</v>
      </c>
      <c r="N224" s="101">
        <f>OR(SUM(N112:$S112) = 1, SUM(N112:$S112) = -1) * N$29</f>
        <v>0</v>
      </c>
      <c r="O224" s="101">
        <f>OR(SUM(O112:$S112) = 1, SUM(O112:$S112) = -1) * O$29</f>
        <v>0</v>
      </c>
      <c r="P224" s="101">
        <f>OR(SUM(P112:$S112) = 1, SUM(P112:$S112) = -1) * P$29</f>
        <v>1.026</v>
      </c>
      <c r="Q224" s="101">
        <f>OR(SUM(Q112:$S112) = 1, SUM(Q112:$S112) = -1) * Q$29</f>
        <v>1.0349999999999999</v>
      </c>
      <c r="R224" s="101">
        <f>OR(SUM(R112:$S112) = 1, SUM(R112:$S112) = -1) * R$29</f>
        <v>0</v>
      </c>
      <c r="S224" s="101">
        <f>OR(SUM(S112:$S112) = 1, SUM(S112:$S112) = -1) * S$29</f>
        <v>0</v>
      </c>
      <c r="T224" s="79"/>
      <c r="U224" s="79"/>
    </row>
    <row r="225" spans="5:23" x14ac:dyDescent="0.25">
      <c r="F225" s="28" t="s">
        <v>179</v>
      </c>
      <c r="G225" s="72" t="s">
        <v>342</v>
      </c>
      <c r="H225" s="101">
        <f t="shared" si="71"/>
        <v>1.0349999999999999</v>
      </c>
      <c r="J225" s="101">
        <f>OR(SUM(J113:$S113) = 1, SUM(J113:$S113) = -1) * J$29</f>
        <v>0</v>
      </c>
      <c r="K225" s="101">
        <f>OR(SUM(K113:$S113) = 1, SUM(K113:$S113) = -1) * K$29</f>
        <v>0</v>
      </c>
      <c r="L225" s="101">
        <f>OR(SUM(L113:$S113) = 1, SUM(L113:$S113) = -1) * L$29</f>
        <v>0</v>
      </c>
      <c r="M225" s="101">
        <f>OR(SUM(M113:$S113) = 1, SUM(M113:$S113) = -1) * M$29</f>
        <v>0</v>
      </c>
      <c r="N225" s="101">
        <f>OR(SUM(N113:$S113) = 1, SUM(N113:$S113) = -1) * N$29</f>
        <v>0</v>
      </c>
      <c r="O225" s="101">
        <f>OR(SUM(O113:$S113) = 1, SUM(O113:$S113) = -1) * O$29</f>
        <v>0</v>
      </c>
      <c r="P225" s="101">
        <f>OR(SUM(P113:$S113) = 1, SUM(P113:$S113) = -1) * P$29</f>
        <v>1.026</v>
      </c>
      <c r="Q225" s="101">
        <f>OR(SUM(Q113:$S113) = 1, SUM(Q113:$S113) = -1) * Q$29</f>
        <v>1.0349999999999999</v>
      </c>
      <c r="R225" s="101">
        <f>OR(SUM(R113:$S113) = 1, SUM(R113:$S113) = -1) * R$29</f>
        <v>0</v>
      </c>
      <c r="S225" s="101">
        <f>OR(SUM(S113:$S113) = 1, SUM(S113:$S113) = -1) * S$29</f>
        <v>0</v>
      </c>
      <c r="T225" s="79"/>
      <c r="U225" s="79"/>
    </row>
    <row r="226" spans="5:23" x14ac:dyDescent="0.25">
      <c r="F226" s="67" t="s">
        <v>180</v>
      </c>
      <c r="G226" s="80" t="s">
        <v>342</v>
      </c>
      <c r="H226" s="103">
        <f t="shared" si="71"/>
        <v>1.0349999999999999</v>
      </c>
      <c r="I226" s="37"/>
      <c r="J226" s="103">
        <f>OR(SUM(J114:$S114) = 1, SUM(J114:$S114) = -1) * J$29</f>
        <v>0</v>
      </c>
      <c r="K226" s="103">
        <f>OR(SUM(K114:$S114) = 1, SUM(K114:$S114) = -1) * K$29</f>
        <v>0</v>
      </c>
      <c r="L226" s="103">
        <f>OR(SUM(L114:$S114) = 1, SUM(L114:$S114) = -1) * L$29</f>
        <v>0</v>
      </c>
      <c r="M226" s="103">
        <f>OR(SUM(M114:$S114) = 1, SUM(M114:$S114) = -1) * M$29</f>
        <v>0</v>
      </c>
      <c r="N226" s="103">
        <f>OR(SUM(N114:$S114) = 1, SUM(N114:$S114) = -1) * N$29</f>
        <v>0</v>
      </c>
      <c r="O226" s="103">
        <f>OR(SUM(O114:$S114) = 1, SUM(O114:$S114) = -1) * O$29</f>
        <v>0</v>
      </c>
      <c r="P226" s="103">
        <f>OR(SUM(P114:$S114) = 1, SUM(P114:$S114) = -1) * P$29</f>
        <v>1.026</v>
      </c>
      <c r="Q226" s="103">
        <f>OR(SUM(Q114:$S114) = 1, SUM(Q114:$S114) = -1) * Q$29</f>
        <v>1.0349999999999999</v>
      </c>
      <c r="R226" s="103">
        <f>OR(SUM(R114:$S114) = 1, SUM(R114:$S114) = -1) * R$29</f>
        <v>0</v>
      </c>
      <c r="S226" s="103">
        <f>OR(SUM(S114:$S114) = 1, SUM(S114:$S114) = -1) * S$29</f>
        <v>0</v>
      </c>
      <c r="T226" s="81"/>
      <c r="U226" s="81"/>
    </row>
    <row r="227" spans="5:23" x14ac:dyDescent="0.25">
      <c r="G227" s="13"/>
    </row>
    <row r="228" spans="5:23" x14ac:dyDescent="0.25">
      <c r="E228" s="32" t="s">
        <v>468</v>
      </c>
      <c r="G228" s="13"/>
      <c r="I228" t="s">
        <v>190</v>
      </c>
      <c r="W228" s="3" t="s">
        <v>469</v>
      </c>
    </row>
    <row r="229" spans="5:23" x14ac:dyDescent="0.25">
      <c r="E229" s="29" t="s">
        <v>461</v>
      </c>
      <c r="G229" s="13"/>
    </row>
    <row r="230" spans="5:23" x14ac:dyDescent="0.25">
      <c r="F230" s="64" t="s">
        <v>148</v>
      </c>
      <c r="G230" s="78" t="s">
        <v>342</v>
      </c>
      <c r="H230" s="132"/>
      <c r="I230" s="23"/>
      <c r="J230" s="104">
        <f>$H194 * J155</f>
        <v>1.0900000000000001</v>
      </c>
      <c r="K230" s="104">
        <f t="shared" ref="K230:S230" si="72">$H194 * K155</f>
        <v>1.0900000000000001</v>
      </c>
      <c r="L230" s="104">
        <f t="shared" si="72"/>
        <v>1.0900000000000001</v>
      </c>
      <c r="M230" s="104">
        <f t="shared" si="72"/>
        <v>1.0900000000000001</v>
      </c>
      <c r="N230" s="104">
        <f t="shared" si="72"/>
        <v>1.0900000000000001</v>
      </c>
      <c r="O230" s="104">
        <f t="shared" si="72"/>
        <v>1.0900000000000001</v>
      </c>
      <c r="P230" s="104">
        <f t="shared" si="72"/>
        <v>0</v>
      </c>
      <c r="Q230" s="104">
        <f t="shared" si="72"/>
        <v>1.0900000000000001</v>
      </c>
      <c r="R230" s="104">
        <f t="shared" si="72"/>
        <v>1.0900000000000001</v>
      </c>
      <c r="S230" s="104">
        <f t="shared" si="72"/>
        <v>1.0900000000000001</v>
      </c>
      <c r="T230" s="83"/>
      <c r="U230" s="83"/>
    </row>
    <row r="231" spans="5:23" x14ac:dyDescent="0.25">
      <c r="F231" s="28" t="s">
        <v>149</v>
      </c>
      <c r="G231" s="72" t="s">
        <v>342</v>
      </c>
      <c r="H231" s="63"/>
      <c r="J231" s="124">
        <f t="shared" ref="J231:S231" si="73">$H195 * J156</f>
        <v>1.0900000000000001</v>
      </c>
      <c r="K231" s="124">
        <f t="shared" si="73"/>
        <v>1.0900000000000001</v>
      </c>
      <c r="L231" s="124">
        <f t="shared" si="73"/>
        <v>1.0900000000000001</v>
      </c>
      <c r="M231" s="124">
        <f t="shared" si="73"/>
        <v>1.0900000000000001</v>
      </c>
      <c r="N231" s="124">
        <f t="shared" si="73"/>
        <v>1.0900000000000001</v>
      </c>
      <c r="O231" s="124">
        <f t="shared" si="73"/>
        <v>1.0900000000000001</v>
      </c>
      <c r="P231" s="124">
        <f t="shared" si="73"/>
        <v>0</v>
      </c>
      <c r="Q231" s="124">
        <f t="shared" si="73"/>
        <v>1.0900000000000001</v>
      </c>
      <c r="R231" s="124">
        <f t="shared" si="73"/>
        <v>1.0900000000000001</v>
      </c>
      <c r="S231" s="124">
        <f t="shared" si="73"/>
        <v>1.0900000000000001</v>
      </c>
      <c r="T231" s="79"/>
      <c r="U231" s="79"/>
      <c r="W231" s="3"/>
    </row>
    <row r="232" spans="5:23" x14ac:dyDescent="0.25">
      <c r="F232" s="28" t="s">
        <v>150</v>
      </c>
      <c r="G232" s="72" t="s">
        <v>342</v>
      </c>
      <c r="H232" s="63"/>
      <c r="J232" s="124">
        <f t="shared" ref="J232:S232" si="74">$H196 * J157</f>
        <v>1.0900000000000001</v>
      </c>
      <c r="K232" s="124">
        <f t="shared" si="74"/>
        <v>1.0900000000000001</v>
      </c>
      <c r="L232" s="124">
        <f t="shared" si="74"/>
        <v>1.0900000000000001</v>
      </c>
      <c r="M232" s="124">
        <f t="shared" si="74"/>
        <v>1.0900000000000001</v>
      </c>
      <c r="N232" s="124">
        <f t="shared" si="74"/>
        <v>1.0900000000000001</v>
      </c>
      <c r="O232" s="124">
        <f t="shared" si="74"/>
        <v>1.0900000000000001</v>
      </c>
      <c r="P232" s="124">
        <f t="shared" si="74"/>
        <v>0</v>
      </c>
      <c r="Q232" s="124">
        <f t="shared" si="74"/>
        <v>1.0900000000000001</v>
      </c>
      <c r="R232" s="124">
        <f t="shared" si="74"/>
        <v>1.0900000000000001</v>
      </c>
      <c r="S232" s="124">
        <f t="shared" si="74"/>
        <v>1.0900000000000001</v>
      </c>
      <c r="T232" s="79"/>
      <c r="U232" s="79"/>
      <c r="W232" s="3"/>
    </row>
    <row r="233" spans="5:23" x14ac:dyDescent="0.25">
      <c r="F233" s="28" t="s">
        <v>151</v>
      </c>
      <c r="G233" s="72" t="s">
        <v>342</v>
      </c>
      <c r="H233" s="63"/>
      <c r="J233" s="124">
        <f t="shared" ref="J233:S233" si="75">$H197 * J158</f>
        <v>1.0900000000000001</v>
      </c>
      <c r="K233" s="124">
        <f t="shared" si="75"/>
        <v>1.0900000000000001</v>
      </c>
      <c r="L233" s="124">
        <f t="shared" si="75"/>
        <v>1.0900000000000001</v>
      </c>
      <c r="M233" s="124">
        <f t="shared" si="75"/>
        <v>1.0900000000000001</v>
      </c>
      <c r="N233" s="124">
        <f t="shared" si="75"/>
        <v>1.0900000000000001</v>
      </c>
      <c r="O233" s="124">
        <f t="shared" si="75"/>
        <v>1.0900000000000001</v>
      </c>
      <c r="P233" s="124">
        <f t="shared" si="75"/>
        <v>0</v>
      </c>
      <c r="Q233" s="124">
        <f t="shared" si="75"/>
        <v>1.0900000000000001</v>
      </c>
      <c r="R233" s="124">
        <f t="shared" si="75"/>
        <v>1.0900000000000001</v>
      </c>
      <c r="S233" s="124">
        <f t="shared" si="75"/>
        <v>1.0900000000000001</v>
      </c>
      <c r="T233" s="79"/>
      <c r="U233" s="79"/>
    </row>
    <row r="234" spans="5:23" x14ac:dyDescent="0.25">
      <c r="F234" s="28" t="s">
        <v>152</v>
      </c>
      <c r="G234" s="72" t="s">
        <v>342</v>
      </c>
      <c r="H234" s="63"/>
      <c r="J234" s="124">
        <f t="shared" ref="J234:S234" si="76">$H198 * J159</f>
        <v>1.0900000000000001</v>
      </c>
      <c r="K234" s="124">
        <f t="shared" si="76"/>
        <v>1.0900000000000001</v>
      </c>
      <c r="L234" s="124">
        <f t="shared" si="76"/>
        <v>1.0900000000000001</v>
      </c>
      <c r="M234" s="124">
        <f t="shared" si="76"/>
        <v>1.0900000000000001</v>
      </c>
      <c r="N234" s="124">
        <f t="shared" si="76"/>
        <v>1.0900000000000001</v>
      </c>
      <c r="O234" s="124">
        <f t="shared" si="76"/>
        <v>1.0900000000000001</v>
      </c>
      <c r="P234" s="124">
        <f t="shared" si="76"/>
        <v>0</v>
      </c>
      <c r="Q234" s="124">
        <f t="shared" si="76"/>
        <v>1.0900000000000001</v>
      </c>
      <c r="R234" s="124">
        <f t="shared" si="76"/>
        <v>1.0900000000000001</v>
      </c>
      <c r="S234" s="124">
        <f t="shared" si="76"/>
        <v>1.0900000000000001</v>
      </c>
      <c r="T234" s="79"/>
      <c r="U234" s="79"/>
    </row>
    <row r="235" spans="5:23" x14ac:dyDescent="0.25">
      <c r="F235" s="28" t="s">
        <v>153</v>
      </c>
      <c r="G235" s="72" t="s">
        <v>342</v>
      </c>
      <c r="H235" s="63"/>
      <c r="J235" s="124">
        <f t="shared" ref="J235:S235" si="77">$H199 * J160</f>
        <v>1.0900000000000001</v>
      </c>
      <c r="K235" s="124">
        <f t="shared" si="77"/>
        <v>1.0900000000000001</v>
      </c>
      <c r="L235" s="124">
        <f t="shared" si="77"/>
        <v>1.0900000000000001</v>
      </c>
      <c r="M235" s="124">
        <f t="shared" si="77"/>
        <v>1.0900000000000001</v>
      </c>
      <c r="N235" s="124">
        <f t="shared" si="77"/>
        <v>1.0900000000000001</v>
      </c>
      <c r="O235" s="124">
        <f t="shared" si="77"/>
        <v>1.0900000000000001</v>
      </c>
      <c r="P235" s="124">
        <f t="shared" si="77"/>
        <v>0</v>
      </c>
      <c r="Q235" s="124">
        <f t="shared" si="77"/>
        <v>1.0900000000000001</v>
      </c>
      <c r="R235" s="124">
        <f t="shared" si="77"/>
        <v>1.0900000000000001</v>
      </c>
      <c r="S235" s="124">
        <f t="shared" si="77"/>
        <v>1.0900000000000001</v>
      </c>
      <c r="T235" s="79"/>
      <c r="U235" s="79"/>
    </row>
    <row r="236" spans="5:23" x14ac:dyDescent="0.25">
      <c r="F236" s="28" t="s">
        <v>154</v>
      </c>
      <c r="G236" s="72" t="s">
        <v>342</v>
      </c>
      <c r="H236" s="63"/>
      <c r="J236" s="124">
        <f t="shared" ref="J236:S236" si="78">$H200 * J161</f>
        <v>1.0900000000000001</v>
      </c>
      <c r="K236" s="124">
        <f t="shared" si="78"/>
        <v>1.0900000000000001</v>
      </c>
      <c r="L236" s="124">
        <f t="shared" si="78"/>
        <v>1.0900000000000001</v>
      </c>
      <c r="M236" s="124">
        <f t="shared" si="78"/>
        <v>1.0900000000000001</v>
      </c>
      <c r="N236" s="124">
        <f t="shared" si="78"/>
        <v>1.0900000000000001</v>
      </c>
      <c r="O236" s="124">
        <f t="shared" si="78"/>
        <v>1.0900000000000001</v>
      </c>
      <c r="P236" s="124">
        <f t="shared" si="78"/>
        <v>0</v>
      </c>
      <c r="Q236" s="124">
        <f t="shared" si="78"/>
        <v>1.0900000000000001</v>
      </c>
      <c r="R236" s="124">
        <f t="shared" si="78"/>
        <v>1.0900000000000001</v>
      </c>
      <c r="S236" s="124">
        <f t="shared" si="78"/>
        <v>1.0900000000000001</v>
      </c>
      <c r="T236" s="79"/>
      <c r="U236" s="79"/>
    </row>
    <row r="237" spans="5:23" x14ac:dyDescent="0.25">
      <c r="F237" s="28" t="s">
        <v>155</v>
      </c>
      <c r="G237" s="72" t="s">
        <v>342</v>
      </c>
      <c r="H237" s="63"/>
      <c r="J237" s="124">
        <f t="shared" ref="J237:S237" si="79">$H201 * J162</f>
        <v>1.0569999999999999</v>
      </c>
      <c r="K237" s="124">
        <f t="shared" si="79"/>
        <v>1.0569999999999999</v>
      </c>
      <c r="L237" s="124">
        <f t="shared" si="79"/>
        <v>1.0569999999999999</v>
      </c>
      <c r="M237" s="124">
        <f t="shared" si="79"/>
        <v>1.0569999999999999</v>
      </c>
      <c r="N237" s="124">
        <f t="shared" si="79"/>
        <v>1.0569999999999999</v>
      </c>
      <c r="O237" s="124">
        <f t="shared" si="79"/>
        <v>1.0569999999999999</v>
      </c>
      <c r="P237" s="124">
        <f t="shared" si="79"/>
        <v>0</v>
      </c>
      <c r="Q237" s="124">
        <f t="shared" si="79"/>
        <v>1.0569999999999999</v>
      </c>
      <c r="R237" s="124">
        <f t="shared" si="79"/>
        <v>1.0569999999999999</v>
      </c>
      <c r="S237" s="124">
        <f t="shared" si="79"/>
        <v>0</v>
      </c>
      <c r="T237" s="79"/>
      <c r="U237" s="79"/>
    </row>
    <row r="238" spans="5:23" x14ac:dyDescent="0.25">
      <c r="F238" s="28" t="s">
        <v>156</v>
      </c>
      <c r="G238" s="72" t="s">
        <v>342</v>
      </c>
      <c r="H238" s="63"/>
      <c r="J238" s="124">
        <f t="shared" ref="J238:S238" si="80">$H202 * J163</f>
        <v>1.0349999999999999</v>
      </c>
      <c r="K238" s="124">
        <f t="shared" si="80"/>
        <v>1.0349999999999999</v>
      </c>
      <c r="L238" s="124">
        <f t="shared" si="80"/>
        <v>1.0349999999999999</v>
      </c>
      <c r="M238" s="124">
        <f t="shared" si="80"/>
        <v>1.0349999999999999</v>
      </c>
      <c r="N238" s="124">
        <f t="shared" si="80"/>
        <v>1.0349999999999999</v>
      </c>
      <c r="O238" s="124">
        <f t="shared" si="80"/>
        <v>1.0349999999999999</v>
      </c>
      <c r="P238" s="124">
        <f t="shared" si="80"/>
        <v>0</v>
      </c>
      <c r="Q238" s="124">
        <f t="shared" si="80"/>
        <v>1.0349999999999999</v>
      </c>
      <c r="R238" s="124">
        <f t="shared" si="80"/>
        <v>0</v>
      </c>
      <c r="S238" s="124">
        <f t="shared" si="80"/>
        <v>0</v>
      </c>
      <c r="T238" s="79"/>
      <c r="U238" s="79"/>
    </row>
    <row r="239" spans="5:23" x14ac:dyDescent="0.25">
      <c r="F239" s="28" t="s">
        <v>157</v>
      </c>
      <c r="G239" s="72" t="s">
        <v>342</v>
      </c>
      <c r="H239" s="63"/>
      <c r="J239" s="124">
        <f t="shared" ref="J239:S239" si="81">$H203 * J164</f>
        <v>1.0900000000000001</v>
      </c>
      <c r="K239" s="124">
        <f t="shared" si="81"/>
        <v>1.0900000000000001</v>
      </c>
      <c r="L239" s="124">
        <f t="shared" si="81"/>
        <v>1.0900000000000001</v>
      </c>
      <c r="M239" s="124">
        <f t="shared" si="81"/>
        <v>1.0900000000000001</v>
      </c>
      <c r="N239" s="124">
        <f t="shared" si="81"/>
        <v>1.0900000000000001</v>
      </c>
      <c r="O239" s="124">
        <f t="shared" si="81"/>
        <v>1.0900000000000001</v>
      </c>
      <c r="P239" s="124">
        <f t="shared" si="81"/>
        <v>0</v>
      </c>
      <c r="Q239" s="124">
        <f t="shared" si="81"/>
        <v>1.0900000000000001</v>
      </c>
      <c r="R239" s="124">
        <f t="shared" si="81"/>
        <v>1.0900000000000001</v>
      </c>
      <c r="S239" s="124">
        <f t="shared" si="81"/>
        <v>1.0900000000000001</v>
      </c>
      <c r="T239" s="79"/>
      <c r="U239" s="79"/>
    </row>
    <row r="240" spans="5:23" x14ac:dyDescent="0.25">
      <c r="F240" s="28" t="s">
        <v>158</v>
      </c>
      <c r="G240" s="72" t="s">
        <v>342</v>
      </c>
      <c r="H240" s="63"/>
      <c r="J240" s="124">
        <f t="shared" ref="J240:S240" si="82">$H204 * J165</f>
        <v>1.0900000000000001</v>
      </c>
      <c r="K240" s="124">
        <f t="shared" si="82"/>
        <v>1.0900000000000001</v>
      </c>
      <c r="L240" s="124">
        <f t="shared" si="82"/>
        <v>1.0900000000000001</v>
      </c>
      <c r="M240" s="124">
        <f t="shared" si="82"/>
        <v>1.0900000000000001</v>
      </c>
      <c r="N240" s="124">
        <f t="shared" si="82"/>
        <v>1.0900000000000001</v>
      </c>
      <c r="O240" s="124">
        <f t="shared" si="82"/>
        <v>1.0900000000000001</v>
      </c>
      <c r="P240" s="124">
        <f t="shared" si="82"/>
        <v>0</v>
      </c>
      <c r="Q240" s="124">
        <f t="shared" si="82"/>
        <v>1.0900000000000001</v>
      </c>
      <c r="R240" s="124">
        <f t="shared" si="82"/>
        <v>1.0900000000000001</v>
      </c>
      <c r="S240" s="124">
        <f t="shared" si="82"/>
        <v>1.0900000000000001</v>
      </c>
      <c r="T240" s="79"/>
      <c r="U240" s="79"/>
    </row>
    <row r="241" spans="6:21" x14ac:dyDescent="0.25">
      <c r="F241" s="28" t="s">
        <v>159</v>
      </c>
      <c r="G241" s="72" t="s">
        <v>342</v>
      </c>
      <c r="H241" s="63"/>
      <c r="J241" s="124">
        <f t="shared" ref="J241:S241" si="83">$H205 * J166</f>
        <v>1.0900000000000001</v>
      </c>
      <c r="K241" s="124">
        <f t="shared" si="83"/>
        <v>1.0900000000000001</v>
      </c>
      <c r="L241" s="124">
        <f t="shared" si="83"/>
        <v>1.0900000000000001</v>
      </c>
      <c r="M241" s="124">
        <f t="shared" si="83"/>
        <v>1.0900000000000001</v>
      </c>
      <c r="N241" s="124">
        <f t="shared" si="83"/>
        <v>1.0900000000000001</v>
      </c>
      <c r="O241" s="124">
        <f t="shared" si="83"/>
        <v>1.0900000000000001</v>
      </c>
      <c r="P241" s="124">
        <f t="shared" si="83"/>
        <v>0</v>
      </c>
      <c r="Q241" s="124">
        <f t="shared" si="83"/>
        <v>1.0900000000000001</v>
      </c>
      <c r="R241" s="124">
        <f t="shared" si="83"/>
        <v>1.0900000000000001</v>
      </c>
      <c r="S241" s="124">
        <f t="shared" si="83"/>
        <v>1.0900000000000001</v>
      </c>
      <c r="T241" s="79"/>
      <c r="U241" s="79"/>
    </row>
    <row r="242" spans="6:21" x14ac:dyDescent="0.25">
      <c r="F242" s="28" t="s">
        <v>160</v>
      </c>
      <c r="G242" s="72" t="s">
        <v>342</v>
      </c>
      <c r="H242" s="63"/>
      <c r="J242" s="124">
        <f t="shared" ref="J242:S242" si="84">$H206 * J167</f>
        <v>1.0569999999999999</v>
      </c>
      <c r="K242" s="124">
        <f t="shared" si="84"/>
        <v>1.0569999999999999</v>
      </c>
      <c r="L242" s="124">
        <f t="shared" si="84"/>
        <v>1.0569999999999999</v>
      </c>
      <c r="M242" s="124">
        <f t="shared" si="84"/>
        <v>1.0569999999999999</v>
      </c>
      <c r="N242" s="124">
        <f t="shared" si="84"/>
        <v>1.0569999999999999</v>
      </c>
      <c r="O242" s="124">
        <f t="shared" si="84"/>
        <v>1.0569999999999999</v>
      </c>
      <c r="P242" s="124">
        <f t="shared" si="84"/>
        <v>0</v>
      </c>
      <c r="Q242" s="124">
        <f t="shared" si="84"/>
        <v>1.0569999999999999</v>
      </c>
      <c r="R242" s="124">
        <f t="shared" si="84"/>
        <v>1.0569999999999999</v>
      </c>
      <c r="S242" s="124">
        <f t="shared" si="84"/>
        <v>0</v>
      </c>
      <c r="T242" s="79"/>
      <c r="U242" s="79"/>
    </row>
    <row r="243" spans="6:21" x14ac:dyDescent="0.25">
      <c r="F243" s="28" t="s">
        <v>161</v>
      </c>
      <c r="G243" s="72" t="s">
        <v>342</v>
      </c>
      <c r="H243" s="63"/>
      <c r="J243" s="124">
        <f t="shared" ref="J243:S243" si="85">$H207 * J168</f>
        <v>1.0349999999999999</v>
      </c>
      <c r="K243" s="124">
        <f t="shared" si="85"/>
        <v>1.0349999999999999</v>
      </c>
      <c r="L243" s="124">
        <f t="shared" si="85"/>
        <v>1.0349999999999999</v>
      </c>
      <c r="M243" s="124">
        <f t="shared" si="85"/>
        <v>1.0349999999999999</v>
      </c>
      <c r="N243" s="124">
        <f t="shared" si="85"/>
        <v>1.0349999999999999</v>
      </c>
      <c r="O243" s="124">
        <f t="shared" si="85"/>
        <v>1.0349999999999999</v>
      </c>
      <c r="P243" s="124">
        <f t="shared" si="85"/>
        <v>0</v>
      </c>
      <c r="Q243" s="124">
        <f t="shared" si="85"/>
        <v>1.0349999999999999</v>
      </c>
      <c r="R243" s="124">
        <f t="shared" si="85"/>
        <v>0</v>
      </c>
      <c r="S243" s="124">
        <f t="shared" si="85"/>
        <v>0</v>
      </c>
      <c r="T243" s="79"/>
      <c r="U243" s="79"/>
    </row>
    <row r="244" spans="6:21" x14ac:dyDescent="0.25">
      <c r="F244" s="28" t="s">
        <v>162</v>
      </c>
      <c r="G244" s="72" t="s">
        <v>342</v>
      </c>
      <c r="H244" s="63"/>
      <c r="J244" s="124">
        <f t="shared" ref="J244:S244" si="86">$H208 * J169</f>
        <v>1.0900000000000001</v>
      </c>
      <c r="K244" s="124">
        <f t="shared" si="86"/>
        <v>1.0900000000000001</v>
      </c>
      <c r="L244" s="124">
        <f t="shared" si="86"/>
        <v>1.0900000000000001</v>
      </c>
      <c r="M244" s="124">
        <f t="shared" si="86"/>
        <v>1.0900000000000001</v>
      </c>
      <c r="N244" s="124">
        <f t="shared" si="86"/>
        <v>1.0900000000000001</v>
      </c>
      <c r="O244" s="124">
        <f t="shared" si="86"/>
        <v>1.0900000000000001</v>
      </c>
      <c r="P244" s="124">
        <f t="shared" si="86"/>
        <v>0</v>
      </c>
      <c r="Q244" s="124">
        <f t="shared" si="86"/>
        <v>1.0900000000000001</v>
      </c>
      <c r="R244" s="124">
        <f t="shared" si="86"/>
        <v>1.0900000000000001</v>
      </c>
      <c r="S244" s="124">
        <f t="shared" si="86"/>
        <v>1.0900000000000001</v>
      </c>
      <c r="T244" s="79"/>
      <c r="U244" s="79"/>
    </row>
    <row r="245" spans="6:21" x14ac:dyDescent="0.25">
      <c r="F245" s="28" t="s">
        <v>163</v>
      </c>
      <c r="G245" s="72" t="s">
        <v>342</v>
      </c>
      <c r="H245" s="63"/>
      <c r="J245" s="124">
        <f t="shared" ref="J245:S245" si="87">$H209 * J170</f>
        <v>1.0900000000000001</v>
      </c>
      <c r="K245" s="124">
        <f t="shared" si="87"/>
        <v>1.0900000000000001</v>
      </c>
      <c r="L245" s="124">
        <f t="shared" si="87"/>
        <v>1.0900000000000001</v>
      </c>
      <c r="M245" s="124">
        <f t="shared" si="87"/>
        <v>1.0900000000000001</v>
      </c>
      <c r="N245" s="124">
        <f t="shared" si="87"/>
        <v>1.0900000000000001</v>
      </c>
      <c r="O245" s="124">
        <f t="shared" si="87"/>
        <v>1.0900000000000001</v>
      </c>
      <c r="P245" s="124">
        <f t="shared" si="87"/>
        <v>0</v>
      </c>
      <c r="Q245" s="124">
        <f t="shared" si="87"/>
        <v>1.0900000000000001</v>
      </c>
      <c r="R245" s="124">
        <f t="shared" si="87"/>
        <v>1.0900000000000001</v>
      </c>
      <c r="S245" s="124">
        <f t="shared" si="87"/>
        <v>1.0900000000000001</v>
      </c>
      <c r="T245" s="79"/>
      <c r="U245" s="79"/>
    </row>
    <row r="246" spans="6:21" x14ac:dyDescent="0.25">
      <c r="F246" s="28" t="s">
        <v>164</v>
      </c>
      <c r="G246" s="72" t="s">
        <v>342</v>
      </c>
      <c r="H246" s="63"/>
      <c r="J246" s="124">
        <f t="shared" ref="J246:S246" si="88">$H210 * J171</f>
        <v>1.0900000000000001</v>
      </c>
      <c r="K246" s="124">
        <f t="shared" si="88"/>
        <v>1.0900000000000001</v>
      </c>
      <c r="L246" s="124">
        <f t="shared" si="88"/>
        <v>1.0900000000000001</v>
      </c>
      <c r="M246" s="124">
        <f t="shared" si="88"/>
        <v>1.0900000000000001</v>
      </c>
      <c r="N246" s="124">
        <f t="shared" si="88"/>
        <v>1.0900000000000001</v>
      </c>
      <c r="O246" s="124">
        <f t="shared" si="88"/>
        <v>1.0900000000000001</v>
      </c>
      <c r="P246" s="124">
        <f t="shared" si="88"/>
        <v>0</v>
      </c>
      <c r="Q246" s="124">
        <f t="shared" si="88"/>
        <v>1.0900000000000001</v>
      </c>
      <c r="R246" s="124">
        <f t="shared" si="88"/>
        <v>1.0900000000000001</v>
      </c>
      <c r="S246" s="124">
        <f t="shared" si="88"/>
        <v>1.0900000000000001</v>
      </c>
      <c r="T246" s="79"/>
      <c r="U246" s="79"/>
    </row>
    <row r="247" spans="6:21" x14ac:dyDescent="0.25">
      <c r="F247" s="28" t="s">
        <v>165</v>
      </c>
      <c r="G247" s="72" t="s">
        <v>342</v>
      </c>
      <c r="H247" s="63"/>
      <c r="J247" s="124">
        <f t="shared" ref="J247:S247" si="89">$H211 * J172</f>
        <v>1.0900000000000001</v>
      </c>
      <c r="K247" s="124">
        <f t="shared" si="89"/>
        <v>1.0900000000000001</v>
      </c>
      <c r="L247" s="124">
        <f t="shared" si="89"/>
        <v>1.0900000000000001</v>
      </c>
      <c r="M247" s="124">
        <f t="shared" si="89"/>
        <v>1.0900000000000001</v>
      </c>
      <c r="N247" s="124">
        <f t="shared" si="89"/>
        <v>1.0900000000000001</v>
      </c>
      <c r="O247" s="124">
        <f t="shared" si="89"/>
        <v>1.0900000000000001</v>
      </c>
      <c r="P247" s="124">
        <f t="shared" si="89"/>
        <v>0</v>
      </c>
      <c r="Q247" s="124">
        <f t="shared" si="89"/>
        <v>1.0900000000000001</v>
      </c>
      <c r="R247" s="124">
        <f t="shared" si="89"/>
        <v>1.0900000000000001</v>
      </c>
      <c r="S247" s="124">
        <f t="shared" si="89"/>
        <v>1.0900000000000001</v>
      </c>
      <c r="T247" s="79"/>
      <c r="U247" s="79"/>
    </row>
    <row r="248" spans="6:21" x14ac:dyDescent="0.25">
      <c r="F248" s="28" t="s">
        <v>166</v>
      </c>
      <c r="G248" s="72" t="s">
        <v>342</v>
      </c>
      <c r="H248" s="63"/>
      <c r="J248" s="124">
        <f t="shared" ref="J248:S248" si="90">$H212 * J173</f>
        <v>1.0900000000000001</v>
      </c>
      <c r="K248" s="124">
        <f t="shared" si="90"/>
        <v>1.0900000000000001</v>
      </c>
      <c r="L248" s="124">
        <f t="shared" si="90"/>
        <v>1.0900000000000001</v>
      </c>
      <c r="M248" s="124">
        <f t="shared" si="90"/>
        <v>1.0900000000000001</v>
      </c>
      <c r="N248" s="124">
        <f t="shared" si="90"/>
        <v>1.0900000000000001</v>
      </c>
      <c r="O248" s="124">
        <f t="shared" si="90"/>
        <v>1.0900000000000001</v>
      </c>
      <c r="P248" s="124">
        <f t="shared" si="90"/>
        <v>0</v>
      </c>
      <c r="Q248" s="124">
        <f t="shared" si="90"/>
        <v>1.0900000000000001</v>
      </c>
      <c r="R248" s="124">
        <f t="shared" si="90"/>
        <v>1.0900000000000001</v>
      </c>
      <c r="S248" s="124">
        <f t="shared" si="90"/>
        <v>1.0900000000000001</v>
      </c>
      <c r="T248" s="79"/>
      <c r="U248" s="79"/>
    </row>
    <row r="249" spans="6:21" x14ac:dyDescent="0.25">
      <c r="F249" s="28" t="s">
        <v>167</v>
      </c>
      <c r="G249" s="72" t="s">
        <v>342</v>
      </c>
      <c r="H249" s="63"/>
      <c r="J249" s="124">
        <f t="shared" ref="J249:S249" si="91">$H213 * J174</f>
        <v>-1.0900000000000001</v>
      </c>
      <c r="K249" s="124">
        <f t="shared" si="91"/>
        <v>-1.0900000000000001</v>
      </c>
      <c r="L249" s="124">
        <f t="shared" si="91"/>
        <v>-1.0900000000000001</v>
      </c>
      <c r="M249" s="124">
        <f t="shared" si="91"/>
        <v>-1.0900000000000001</v>
      </c>
      <c r="N249" s="124">
        <f t="shared" si="91"/>
        <v>-1.0900000000000001</v>
      </c>
      <c r="O249" s="124">
        <f t="shared" si="91"/>
        <v>-1.0900000000000001</v>
      </c>
      <c r="P249" s="124">
        <f t="shared" si="91"/>
        <v>0</v>
      </c>
      <c r="Q249" s="124">
        <f t="shared" si="91"/>
        <v>-1.0900000000000001</v>
      </c>
      <c r="R249" s="124">
        <f t="shared" si="91"/>
        <v>-1.0900000000000001</v>
      </c>
      <c r="S249" s="124">
        <f t="shared" si="91"/>
        <v>0</v>
      </c>
      <c r="T249" s="79"/>
      <c r="U249" s="79"/>
    </row>
    <row r="250" spans="6:21" x14ac:dyDescent="0.25">
      <c r="F250" s="28" t="s">
        <v>168</v>
      </c>
      <c r="G250" s="72" t="s">
        <v>342</v>
      </c>
      <c r="H250" s="63"/>
      <c r="J250" s="124">
        <f t="shared" ref="J250:S250" si="92">$H214 * J175</f>
        <v>-1.0569999999999999</v>
      </c>
      <c r="K250" s="124">
        <f t="shared" si="92"/>
        <v>-1.0569999999999999</v>
      </c>
      <c r="L250" s="124">
        <f t="shared" si="92"/>
        <v>-1.0569999999999999</v>
      </c>
      <c r="M250" s="124">
        <f t="shared" si="92"/>
        <v>-1.0569999999999999</v>
      </c>
      <c r="N250" s="124">
        <f t="shared" si="92"/>
        <v>-1.0569999999999999</v>
      </c>
      <c r="O250" s="124">
        <f t="shared" si="92"/>
        <v>-1.0569999999999999</v>
      </c>
      <c r="P250" s="124">
        <f t="shared" si="92"/>
        <v>0</v>
      </c>
      <c r="Q250" s="124">
        <f t="shared" si="92"/>
        <v>-1.0569999999999999</v>
      </c>
      <c r="R250" s="124">
        <f t="shared" si="92"/>
        <v>0</v>
      </c>
      <c r="S250" s="124">
        <f t="shared" si="92"/>
        <v>0</v>
      </c>
      <c r="T250" s="79"/>
      <c r="U250" s="79"/>
    </row>
    <row r="251" spans="6:21" x14ac:dyDescent="0.25">
      <c r="F251" s="28" t="s">
        <v>169</v>
      </c>
      <c r="G251" s="72" t="s">
        <v>342</v>
      </c>
      <c r="H251" s="63"/>
      <c r="J251" s="124">
        <f t="shared" ref="J251:S251" si="93">$H215 * J176</f>
        <v>-1.0900000000000001</v>
      </c>
      <c r="K251" s="124">
        <f t="shared" si="93"/>
        <v>-1.0900000000000001</v>
      </c>
      <c r="L251" s="124">
        <f t="shared" si="93"/>
        <v>-1.0900000000000001</v>
      </c>
      <c r="M251" s="124">
        <f t="shared" si="93"/>
        <v>-1.0900000000000001</v>
      </c>
      <c r="N251" s="124">
        <f t="shared" si="93"/>
        <v>-1.0900000000000001</v>
      </c>
      <c r="O251" s="124">
        <f t="shared" si="93"/>
        <v>-1.0900000000000001</v>
      </c>
      <c r="P251" s="124">
        <f t="shared" si="93"/>
        <v>0</v>
      </c>
      <c r="Q251" s="124">
        <f t="shared" si="93"/>
        <v>-1.0900000000000001</v>
      </c>
      <c r="R251" s="124">
        <f t="shared" si="93"/>
        <v>-1.0900000000000001</v>
      </c>
      <c r="S251" s="124">
        <f t="shared" si="93"/>
        <v>0</v>
      </c>
      <c r="T251" s="79"/>
      <c r="U251" s="79"/>
    </row>
    <row r="252" spans="6:21" x14ac:dyDescent="0.25">
      <c r="F252" s="28" t="s">
        <v>170</v>
      </c>
      <c r="G252" s="72" t="s">
        <v>342</v>
      </c>
      <c r="H252" s="63"/>
      <c r="J252" s="124">
        <f t="shared" ref="J252:S252" si="94">$H216 * J177</f>
        <v>-1.0900000000000001</v>
      </c>
      <c r="K252" s="124">
        <f t="shared" si="94"/>
        <v>-1.0900000000000001</v>
      </c>
      <c r="L252" s="124">
        <f t="shared" si="94"/>
        <v>-1.0900000000000001</v>
      </c>
      <c r="M252" s="124">
        <f t="shared" si="94"/>
        <v>-1.0900000000000001</v>
      </c>
      <c r="N252" s="124">
        <f t="shared" si="94"/>
        <v>-1.0900000000000001</v>
      </c>
      <c r="O252" s="124">
        <f t="shared" si="94"/>
        <v>-1.0900000000000001</v>
      </c>
      <c r="P252" s="124">
        <f t="shared" si="94"/>
        <v>0</v>
      </c>
      <c r="Q252" s="124">
        <f t="shared" si="94"/>
        <v>-1.0900000000000001</v>
      </c>
      <c r="R252" s="124">
        <f t="shared" si="94"/>
        <v>-1.0900000000000001</v>
      </c>
      <c r="S252" s="124">
        <f t="shared" si="94"/>
        <v>0</v>
      </c>
      <c r="T252" s="79"/>
      <c r="U252" s="79"/>
    </row>
    <row r="253" spans="6:21" x14ac:dyDescent="0.25">
      <c r="F253" s="28" t="s">
        <v>171</v>
      </c>
      <c r="G253" s="72" t="s">
        <v>342</v>
      </c>
      <c r="H253" s="63"/>
      <c r="J253" s="124">
        <f t="shared" ref="J253:S253" si="95">$H217 * J178</f>
        <v>-1.0900000000000001</v>
      </c>
      <c r="K253" s="124">
        <f t="shared" si="95"/>
        <v>-1.0900000000000001</v>
      </c>
      <c r="L253" s="124">
        <f t="shared" si="95"/>
        <v>-1.0900000000000001</v>
      </c>
      <c r="M253" s="124">
        <f t="shared" si="95"/>
        <v>-1.0900000000000001</v>
      </c>
      <c r="N253" s="124">
        <f t="shared" si="95"/>
        <v>-1.0900000000000001</v>
      </c>
      <c r="O253" s="124">
        <f t="shared" si="95"/>
        <v>-1.0900000000000001</v>
      </c>
      <c r="P253" s="124">
        <f t="shared" si="95"/>
        <v>0</v>
      </c>
      <c r="Q253" s="124">
        <f t="shared" si="95"/>
        <v>-1.0900000000000001</v>
      </c>
      <c r="R253" s="124">
        <f t="shared" si="95"/>
        <v>-1.0900000000000001</v>
      </c>
      <c r="S253" s="124">
        <f t="shared" si="95"/>
        <v>0</v>
      </c>
      <c r="T253" s="79"/>
      <c r="U253" s="79"/>
    </row>
    <row r="254" spans="6:21" x14ac:dyDescent="0.25">
      <c r="F254" s="28" t="s">
        <v>172</v>
      </c>
      <c r="G254" s="72" t="s">
        <v>342</v>
      </c>
      <c r="H254" s="63"/>
      <c r="J254" s="124">
        <f t="shared" ref="J254:S254" si="96">$H218 * J179</f>
        <v>-1.0900000000000001</v>
      </c>
      <c r="K254" s="124">
        <f t="shared" si="96"/>
        <v>-1.0900000000000001</v>
      </c>
      <c r="L254" s="124">
        <f t="shared" si="96"/>
        <v>-1.0900000000000001</v>
      </c>
      <c r="M254" s="124">
        <f t="shared" si="96"/>
        <v>-1.0900000000000001</v>
      </c>
      <c r="N254" s="124">
        <f t="shared" si="96"/>
        <v>-1.0900000000000001</v>
      </c>
      <c r="O254" s="124">
        <f t="shared" si="96"/>
        <v>-1.0900000000000001</v>
      </c>
      <c r="P254" s="124">
        <f t="shared" si="96"/>
        <v>0</v>
      </c>
      <c r="Q254" s="124">
        <f t="shared" si="96"/>
        <v>-1.0900000000000001</v>
      </c>
      <c r="R254" s="124">
        <f t="shared" si="96"/>
        <v>-1.0900000000000001</v>
      </c>
      <c r="S254" s="124">
        <f t="shared" si="96"/>
        <v>0</v>
      </c>
      <c r="T254" s="79"/>
      <c r="U254" s="79"/>
    </row>
    <row r="255" spans="6:21" x14ac:dyDescent="0.25">
      <c r="F255" s="28" t="s">
        <v>173</v>
      </c>
      <c r="G255" s="72" t="s">
        <v>342</v>
      </c>
      <c r="H255" s="63"/>
      <c r="J255" s="124">
        <f t="shared" ref="J255:S255" si="97">$H219 * J180</f>
        <v>-1.0569999999999999</v>
      </c>
      <c r="K255" s="124">
        <f t="shared" si="97"/>
        <v>-1.0569999999999999</v>
      </c>
      <c r="L255" s="124">
        <f t="shared" si="97"/>
        <v>-1.0569999999999999</v>
      </c>
      <c r="M255" s="124">
        <f t="shared" si="97"/>
        <v>-1.0569999999999999</v>
      </c>
      <c r="N255" s="124">
        <f t="shared" si="97"/>
        <v>-1.0569999999999999</v>
      </c>
      <c r="O255" s="124">
        <f t="shared" si="97"/>
        <v>-1.0569999999999999</v>
      </c>
      <c r="P255" s="124">
        <f t="shared" si="97"/>
        <v>0</v>
      </c>
      <c r="Q255" s="124">
        <f t="shared" si="97"/>
        <v>-1.0569999999999999</v>
      </c>
      <c r="R255" s="124">
        <f t="shared" si="97"/>
        <v>0</v>
      </c>
      <c r="S255" s="124">
        <f t="shared" si="97"/>
        <v>0</v>
      </c>
      <c r="T255" s="79"/>
      <c r="U255" s="79"/>
    </row>
    <row r="256" spans="6:21" x14ac:dyDescent="0.25">
      <c r="F256" s="28" t="s">
        <v>174</v>
      </c>
      <c r="G256" s="72" t="s">
        <v>342</v>
      </c>
      <c r="H256" s="63"/>
      <c r="J256" s="124">
        <f t="shared" ref="J256:S256" si="98">$H220 * J181</f>
        <v>-1.0569999999999999</v>
      </c>
      <c r="K256" s="124">
        <f t="shared" si="98"/>
        <v>-1.0569999999999999</v>
      </c>
      <c r="L256" s="124">
        <f t="shared" si="98"/>
        <v>-1.0569999999999999</v>
      </c>
      <c r="M256" s="124">
        <f t="shared" si="98"/>
        <v>-1.0569999999999999</v>
      </c>
      <c r="N256" s="124">
        <f t="shared" si="98"/>
        <v>-1.0569999999999999</v>
      </c>
      <c r="O256" s="124">
        <f t="shared" si="98"/>
        <v>-1.0569999999999999</v>
      </c>
      <c r="P256" s="124">
        <f t="shared" si="98"/>
        <v>0</v>
      </c>
      <c r="Q256" s="124">
        <f t="shared" si="98"/>
        <v>-1.0569999999999999</v>
      </c>
      <c r="R256" s="124">
        <f t="shared" si="98"/>
        <v>0</v>
      </c>
      <c r="S256" s="124">
        <f t="shared" si="98"/>
        <v>0</v>
      </c>
      <c r="T256" s="79"/>
      <c r="U256" s="79"/>
    </row>
    <row r="257" spans="5:23" x14ac:dyDescent="0.25">
      <c r="F257" s="28" t="s">
        <v>175</v>
      </c>
      <c r="G257" s="72" t="s">
        <v>342</v>
      </c>
      <c r="H257" s="63"/>
      <c r="J257" s="124">
        <f t="shared" ref="J257:S257" si="99">$H221 * J182</f>
        <v>-1.0569999999999999</v>
      </c>
      <c r="K257" s="124">
        <f t="shared" si="99"/>
        <v>-1.0569999999999999</v>
      </c>
      <c r="L257" s="124">
        <f t="shared" si="99"/>
        <v>-1.0569999999999999</v>
      </c>
      <c r="M257" s="124">
        <f t="shared" si="99"/>
        <v>-1.0569999999999999</v>
      </c>
      <c r="N257" s="124">
        <f t="shared" si="99"/>
        <v>-1.0569999999999999</v>
      </c>
      <c r="O257" s="124">
        <f t="shared" si="99"/>
        <v>-1.0569999999999999</v>
      </c>
      <c r="P257" s="124">
        <f t="shared" si="99"/>
        <v>0</v>
      </c>
      <c r="Q257" s="124">
        <f t="shared" si="99"/>
        <v>-1.0569999999999999</v>
      </c>
      <c r="R257" s="124">
        <f t="shared" si="99"/>
        <v>0</v>
      </c>
      <c r="S257" s="124">
        <f t="shared" si="99"/>
        <v>0</v>
      </c>
      <c r="T257" s="79"/>
      <c r="U257" s="79"/>
    </row>
    <row r="258" spans="5:23" x14ac:dyDescent="0.25">
      <c r="F258" s="28" t="s">
        <v>176</v>
      </c>
      <c r="G258" s="72" t="s">
        <v>342</v>
      </c>
      <c r="H258" s="63"/>
      <c r="J258" s="124">
        <f t="shared" ref="J258:S258" si="100">$H222 * J183</f>
        <v>-1.0569999999999999</v>
      </c>
      <c r="K258" s="124">
        <f t="shared" si="100"/>
        <v>-1.0569999999999999</v>
      </c>
      <c r="L258" s="124">
        <f t="shared" si="100"/>
        <v>-1.0569999999999999</v>
      </c>
      <c r="M258" s="124">
        <f t="shared" si="100"/>
        <v>-1.0569999999999999</v>
      </c>
      <c r="N258" s="124">
        <f t="shared" si="100"/>
        <v>-1.0569999999999999</v>
      </c>
      <c r="O258" s="124">
        <f t="shared" si="100"/>
        <v>-1.0569999999999999</v>
      </c>
      <c r="P258" s="124">
        <f t="shared" si="100"/>
        <v>0</v>
      </c>
      <c r="Q258" s="124">
        <f t="shared" si="100"/>
        <v>-1.0569999999999999</v>
      </c>
      <c r="R258" s="124">
        <f t="shared" si="100"/>
        <v>0</v>
      </c>
      <c r="S258" s="124">
        <f t="shared" si="100"/>
        <v>0</v>
      </c>
      <c r="T258" s="79"/>
      <c r="U258" s="79"/>
    </row>
    <row r="259" spans="5:23" x14ac:dyDescent="0.25">
      <c r="F259" s="28" t="s">
        <v>177</v>
      </c>
      <c r="G259" s="72" t="s">
        <v>342</v>
      </c>
      <c r="H259" s="63"/>
      <c r="J259" s="124">
        <f t="shared" ref="J259:S259" si="101">$H223 * J184</f>
        <v>-1.0349999999999999</v>
      </c>
      <c r="K259" s="124">
        <f t="shared" si="101"/>
        <v>-1.0349999999999999</v>
      </c>
      <c r="L259" s="124">
        <f t="shared" si="101"/>
        <v>-1.0349999999999999</v>
      </c>
      <c r="M259" s="124">
        <f t="shared" si="101"/>
        <v>-1.0349999999999999</v>
      </c>
      <c r="N259" s="124">
        <f t="shared" si="101"/>
        <v>-1.0349999999999999</v>
      </c>
      <c r="O259" s="124">
        <f t="shared" si="101"/>
        <v>-1.0349999999999999</v>
      </c>
      <c r="P259" s="124">
        <f t="shared" si="101"/>
        <v>0</v>
      </c>
      <c r="Q259" s="124">
        <f t="shared" si="101"/>
        <v>0</v>
      </c>
      <c r="R259" s="124">
        <f t="shared" si="101"/>
        <v>0</v>
      </c>
      <c r="S259" s="124">
        <f t="shared" si="101"/>
        <v>0</v>
      </c>
      <c r="T259" s="79"/>
      <c r="U259" s="79"/>
    </row>
    <row r="260" spans="5:23" x14ac:dyDescent="0.25">
      <c r="F260" s="28" t="s">
        <v>178</v>
      </c>
      <c r="G260" s="72" t="s">
        <v>342</v>
      </c>
      <c r="H260" s="63"/>
      <c r="J260" s="124">
        <f t="shared" ref="J260:S260" si="102">$H224 * J185</f>
        <v>-1.0349999999999999</v>
      </c>
      <c r="K260" s="124">
        <f t="shared" si="102"/>
        <v>-1.0349999999999999</v>
      </c>
      <c r="L260" s="124">
        <f t="shared" si="102"/>
        <v>-1.0349999999999999</v>
      </c>
      <c r="M260" s="124">
        <f t="shared" si="102"/>
        <v>-1.0349999999999999</v>
      </c>
      <c r="N260" s="124">
        <f t="shared" si="102"/>
        <v>-1.0349999999999999</v>
      </c>
      <c r="O260" s="124">
        <f t="shared" si="102"/>
        <v>-1.0349999999999999</v>
      </c>
      <c r="P260" s="124">
        <f t="shared" si="102"/>
        <v>0</v>
      </c>
      <c r="Q260" s="124">
        <f t="shared" si="102"/>
        <v>0</v>
      </c>
      <c r="R260" s="124">
        <f t="shared" si="102"/>
        <v>0</v>
      </c>
      <c r="S260" s="124">
        <f t="shared" si="102"/>
        <v>0</v>
      </c>
      <c r="T260" s="79"/>
      <c r="U260" s="79"/>
    </row>
    <row r="261" spans="5:23" x14ac:dyDescent="0.25">
      <c r="F261" s="28" t="s">
        <v>179</v>
      </c>
      <c r="G261" s="72" t="s">
        <v>342</v>
      </c>
      <c r="H261" s="63"/>
      <c r="J261" s="124">
        <f t="shared" ref="J261:S261" si="103">$H225 * J186</f>
        <v>-1.0349999999999999</v>
      </c>
      <c r="K261" s="124">
        <f t="shared" si="103"/>
        <v>-1.0349999999999999</v>
      </c>
      <c r="L261" s="124">
        <f t="shared" si="103"/>
        <v>-1.0349999999999999</v>
      </c>
      <c r="M261" s="124">
        <f t="shared" si="103"/>
        <v>-1.0349999999999999</v>
      </c>
      <c r="N261" s="124">
        <f t="shared" si="103"/>
        <v>-1.0349999999999999</v>
      </c>
      <c r="O261" s="124">
        <f t="shared" si="103"/>
        <v>-1.0349999999999999</v>
      </c>
      <c r="P261" s="124">
        <f t="shared" si="103"/>
        <v>0</v>
      </c>
      <c r="Q261" s="124">
        <f t="shared" si="103"/>
        <v>0</v>
      </c>
      <c r="R261" s="124">
        <f t="shared" si="103"/>
        <v>0</v>
      </c>
      <c r="S261" s="124">
        <f t="shared" si="103"/>
        <v>0</v>
      </c>
      <c r="T261" s="79"/>
      <c r="U261" s="79"/>
    </row>
    <row r="262" spans="5:23" x14ac:dyDescent="0.25">
      <c r="F262" s="67" t="s">
        <v>180</v>
      </c>
      <c r="G262" s="80" t="s">
        <v>342</v>
      </c>
      <c r="H262" s="133"/>
      <c r="I262" s="37"/>
      <c r="J262" s="134">
        <f t="shared" ref="J262:S262" si="104">$H226 * J187</f>
        <v>-1.0349999999999999</v>
      </c>
      <c r="K262" s="134">
        <f t="shared" si="104"/>
        <v>-1.0349999999999999</v>
      </c>
      <c r="L262" s="134">
        <f t="shared" si="104"/>
        <v>-1.0349999999999999</v>
      </c>
      <c r="M262" s="134">
        <f t="shared" si="104"/>
        <v>-1.0349999999999999</v>
      </c>
      <c r="N262" s="134">
        <f t="shared" si="104"/>
        <v>-1.0349999999999999</v>
      </c>
      <c r="O262" s="134">
        <f t="shared" si="104"/>
        <v>-1.0349999999999999</v>
      </c>
      <c r="P262" s="134">
        <f t="shared" si="104"/>
        <v>0</v>
      </c>
      <c r="Q262" s="134">
        <f t="shared" si="104"/>
        <v>0</v>
      </c>
      <c r="R262" s="134">
        <f t="shared" si="104"/>
        <v>0</v>
      </c>
      <c r="S262" s="134">
        <f t="shared" si="104"/>
        <v>0</v>
      </c>
      <c r="T262" s="81"/>
      <c r="U262" s="81"/>
    </row>
    <row r="263" spans="5:23" x14ac:dyDescent="0.25">
      <c r="G263" s="13"/>
      <c r="J263" s="92"/>
      <c r="K263" s="92"/>
      <c r="L263" s="92"/>
      <c r="M263" s="92"/>
      <c r="N263" s="92"/>
      <c r="O263" s="92"/>
      <c r="P263" s="92"/>
      <c r="Q263" s="92"/>
      <c r="R263" s="92"/>
      <c r="S263" s="92"/>
      <c r="T263" s="92"/>
      <c r="U263" s="92"/>
    </row>
    <row r="264" spans="5:23" x14ac:dyDescent="0.25">
      <c r="E264" s="32" t="s">
        <v>464</v>
      </c>
      <c r="G264" s="13"/>
      <c r="I264" t="s">
        <v>190</v>
      </c>
      <c r="J264" s="92"/>
      <c r="K264" s="92"/>
      <c r="L264" s="92"/>
      <c r="M264" s="92"/>
      <c r="N264" s="92"/>
      <c r="O264" s="92"/>
      <c r="P264" s="92"/>
      <c r="Q264" s="92"/>
      <c r="R264" s="92"/>
      <c r="S264" s="92"/>
      <c r="T264" s="92"/>
      <c r="U264" s="92"/>
      <c r="W264" s="3" t="s">
        <v>469</v>
      </c>
    </row>
    <row r="265" spans="5:23" x14ac:dyDescent="0.25">
      <c r="E265" s="29" t="s">
        <v>461</v>
      </c>
      <c r="G265" s="13"/>
      <c r="J265" s="92"/>
      <c r="K265" s="92"/>
      <c r="L265" s="92"/>
      <c r="M265" s="92"/>
      <c r="N265" s="92"/>
      <c r="O265" s="92"/>
      <c r="P265" s="92"/>
      <c r="Q265" s="92"/>
      <c r="R265" s="92"/>
      <c r="S265" s="92"/>
      <c r="T265" s="92"/>
      <c r="U265" s="92"/>
    </row>
    <row r="266" spans="5:23" x14ac:dyDescent="0.25">
      <c r="F266" s="64" t="s">
        <v>148</v>
      </c>
      <c r="G266" s="78" t="s">
        <v>342</v>
      </c>
      <c r="H266" s="132"/>
      <c r="I266" s="23"/>
      <c r="J266" s="83"/>
      <c r="K266" s="83"/>
      <c r="L266" s="83"/>
      <c r="M266" s="83"/>
      <c r="N266" s="83"/>
      <c r="O266" s="83"/>
      <c r="P266" s="83"/>
      <c r="Q266" s="83"/>
      <c r="R266" s="83"/>
      <c r="S266" s="83"/>
      <c r="T266" s="83"/>
      <c r="U266" s="83"/>
    </row>
    <row r="267" spans="5:23" x14ac:dyDescent="0.25">
      <c r="F267" s="28" t="s">
        <v>149</v>
      </c>
      <c r="G267" s="72" t="s">
        <v>342</v>
      </c>
      <c r="H267" s="63"/>
      <c r="J267" s="79"/>
      <c r="K267" s="79"/>
      <c r="L267" s="79"/>
      <c r="M267" s="79"/>
      <c r="N267" s="79"/>
      <c r="O267" s="79"/>
      <c r="P267" s="79"/>
      <c r="Q267" s="79"/>
      <c r="R267" s="79"/>
      <c r="S267" s="79"/>
      <c r="T267" s="79"/>
      <c r="U267" s="79"/>
      <c r="W267" s="3"/>
    </row>
    <row r="268" spans="5:23" x14ac:dyDescent="0.25">
      <c r="F268" s="28" t="s">
        <v>150</v>
      </c>
      <c r="G268" s="72" t="s">
        <v>342</v>
      </c>
      <c r="H268" s="63"/>
      <c r="J268" s="79"/>
      <c r="K268" s="79"/>
      <c r="L268" s="79"/>
      <c r="M268" s="79"/>
      <c r="N268" s="79"/>
      <c r="O268" s="79"/>
      <c r="P268" s="79"/>
      <c r="Q268" s="79"/>
      <c r="R268" s="79"/>
      <c r="S268" s="79"/>
      <c r="T268" s="79"/>
      <c r="U268" s="79"/>
      <c r="W268" s="3"/>
    </row>
    <row r="269" spans="5:23" x14ac:dyDescent="0.25">
      <c r="F269" s="28" t="s">
        <v>151</v>
      </c>
      <c r="G269" s="72" t="s">
        <v>342</v>
      </c>
      <c r="H269" s="63"/>
      <c r="J269" s="79"/>
      <c r="K269" s="79"/>
      <c r="L269" s="79"/>
      <c r="M269" s="79"/>
      <c r="N269" s="79"/>
      <c r="O269" s="79"/>
      <c r="P269" s="79"/>
      <c r="Q269" s="79"/>
      <c r="R269" s="79"/>
      <c r="S269" s="79"/>
      <c r="T269" s="79"/>
      <c r="U269" s="79"/>
    </row>
    <row r="270" spans="5:23" x14ac:dyDescent="0.25">
      <c r="F270" s="28" t="s">
        <v>152</v>
      </c>
      <c r="G270" s="72" t="s">
        <v>342</v>
      </c>
      <c r="H270" s="63"/>
      <c r="J270" s="79"/>
      <c r="K270" s="79"/>
      <c r="L270" s="79"/>
      <c r="M270" s="79"/>
      <c r="N270" s="79"/>
      <c r="O270" s="79"/>
      <c r="P270" s="79"/>
      <c r="Q270" s="79"/>
      <c r="R270" s="79"/>
      <c r="S270" s="79"/>
      <c r="T270" s="79"/>
      <c r="U270" s="79"/>
    </row>
    <row r="271" spans="5:23" x14ac:dyDescent="0.25">
      <c r="F271" s="28" t="s">
        <v>153</v>
      </c>
      <c r="G271" s="72" t="s">
        <v>342</v>
      </c>
      <c r="H271" s="63"/>
      <c r="J271" s="79"/>
      <c r="K271" s="79"/>
      <c r="L271" s="79"/>
      <c r="M271" s="79"/>
      <c r="N271" s="79"/>
      <c r="O271" s="79"/>
      <c r="P271" s="79"/>
      <c r="Q271" s="79"/>
      <c r="R271" s="79"/>
      <c r="S271" s="79"/>
      <c r="T271" s="79"/>
      <c r="U271" s="79"/>
    </row>
    <row r="272" spans="5:23" x14ac:dyDescent="0.25">
      <c r="F272" s="28" t="s">
        <v>154</v>
      </c>
      <c r="G272" s="72" t="s">
        <v>342</v>
      </c>
      <c r="H272" s="63"/>
      <c r="J272" s="79"/>
      <c r="K272" s="79"/>
      <c r="L272" s="79"/>
      <c r="M272" s="79"/>
      <c r="N272" s="79"/>
      <c r="O272" s="79"/>
      <c r="P272" s="79"/>
      <c r="Q272" s="79"/>
      <c r="R272" s="79"/>
      <c r="S272" s="79"/>
      <c r="T272" s="79"/>
      <c r="U272" s="79"/>
    </row>
    <row r="273" spans="6:21" x14ac:dyDescent="0.25">
      <c r="F273" s="28" t="s">
        <v>155</v>
      </c>
      <c r="G273" s="72" t="s">
        <v>342</v>
      </c>
      <c r="H273" s="63"/>
      <c r="J273" s="79"/>
      <c r="K273" s="79"/>
      <c r="L273" s="79"/>
      <c r="M273" s="79"/>
      <c r="N273" s="79"/>
      <c r="O273" s="79"/>
      <c r="P273" s="79"/>
      <c r="Q273" s="79"/>
      <c r="R273" s="79"/>
      <c r="S273" s="79"/>
      <c r="T273" s="79"/>
      <c r="U273" s="79"/>
    </row>
    <row r="274" spans="6:21" x14ac:dyDescent="0.25">
      <c r="F274" s="28" t="s">
        <v>156</v>
      </c>
      <c r="G274" s="72" t="s">
        <v>342</v>
      </c>
      <c r="H274" s="63"/>
      <c r="J274" s="79"/>
      <c r="K274" s="79"/>
      <c r="L274" s="79"/>
      <c r="M274" s="79"/>
      <c r="N274" s="79"/>
      <c r="O274" s="79"/>
      <c r="P274" s="79"/>
      <c r="Q274" s="79"/>
      <c r="R274" s="79"/>
      <c r="S274" s="79"/>
      <c r="T274" s="79"/>
      <c r="U274" s="79"/>
    </row>
    <row r="275" spans="6:21" x14ac:dyDescent="0.25">
      <c r="F275" s="28" t="s">
        <v>157</v>
      </c>
      <c r="G275" s="72" t="s">
        <v>342</v>
      </c>
      <c r="H275" s="63"/>
      <c r="J275" s="79"/>
      <c r="K275" s="79"/>
      <c r="L275" s="79"/>
      <c r="M275" s="79"/>
      <c r="N275" s="79"/>
      <c r="O275" s="79"/>
      <c r="P275" s="79"/>
      <c r="Q275" s="79"/>
      <c r="R275" s="79"/>
      <c r="S275" s="79"/>
      <c r="T275" s="79"/>
      <c r="U275" s="79"/>
    </row>
    <row r="276" spans="6:21" x14ac:dyDescent="0.25">
      <c r="F276" s="28" t="s">
        <v>158</v>
      </c>
      <c r="G276" s="72" t="s">
        <v>342</v>
      </c>
      <c r="H276" s="63"/>
      <c r="J276" s="79"/>
      <c r="K276" s="79"/>
      <c r="L276" s="79"/>
      <c r="M276" s="79"/>
      <c r="N276" s="79"/>
      <c r="O276" s="79"/>
      <c r="P276" s="79"/>
      <c r="Q276" s="79"/>
      <c r="R276" s="79"/>
      <c r="S276" s="79"/>
      <c r="T276" s="79"/>
      <c r="U276" s="79"/>
    </row>
    <row r="277" spans="6:21" x14ac:dyDescent="0.25">
      <c r="F277" s="28" t="s">
        <v>159</v>
      </c>
      <c r="G277" s="72" t="s">
        <v>342</v>
      </c>
      <c r="H277" s="63"/>
      <c r="J277" s="79"/>
      <c r="K277" s="79"/>
      <c r="L277" s="79"/>
      <c r="M277" s="79"/>
      <c r="N277" s="79"/>
      <c r="O277" s="79"/>
      <c r="P277" s="79"/>
      <c r="Q277" s="79"/>
      <c r="R277" s="79"/>
      <c r="S277" s="79"/>
      <c r="T277" s="79"/>
      <c r="U277" s="79"/>
    </row>
    <row r="278" spans="6:21" x14ac:dyDescent="0.25">
      <c r="F278" s="28" t="s">
        <v>160</v>
      </c>
      <c r="G278" s="72" t="s">
        <v>342</v>
      </c>
      <c r="H278" s="63"/>
      <c r="J278" s="79"/>
      <c r="K278" s="79"/>
      <c r="L278" s="79"/>
      <c r="M278" s="79"/>
      <c r="N278" s="79"/>
      <c r="O278" s="79"/>
      <c r="P278" s="79"/>
      <c r="Q278" s="79"/>
      <c r="R278" s="79"/>
      <c r="S278" s="79"/>
      <c r="T278" s="79"/>
      <c r="U278" s="79"/>
    </row>
    <row r="279" spans="6:21" x14ac:dyDescent="0.25">
      <c r="F279" s="28" t="s">
        <v>161</v>
      </c>
      <c r="G279" s="72" t="s">
        <v>342</v>
      </c>
      <c r="H279" s="63"/>
      <c r="J279" s="79"/>
      <c r="K279" s="79"/>
      <c r="L279" s="79"/>
      <c r="M279" s="79"/>
      <c r="N279" s="79"/>
      <c r="O279" s="79"/>
      <c r="P279" s="79"/>
      <c r="Q279" s="79"/>
      <c r="R279" s="79"/>
      <c r="S279" s="79"/>
      <c r="T279" s="79"/>
      <c r="U279" s="79"/>
    </row>
    <row r="280" spans="6:21" x14ac:dyDescent="0.25">
      <c r="F280" s="28" t="s">
        <v>162</v>
      </c>
      <c r="G280" s="72" t="s">
        <v>342</v>
      </c>
      <c r="H280" s="63"/>
      <c r="J280" s="79"/>
      <c r="K280" s="79"/>
      <c r="L280" s="79"/>
      <c r="M280" s="79"/>
      <c r="N280" s="79"/>
      <c r="O280" s="79"/>
      <c r="P280" s="79"/>
      <c r="Q280" s="79"/>
      <c r="R280" s="79"/>
      <c r="S280" s="79"/>
      <c r="T280" s="79"/>
      <c r="U280" s="79"/>
    </row>
    <row r="281" spans="6:21" x14ac:dyDescent="0.25">
      <c r="F281" s="28" t="s">
        <v>163</v>
      </c>
      <c r="G281" s="72" t="s">
        <v>342</v>
      </c>
      <c r="H281" s="63"/>
      <c r="J281" s="79"/>
      <c r="K281" s="79"/>
      <c r="L281" s="79"/>
      <c r="M281" s="79"/>
      <c r="N281" s="79"/>
      <c r="O281" s="79"/>
      <c r="P281" s="79"/>
      <c r="Q281" s="79"/>
      <c r="R281" s="79"/>
      <c r="S281" s="79"/>
      <c r="T281" s="79"/>
      <c r="U281" s="79"/>
    </row>
    <row r="282" spans="6:21" x14ac:dyDescent="0.25">
      <c r="F282" s="28" t="s">
        <v>164</v>
      </c>
      <c r="G282" s="72" t="s">
        <v>342</v>
      </c>
      <c r="H282" s="63"/>
      <c r="J282" s="79"/>
      <c r="K282" s="79"/>
      <c r="L282" s="79"/>
      <c r="M282" s="79"/>
      <c r="N282" s="79"/>
      <c r="O282" s="79"/>
      <c r="P282" s="79"/>
      <c r="Q282" s="79"/>
      <c r="R282" s="79"/>
      <c r="S282" s="79"/>
      <c r="T282" s="79"/>
      <c r="U282" s="79"/>
    </row>
    <row r="283" spans="6:21" x14ac:dyDescent="0.25">
      <c r="F283" s="28" t="s">
        <v>165</v>
      </c>
      <c r="G283" s="72" t="s">
        <v>342</v>
      </c>
      <c r="H283" s="63"/>
      <c r="J283" s="79"/>
      <c r="K283" s="79"/>
      <c r="L283" s="79"/>
      <c r="M283" s="79"/>
      <c r="N283" s="79"/>
      <c r="O283" s="79"/>
      <c r="P283" s="79"/>
      <c r="Q283" s="79"/>
      <c r="R283" s="79"/>
      <c r="S283" s="79"/>
      <c r="T283" s="79"/>
      <c r="U283" s="79"/>
    </row>
    <row r="284" spans="6:21" x14ac:dyDescent="0.25">
      <c r="F284" s="28" t="s">
        <v>166</v>
      </c>
      <c r="G284" s="72" t="s">
        <v>342</v>
      </c>
      <c r="H284" s="63"/>
      <c r="J284" s="79"/>
      <c r="K284" s="79"/>
      <c r="L284" s="79"/>
      <c r="M284" s="79"/>
      <c r="N284" s="79"/>
      <c r="O284" s="79"/>
      <c r="P284" s="79"/>
      <c r="Q284" s="79"/>
      <c r="R284" s="79"/>
      <c r="S284" s="79"/>
      <c r="T284" s="79"/>
      <c r="U284" s="79"/>
    </row>
    <row r="285" spans="6:21" x14ac:dyDescent="0.25">
      <c r="F285" s="28" t="s">
        <v>167</v>
      </c>
      <c r="G285" s="72" t="s">
        <v>342</v>
      </c>
      <c r="H285" s="63"/>
      <c r="J285" s="124">
        <f>$H213 * J101</f>
        <v>-1.0900000000000001</v>
      </c>
      <c r="K285" s="124">
        <f t="shared" ref="K285:S285" si="105">$H213 * K101</f>
        <v>-1.0900000000000001</v>
      </c>
      <c r="L285" s="124">
        <f t="shared" si="105"/>
        <v>-1.0900000000000001</v>
      </c>
      <c r="M285" s="124">
        <f t="shared" si="105"/>
        <v>-1.0900000000000001</v>
      </c>
      <c r="N285" s="124">
        <f t="shared" si="105"/>
        <v>-1.0900000000000001</v>
      </c>
      <c r="O285" s="124">
        <f t="shared" si="105"/>
        <v>-1.0900000000000001</v>
      </c>
      <c r="P285" s="124">
        <f t="shared" si="105"/>
        <v>0</v>
      </c>
      <c r="Q285" s="124">
        <f t="shared" si="105"/>
        <v>-1.0900000000000001</v>
      </c>
      <c r="R285" s="124">
        <f t="shared" si="105"/>
        <v>-1.0900000000000001</v>
      </c>
      <c r="S285" s="124">
        <f t="shared" si="105"/>
        <v>-1.0900000000000001</v>
      </c>
      <c r="T285" s="79"/>
      <c r="U285" s="79"/>
    </row>
    <row r="286" spans="6:21" x14ac:dyDescent="0.25">
      <c r="F286" s="28" t="s">
        <v>168</v>
      </c>
      <c r="G286" s="72" t="s">
        <v>342</v>
      </c>
      <c r="H286" s="63"/>
      <c r="J286" s="124">
        <f t="shared" ref="J286:S286" si="106">$H214 * J102</f>
        <v>-1.0569999999999999</v>
      </c>
      <c r="K286" s="124">
        <f t="shared" si="106"/>
        <v>-1.0569999999999999</v>
      </c>
      <c r="L286" s="124">
        <f t="shared" si="106"/>
        <v>-1.0569999999999999</v>
      </c>
      <c r="M286" s="124">
        <f t="shared" si="106"/>
        <v>-1.0569999999999999</v>
      </c>
      <c r="N286" s="124">
        <f t="shared" si="106"/>
        <v>-1.0569999999999999</v>
      </c>
      <c r="O286" s="124">
        <f t="shared" si="106"/>
        <v>-1.0569999999999999</v>
      </c>
      <c r="P286" s="124">
        <f t="shared" si="106"/>
        <v>0</v>
      </c>
      <c r="Q286" s="124">
        <f t="shared" si="106"/>
        <v>-1.0569999999999999</v>
      </c>
      <c r="R286" s="124">
        <f t="shared" si="106"/>
        <v>-1.0569999999999999</v>
      </c>
      <c r="S286" s="124">
        <f t="shared" si="106"/>
        <v>0</v>
      </c>
      <c r="T286" s="79"/>
      <c r="U286" s="79"/>
    </row>
    <row r="287" spans="6:21" x14ac:dyDescent="0.25">
      <c r="F287" s="28" t="s">
        <v>169</v>
      </c>
      <c r="G287" s="72" t="s">
        <v>342</v>
      </c>
      <c r="H287" s="63"/>
      <c r="J287" s="124">
        <f t="shared" ref="J287:S287" si="107">$H215 * J103</f>
        <v>-1.0900000000000001</v>
      </c>
      <c r="K287" s="124">
        <f t="shared" si="107"/>
        <v>-1.0900000000000001</v>
      </c>
      <c r="L287" s="124">
        <f t="shared" si="107"/>
        <v>-1.0900000000000001</v>
      </c>
      <c r="M287" s="124">
        <f t="shared" si="107"/>
        <v>-1.0900000000000001</v>
      </c>
      <c r="N287" s="124">
        <f t="shared" si="107"/>
        <v>-1.0900000000000001</v>
      </c>
      <c r="O287" s="124">
        <f t="shared" si="107"/>
        <v>-1.0900000000000001</v>
      </c>
      <c r="P287" s="124">
        <f t="shared" si="107"/>
        <v>0</v>
      </c>
      <c r="Q287" s="124">
        <f t="shared" si="107"/>
        <v>-1.0900000000000001</v>
      </c>
      <c r="R287" s="124">
        <f t="shared" si="107"/>
        <v>-1.0900000000000001</v>
      </c>
      <c r="S287" s="124">
        <f t="shared" si="107"/>
        <v>-1.0900000000000001</v>
      </c>
      <c r="T287" s="79"/>
      <c r="U287" s="79"/>
    </row>
    <row r="288" spans="6:21" x14ac:dyDescent="0.25">
      <c r="F288" s="28" t="s">
        <v>170</v>
      </c>
      <c r="G288" s="72" t="s">
        <v>342</v>
      </c>
      <c r="H288" s="63"/>
      <c r="J288" s="124">
        <f t="shared" ref="J288:S288" si="108">$H216 * J104</f>
        <v>-1.0900000000000001</v>
      </c>
      <c r="K288" s="124">
        <f t="shared" si="108"/>
        <v>-1.0900000000000001</v>
      </c>
      <c r="L288" s="124">
        <f t="shared" si="108"/>
        <v>-1.0900000000000001</v>
      </c>
      <c r="M288" s="124">
        <f t="shared" si="108"/>
        <v>-1.0900000000000001</v>
      </c>
      <c r="N288" s="124">
        <f t="shared" si="108"/>
        <v>-1.0900000000000001</v>
      </c>
      <c r="O288" s="124">
        <f t="shared" si="108"/>
        <v>-1.0900000000000001</v>
      </c>
      <c r="P288" s="124">
        <f t="shared" si="108"/>
        <v>0</v>
      </c>
      <c r="Q288" s="124">
        <f t="shared" si="108"/>
        <v>-1.0900000000000001</v>
      </c>
      <c r="R288" s="124">
        <f t="shared" si="108"/>
        <v>-1.0900000000000001</v>
      </c>
      <c r="S288" s="124">
        <f t="shared" si="108"/>
        <v>-1.0900000000000001</v>
      </c>
      <c r="T288" s="79"/>
      <c r="U288" s="79"/>
    </row>
    <row r="289" spans="2:44" x14ac:dyDescent="0.25">
      <c r="F289" s="28" t="s">
        <v>171</v>
      </c>
      <c r="G289" s="72" t="s">
        <v>342</v>
      </c>
      <c r="H289" s="63"/>
      <c r="J289" s="124">
        <f t="shared" ref="J289:S289" si="109">$H217 * J105</f>
        <v>-1.0900000000000001</v>
      </c>
      <c r="K289" s="124">
        <f t="shared" si="109"/>
        <v>-1.0900000000000001</v>
      </c>
      <c r="L289" s="124">
        <f t="shared" si="109"/>
        <v>-1.0900000000000001</v>
      </c>
      <c r="M289" s="124">
        <f t="shared" si="109"/>
        <v>-1.0900000000000001</v>
      </c>
      <c r="N289" s="124">
        <f t="shared" si="109"/>
        <v>-1.0900000000000001</v>
      </c>
      <c r="O289" s="124">
        <f t="shared" si="109"/>
        <v>-1.0900000000000001</v>
      </c>
      <c r="P289" s="124">
        <f t="shared" si="109"/>
        <v>0</v>
      </c>
      <c r="Q289" s="124">
        <f t="shared" si="109"/>
        <v>-1.0900000000000001</v>
      </c>
      <c r="R289" s="124">
        <f t="shared" si="109"/>
        <v>-1.0900000000000001</v>
      </c>
      <c r="S289" s="124">
        <f t="shared" si="109"/>
        <v>-1.0900000000000001</v>
      </c>
      <c r="T289" s="79"/>
      <c r="U289" s="79"/>
    </row>
    <row r="290" spans="2:44" x14ac:dyDescent="0.25">
      <c r="F290" s="28" t="s">
        <v>172</v>
      </c>
      <c r="G290" s="72" t="s">
        <v>342</v>
      </c>
      <c r="H290" s="63"/>
      <c r="J290" s="124">
        <f t="shared" ref="J290:S290" si="110">$H218 * J106</f>
        <v>-1.0900000000000001</v>
      </c>
      <c r="K290" s="124">
        <f t="shared" si="110"/>
        <v>-1.0900000000000001</v>
      </c>
      <c r="L290" s="124">
        <f t="shared" si="110"/>
        <v>-1.0900000000000001</v>
      </c>
      <c r="M290" s="124">
        <f t="shared" si="110"/>
        <v>-1.0900000000000001</v>
      </c>
      <c r="N290" s="124">
        <f t="shared" si="110"/>
        <v>-1.0900000000000001</v>
      </c>
      <c r="O290" s="124">
        <f t="shared" si="110"/>
        <v>-1.0900000000000001</v>
      </c>
      <c r="P290" s="124">
        <f t="shared" si="110"/>
        <v>0</v>
      </c>
      <c r="Q290" s="124">
        <f t="shared" si="110"/>
        <v>-1.0900000000000001</v>
      </c>
      <c r="R290" s="124">
        <f t="shared" si="110"/>
        <v>-1.0900000000000001</v>
      </c>
      <c r="S290" s="124">
        <f t="shared" si="110"/>
        <v>-1.0900000000000001</v>
      </c>
      <c r="T290" s="79"/>
      <c r="U290" s="79"/>
    </row>
    <row r="291" spans="2:44" x14ac:dyDescent="0.25">
      <c r="F291" s="28" t="s">
        <v>173</v>
      </c>
      <c r="G291" s="72" t="s">
        <v>342</v>
      </c>
      <c r="H291" s="63"/>
      <c r="J291" s="124">
        <f t="shared" ref="J291:S291" si="111">$H219 * J107</f>
        <v>-1.0569999999999999</v>
      </c>
      <c r="K291" s="124">
        <f t="shared" si="111"/>
        <v>-1.0569999999999999</v>
      </c>
      <c r="L291" s="124">
        <f t="shared" si="111"/>
        <v>-1.0569999999999999</v>
      </c>
      <c r="M291" s="124">
        <f t="shared" si="111"/>
        <v>-1.0569999999999999</v>
      </c>
      <c r="N291" s="124">
        <f t="shared" si="111"/>
        <v>-1.0569999999999999</v>
      </c>
      <c r="O291" s="124">
        <f t="shared" si="111"/>
        <v>-1.0569999999999999</v>
      </c>
      <c r="P291" s="124">
        <f t="shared" si="111"/>
        <v>0</v>
      </c>
      <c r="Q291" s="124">
        <f t="shared" si="111"/>
        <v>-1.0569999999999999</v>
      </c>
      <c r="R291" s="124">
        <f t="shared" si="111"/>
        <v>-1.0569999999999999</v>
      </c>
      <c r="S291" s="124">
        <f t="shared" si="111"/>
        <v>0</v>
      </c>
      <c r="T291" s="79"/>
      <c r="U291" s="79"/>
    </row>
    <row r="292" spans="2:44" x14ac:dyDescent="0.25">
      <c r="F292" s="28" t="s">
        <v>174</v>
      </c>
      <c r="G292" s="72" t="s">
        <v>342</v>
      </c>
      <c r="H292" s="63"/>
      <c r="J292" s="124">
        <f t="shared" ref="J292:S292" si="112">$H220 * J108</f>
        <v>-1.0569999999999999</v>
      </c>
      <c r="K292" s="124">
        <f t="shared" si="112"/>
        <v>-1.0569999999999999</v>
      </c>
      <c r="L292" s="124">
        <f t="shared" si="112"/>
        <v>-1.0569999999999999</v>
      </c>
      <c r="M292" s="124">
        <f t="shared" si="112"/>
        <v>-1.0569999999999999</v>
      </c>
      <c r="N292" s="124">
        <f t="shared" si="112"/>
        <v>-1.0569999999999999</v>
      </c>
      <c r="O292" s="124">
        <f t="shared" si="112"/>
        <v>-1.0569999999999999</v>
      </c>
      <c r="P292" s="124">
        <f t="shared" si="112"/>
        <v>0</v>
      </c>
      <c r="Q292" s="124">
        <f t="shared" si="112"/>
        <v>-1.0569999999999999</v>
      </c>
      <c r="R292" s="124">
        <f t="shared" si="112"/>
        <v>-1.0569999999999999</v>
      </c>
      <c r="S292" s="124">
        <f t="shared" si="112"/>
        <v>0</v>
      </c>
      <c r="T292" s="79"/>
      <c r="U292" s="79"/>
    </row>
    <row r="293" spans="2:44" x14ac:dyDescent="0.25">
      <c r="F293" s="28" t="s">
        <v>175</v>
      </c>
      <c r="G293" s="72" t="s">
        <v>342</v>
      </c>
      <c r="H293" s="63"/>
      <c r="J293" s="124">
        <f t="shared" ref="J293:S293" si="113">$H221 * J109</f>
        <v>-1.0569999999999999</v>
      </c>
      <c r="K293" s="124">
        <f t="shared" si="113"/>
        <v>-1.0569999999999999</v>
      </c>
      <c r="L293" s="124">
        <f t="shared" si="113"/>
        <v>-1.0569999999999999</v>
      </c>
      <c r="M293" s="124">
        <f t="shared" si="113"/>
        <v>-1.0569999999999999</v>
      </c>
      <c r="N293" s="124">
        <f t="shared" si="113"/>
        <v>-1.0569999999999999</v>
      </c>
      <c r="O293" s="124">
        <f t="shared" si="113"/>
        <v>-1.0569999999999999</v>
      </c>
      <c r="P293" s="124">
        <f t="shared" si="113"/>
        <v>0</v>
      </c>
      <c r="Q293" s="124">
        <f t="shared" si="113"/>
        <v>-1.0569999999999999</v>
      </c>
      <c r="R293" s="124">
        <f t="shared" si="113"/>
        <v>-1.0569999999999999</v>
      </c>
      <c r="S293" s="124">
        <f t="shared" si="113"/>
        <v>0</v>
      </c>
      <c r="T293" s="79"/>
      <c r="U293" s="79"/>
    </row>
    <row r="294" spans="2:44" x14ac:dyDescent="0.25">
      <c r="F294" s="28" t="s">
        <v>176</v>
      </c>
      <c r="G294" s="72" t="s">
        <v>342</v>
      </c>
      <c r="H294" s="63"/>
      <c r="J294" s="124">
        <f t="shared" ref="J294:S294" si="114">$H222 * J110</f>
        <v>-1.0569999999999999</v>
      </c>
      <c r="K294" s="124">
        <f t="shared" si="114"/>
        <v>-1.0569999999999999</v>
      </c>
      <c r="L294" s="124">
        <f t="shared" si="114"/>
        <v>-1.0569999999999999</v>
      </c>
      <c r="M294" s="124">
        <f t="shared" si="114"/>
        <v>-1.0569999999999999</v>
      </c>
      <c r="N294" s="124">
        <f t="shared" si="114"/>
        <v>-1.0569999999999999</v>
      </c>
      <c r="O294" s="124">
        <f t="shared" si="114"/>
        <v>-1.0569999999999999</v>
      </c>
      <c r="P294" s="124">
        <f t="shared" si="114"/>
        <v>0</v>
      </c>
      <c r="Q294" s="124">
        <f t="shared" si="114"/>
        <v>-1.0569999999999999</v>
      </c>
      <c r="R294" s="124">
        <f t="shared" si="114"/>
        <v>-1.0569999999999999</v>
      </c>
      <c r="S294" s="124">
        <f t="shared" si="114"/>
        <v>0</v>
      </c>
      <c r="T294" s="79"/>
      <c r="U294" s="79"/>
    </row>
    <row r="295" spans="2:44" x14ac:dyDescent="0.25">
      <c r="F295" s="28" t="s">
        <v>177</v>
      </c>
      <c r="G295" s="72" t="s">
        <v>342</v>
      </c>
      <c r="H295" s="63"/>
      <c r="J295" s="124">
        <f t="shared" ref="J295:S295" si="115">$H223 * J111</f>
        <v>-1.0349999999999999</v>
      </c>
      <c r="K295" s="124">
        <f t="shared" si="115"/>
        <v>-1.0349999999999999</v>
      </c>
      <c r="L295" s="124">
        <f t="shared" si="115"/>
        <v>-1.0349999999999999</v>
      </c>
      <c r="M295" s="124">
        <f t="shared" si="115"/>
        <v>-1.0349999999999999</v>
      </c>
      <c r="N295" s="124">
        <f t="shared" si="115"/>
        <v>-1.0349999999999999</v>
      </c>
      <c r="O295" s="124">
        <f t="shared" si="115"/>
        <v>-1.0349999999999999</v>
      </c>
      <c r="P295" s="124">
        <f t="shared" si="115"/>
        <v>0</v>
      </c>
      <c r="Q295" s="124">
        <f t="shared" si="115"/>
        <v>-1.0349999999999999</v>
      </c>
      <c r="R295" s="124">
        <f t="shared" si="115"/>
        <v>0</v>
      </c>
      <c r="S295" s="124">
        <f t="shared" si="115"/>
        <v>0</v>
      </c>
      <c r="T295" s="79"/>
      <c r="U295" s="79"/>
    </row>
    <row r="296" spans="2:44" x14ac:dyDescent="0.25">
      <c r="F296" s="28" t="s">
        <v>178</v>
      </c>
      <c r="G296" s="72" t="s">
        <v>342</v>
      </c>
      <c r="H296" s="63"/>
      <c r="J296" s="124">
        <f t="shared" ref="J296:S296" si="116">$H224 * J112</f>
        <v>-1.0349999999999999</v>
      </c>
      <c r="K296" s="124">
        <f t="shared" si="116"/>
        <v>-1.0349999999999999</v>
      </c>
      <c r="L296" s="124">
        <f t="shared" si="116"/>
        <v>-1.0349999999999999</v>
      </c>
      <c r="M296" s="124">
        <f t="shared" si="116"/>
        <v>-1.0349999999999999</v>
      </c>
      <c r="N296" s="124">
        <f t="shared" si="116"/>
        <v>-1.0349999999999999</v>
      </c>
      <c r="O296" s="124">
        <f t="shared" si="116"/>
        <v>-1.0349999999999999</v>
      </c>
      <c r="P296" s="124">
        <f t="shared" si="116"/>
        <v>0</v>
      </c>
      <c r="Q296" s="124">
        <f t="shared" si="116"/>
        <v>-1.0349999999999999</v>
      </c>
      <c r="R296" s="124">
        <f t="shared" si="116"/>
        <v>0</v>
      </c>
      <c r="S296" s="124">
        <f t="shared" si="116"/>
        <v>0</v>
      </c>
      <c r="T296" s="79"/>
      <c r="U296" s="79"/>
    </row>
    <row r="297" spans="2:44" x14ac:dyDescent="0.25">
      <c r="F297" s="28" t="s">
        <v>179</v>
      </c>
      <c r="G297" s="72" t="s">
        <v>342</v>
      </c>
      <c r="H297" s="63"/>
      <c r="J297" s="124">
        <f t="shared" ref="J297:S297" si="117">$H225 * J113</f>
        <v>-1.0349999999999999</v>
      </c>
      <c r="K297" s="124">
        <f t="shared" si="117"/>
        <v>-1.0349999999999999</v>
      </c>
      <c r="L297" s="124">
        <f t="shared" si="117"/>
        <v>-1.0349999999999999</v>
      </c>
      <c r="M297" s="124">
        <f t="shared" si="117"/>
        <v>-1.0349999999999999</v>
      </c>
      <c r="N297" s="124">
        <f t="shared" si="117"/>
        <v>-1.0349999999999999</v>
      </c>
      <c r="O297" s="124">
        <f t="shared" si="117"/>
        <v>-1.0349999999999999</v>
      </c>
      <c r="P297" s="124">
        <f t="shared" si="117"/>
        <v>0</v>
      </c>
      <c r="Q297" s="124">
        <f t="shared" si="117"/>
        <v>-1.0349999999999999</v>
      </c>
      <c r="R297" s="124">
        <f t="shared" si="117"/>
        <v>0</v>
      </c>
      <c r="S297" s="124">
        <f t="shared" si="117"/>
        <v>0</v>
      </c>
      <c r="T297" s="79"/>
      <c r="U297" s="79"/>
    </row>
    <row r="298" spans="2:44" x14ac:dyDescent="0.25">
      <c r="F298" s="67" t="s">
        <v>180</v>
      </c>
      <c r="G298" s="80" t="s">
        <v>342</v>
      </c>
      <c r="H298" s="133"/>
      <c r="I298" s="37"/>
      <c r="J298" s="134">
        <f t="shared" ref="J298:S298" si="118">$H226 * J114</f>
        <v>-1.0349999999999999</v>
      </c>
      <c r="K298" s="134">
        <f t="shared" si="118"/>
        <v>-1.0349999999999999</v>
      </c>
      <c r="L298" s="134">
        <f t="shared" si="118"/>
        <v>-1.0349999999999999</v>
      </c>
      <c r="M298" s="134">
        <f t="shared" si="118"/>
        <v>-1.0349999999999999</v>
      </c>
      <c r="N298" s="134">
        <f t="shared" si="118"/>
        <v>-1.0349999999999999</v>
      </c>
      <c r="O298" s="134">
        <f t="shared" si="118"/>
        <v>-1.0349999999999999</v>
      </c>
      <c r="P298" s="134">
        <f t="shared" si="118"/>
        <v>0</v>
      </c>
      <c r="Q298" s="134">
        <f t="shared" si="118"/>
        <v>-1.0349999999999999</v>
      </c>
      <c r="R298" s="134">
        <f t="shared" si="118"/>
        <v>0</v>
      </c>
      <c r="S298" s="134">
        <f t="shared" si="118"/>
        <v>0</v>
      </c>
      <c r="T298" s="81"/>
      <c r="U298" s="81"/>
    </row>
    <row r="299" spans="2:44" x14ac:dyDescent="0.25">
      <c r="G299" s="13"/>
    </row>
    <row r="300" spans="2:44" x14ac:dyDescent="0.25">
      <c r="B300" s="30" t="s">
        <v>280</v>
      </c>
      <c r="C300" s="30"/>
      <c r="D300" s="108"/>
      <c r="E300" s="108"/>
      <c r="F300" s="108"/>
      <c r="G300" s="135"/>
      <c r="H300" s="108"/>
      <c r="I300" s="108"/>
      <c r="J300" s="108"/>
      <c r="K300" s="108"/>
      <c r="L300" s="108"/>
      <c r="M300" s="108"/>
      <c r="N300" s="108"/>
      <c r="O300" s="108"/>
      <c r="P300" s="108"/>
      <c r="Q300" s="108"/>
      <c r="R300" s="108"/>
      <c r="S300" s="108"/>
      <c r="T300" s="108"/>
      <c r="U300" s="108"/>
      <c r="V300" s="108"/>
      <c r="W300" s="108"/>
      <c r="X300" s="108"/>
      <c r="Y300" s="108"/>
      <c r="Z300" s="108"/>
      <c r="AA300" s="108"/>
      <c r="AB300" s="108"/>
      <c r="AC300" s="108"/>
      <c r="AD300" s="108"/>
      <c r="AE300" s="108"/>
      <c r="AF300" s="108"/>
      <c r="AG300" s="108"/>
      <c r="AH300" s="108"/>
      <c r="AI300" s="108"/>
      <c r="AJ300" s="108"/>
      <c r="AK300" s="108"/>
      <c r="AL300" s="108"/>
      <c r="AM300" s="108"/>
      <c r="AN300" s="108"/>
      <c r="AO300" s="108"/>
      <c r="AP300" s="108"/>
      <c r="AQ300" s="108"/>
      <c r="AR300" s="108"/>
    </row>
    <row r="301" spans="2:44" x14ac:dyDescent="0.25">
      <c r="G301" s="13"/>
    </row>
    <row r="302" spans="2:44" x14ac:dyDescent="0.25">
      <c r="E302" t="s">
        <v>281</v>
      </c>
      <c r="G302" s="6" t="s">
        <v>56</v>
      </c>
      <c r="H302" s="26">
        <f t="array" ref="H302">SUM(IF(ISERROR(H19:W300), 1))</f>
        <v>0</v>
      </c>
    </row>
    <row r="304" spans="2:44" x14ac:dyDescent="0.25">
      <c r="B304" s="30" t="s">
        <v>107</v>
      </c>
      <c r="C304" s="30"/>
      <c r="D304" s="30"/>
      <c r="E304" s="30"/>
      <c r="F304" s="30"/>
      <c r="G304" s="30"/>
      <c r="H304" s="30"/>
      <c r="I304" s="30"/>
      <c r="J304" s="30"/>
      <c r="K304" s="136"/>
      <c r="L304" s="136"/>
      <c r="M304" s="136"/>
      <c r="N304" s="136"/>
      <c r="O304" s="136"/>
      <c r="P304" s="136"/>
      <c r="Q304" s="136"/>
      <c r="R304" s="136"/>
      <c r="S304" s="136"/>
      <c r="T304" s="136"/>
      <c r="U304" s="30"/>
      <c r="V304" s="30"/>
      <c r="W304" s="30"/>
    </row>
  </sheetData>
  <sheetProtection sheet="1" objects="1" formatCells="0" formatColumns="0" formatRows="0" sort="0" autoFilter="0"/>
  <conditionalFormatting sqref="H302">
    <cfRule type="cellIs" dxfId="50" priority="2" operator="greaterThan">
      <formula>0</formula>
    </cfRule>
  </conditionalFormatting>
  <conditionalFormatting sqref="A4:XFD4">
    <cfRule type="expression" dxfId="49" priority="1">
      <formula>LEFT($A$4,1) &lt;&gt; "0"</formula>
    </cfRule>
  </conditionalFormatting>
  <dataValidations count="1">
    <dataValidation type="decimal" allowBlank="1" showInputMessage="1" showErrorMessage="1" errorTitle="Invalid diversity allowance" error="Invalid diversity allowance (negative number or unused cell)." sqref="H37">
      <formula1>0</formula1>
      <formula2>4</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tabColor theme="4" tint="0.59999389629810485"/>
    <pageSetUpPr fitToPage="1"/>
  </sheetPr>
  <dimension ref="A1:KG10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93" width="24.5703125" hidden="1" customWidth="1"/>
    <col min="294" max="16384" width="8.85546875" hidden="1"/>
  </cols>
  <sheetData>
    <row r="1" spans="1:23" s="1" customFormat="1" x14ac:dyDescent="0.25">
      <c r="A1" s="1" t="str">
        <f ca="1">MID(CELL("filename",A1),FIND("]",CELL("filename",A1))+1,255)</f>
        <v>Customer contributions</v>
      </c>
    </row>
    <row r="2" spans="1:23" s="1" customFormat="1" x14ac:dyDescent="0.25">
      <c r="A2" s="1" t="str">
        <f>Cover!D21&amp;" - "&amp;Cover!D23</f>
        <v>SHEPD  - Final</v>
      </c>
    </row>
    <row r="3" spans="1:23" s="5" customFormat="1" x14ac:dyDescent="0.25">
      <c r="A3" s="5" t="str">
        <f>Cover!D2&amp;" - "&amp;Cover!D8&amp;" v"&amp;Cover!D10&amp;" - "&amp;Cover!D19</f>
        <v>CDCM charging model - Release for charge setting v3 - 2020/21</v>
      </c>
    </row>
    <row r="4" spans="1:23" x14ac:dyDescent="0.25">
      <c r="A4" s="12" t="str">
        <f>H104 &amp; IF(H104 = 1, " issue", " issues") &amp;" identified in checks on this sheet"</f>
        <v>0 issues identified in checks on this sheet</v>
      </c>
      <c r="B4" s="13"/>
      <c r="C4" s="13"/>
      <c r="D4" s="13"/>
      <c r="E4" s="13"/>
      <c r="F4" s="13"/>
      <c r="G4" s="13"/>
      <c r="H4" s="14"/>
      <c r="I4" s="14"/>
      <c r="J4" s="13"/>
    </row>
    <row r="5" spans="1:23" x14ac:dyDescent="0.25">
      <c r="B5" s="59" t="s">
        <v>145</v>
      </c>
      <c r="C5" s="60"/>
      <c r="D5" s="60"/>
      <c r="E5" s="60"/>
      <c r="F5" s="60"/>
      <c r="G5" s="61" t="s">
        <v>146</v>
      </c>
      <c r="H5" s="62" t="s">
        <v>147</v>
      </c>
      <c r="W5" s="61" t="s">
        <v>181</v>
      </c>
    </row>
    <row r="7" spans="1:23" x14ac:dyDescent="0.25">
      <c r="B7" s="30" t="s">
        <v>11</v>
      </c>
      <c r="C7" s="30"/>
      <c r="D7" s="30"/>
      <c r="E7" s="30"/>
      <c r="F7" s="30"/>
      <c r="G7" s="30"/>
      <c r="H7" s="30"/>
      <c r="I7" s="30"/>
      <c r="J7" s="30"/>
      <c r="K7" s="30"/>
      <c r="L7" s="30"/>
      <c r="M7" s="30"/>
      <c r="N7" s="30"/>
      <c r="O7" s="30"/>
      <c r="P7" s="30"/>
      <c r="Q7" s="30"/>
      <c r="R7" s="30"/>
      <c r="S7" s="30"/>
      <c r="T7" s="30"/>
      <c r="U7" s="30"/>
      <c r="V7" s="30"/>
      <c r="W7" s="30"/>
    </row>
    <row r="9" spans="1:23" x14ac:dyDescent="0.25">
      <c r="C9" s="29" t="s">
        <v>470</v>
      </c>
    </row>
    <row r="10" spans="1:23" x14ac:dyDescent="0.25">
      <c r="C10" s="29" t="s">
        <v>471</v>
      </c>
    </row>
    <row r="12" spans="1:23" x14ac:dyDescent="0.25">
      <c r="B12" s="30" t="s">
        <v>67</v>
      </c>
      <c r="C12" s="30"/>
      <c r="D12" s="30"/>
      <c r="E12" s="30"/>
      <c r="F12" s="30"/>
      <c r="G12" s="30"/>
      <c r="H12" s="30"/>
      <c r="I12" s="30"/>
      <c r="J12" s="30"/>
      <c r="K12" s="30"/>
      <c r="L12" s="30"/>
      <c r="M12" s="30"/>
      <c r="N12" s="30"/>
      <c r="O12" s="30"/>
      <c r="P12" s="30"/>
      <c r="Q12" s="30"/>
      <c r="R12" s="30"/>
      <c r="S12" s="30"/>
      <c r="T12" s="30"/>
      <c r="U12" s="30"/>
      <c r="V12" s="30"/>
      <c r="W12" s="30"/>
    </row>
    <row r="14" spans="1:23" x14ac:dyDescent="0.25">
      <c r="C14" s="29" t="s">
        <v>472</v>
      </c>
    </row>
    <row r="16" spans="1:23" x14ac:dyDescent="0.25">
      <c r="C16" s="31" t="str">
        <f ca="1">INDEX('Version control'!$H$34:$H$56,MATCH($A$1,'Version control'!$F$34:$F$56,0),1)&amp;"-A: Network use factors"</f>
        <v>Section 103-A: Network use factors</v>
      </c>
      <c r="D16" s="31"/>
      <c r="E16" s="31"/>
      <c r="F16" s="31"/>
      <c r="G16" s="31"/>
      <c r="H16" s="31"/>
      <c r="I16" s="31"/>
      <c r="J16" s="31"/>
      <c r="K16" s="31"/>
      <c r="L16" s="31"/>
      <c r="M16" s="31"/>
      <c r="N16" s="31"/>
      <c r="O16" s="31"/>
      <c r="P16" s="31"/>
      <c r="Q16" s="31"/>
      <c r="R16" s="31"/>
      <c r="S16" s="31"/>
      <c r="T16" s="31"/>
      <c r="U16" s="31"/>
      <c r="V16" s="31"/>
      <c r="W16" s="31"/>
    </row>
    <row r="18" spans="5:23" x14ac:dyDescent="0.25">
      <c r="E18" s="32" t="s">
        <v>216</v>
      </c>
      <c r="H18" s="3"/>
      <c r="I18" s="3" t="s">
        <v>190</v>
      </c>
      <c r="J18" s="3"/>
      <c r="K18" s="3"/>
      <c r="L18" s="3"/>
      <c r="M18" s="3"/>
      <c r="N18" s="3"/>
      <c r="O18" s="3"/>
      <c r="P18" s="3"/>
      <c r="Q18" s="3"/>
      <c r="R18" s="3"/>
      <c r="S18" s="3"/>
      <c r="T18" s="3"/>
      <c r="U18" s="3"/>
      <c r="W18" s="3" t="s">
        <v>217</v>
      </c>
    </row>
    <row r="19" spans="5:23" x14ac:dyDescent="0.25">
      <c r="E19" s="29" t="s">
        <v>218</v>
      </c>
      <c r="H19" s="3"/>
      <c r="I19" s="3"/>
      <c r="J19" s="3"/>
      <c r="K19" s="3"/>
      <c r="L19" s="3"/>
      <c r="M19" s="3"/>
      <c r="N19" s="3"/>
      <c r="O19" s="3"/>
      <c r="P19" s="3"/>
      <c r="Q19" s="3"/>
      <c r="R19" s="3"/>
      <c r="S19" s="3"/>
      <c r="T19" s="3"/>
      <c r="U19" s="3"/>
      <c r="W19" s="3"/>
    </row>
    <row r="20" spans="5:23" x14ac:dyDescent="0.25">
      <c r="F20" s="137"/>
      <c r="G20" s="137"/>
      <c r="H20" s="138"/>
      <c r="I20" s="138"/>
      <c r="J20" s="139" t="s">
        <v>219</v>
      </c>
      <c r="K20" s="139" t="s">
        <v>220</v>
      </c>
      <c r="L20" s="139" t="s">
        <v>221</v>
      </c>
      <c r="M20" s="139" t="s">
        <v>222</v>
      </c>
      <c r="O20" s="3"/>
      <c r="P20" s="3"/>
      <c r="Q20" s="3"/>
      <c r="R20" s="3"/>
      <c r="S20" s="3"/>
      <c r="T20" s="3"/>
      <c r="U20" s="3"/>
    </row>
    <row r="21" spans="5:23" x14ac:dyDescent="0.25">
      <c r="F21" s="28" t="s">
        <v>148</v>
      </c>
      <c r="G21" s="13" t="s">
        <v>212</v>
      </c>
      <c r="H21" s="3"/>
      <c r="I21" s="3"/>
      <c r="J21" s="140">
        <f t="array" ref="J21:M53">TRANSPOSE('Fixed inputs'!J53:AP56)</f>
        <v>0</v>
      </c>
      <c r="K21" s="140">
        <v>0</v>
      </c>
      <c r="L21" s="140">
        <v>0</v>
      </c>
      <c r="M21" s="140">
        <v>1</v>
      </c>
      <c r="S21" s="3"/>
      <c r="T21" s="3"/>
      <c r="U21" s="3"/>
      <c r="W21" s="3"/>
    </row>
    <row r="22" spans="5:23" x14ac:dyDescent="0.25">
      <c r="F22" s="28" t="s">
        <v>149</v>
      </c>
      <c r="G22" s="13" t="s">
        <v>212</v>
      </c>
      <c r="H22" s="3"/>
      <c r="I22" s="3"/>
      <c r="J22" s="140">
        <v>0</v>
      </c>
      <c r="K22" s="140">
        <v>0</v>
      </c>
      <c r="L22" s="140">
        <v>0</v>
      </c>
      <c r="M22" s="140">
        <v>1</v>
      </c>
      <c r="S22" s="3"/>
      <c r="T22" s="3"/>
      <c r="U22" s="3"/>
      <c r="W22" s="3"/>
    </row>
    <row r="23" spans="5:23" x14ac:dyDescent="0.25">
      <c r="F23" s="28" t="s">
        <v>150</v>
      </c>
      <c r="G23" s="13" t="s">
        <v>212</v>
      </c>
      <c r="H23" s="3"/>
      <c r="I23" s="3"/>
      <c r="J23" s="140">
        <v>0</v>
      </c>
      <c r="K23" s="140">
        <v>0</v>
      </c>
      <c r="L23" s="140">
        <v>0</v>
      </c>
      <c r="M23" s="140">
        <v>1</v>
      </c>
      <c r="S23" s="3"/>
      <c r="T23" s="3"/>
      <c r="U23" s="3"/>
      <c r="W23" s="3"/>
    </row>
    <row r="24" spans="5:23" x14ac:dyDescent="0.25">
      <c r="F24" s="28" t="s">
        <v>151</v>
      </c>
      <c r="G24" s="13" t="s">
        <v>212</v>
      </c>
      <c r="H24" s="3"/>
      <c r="I24" s="3"/>
      <c r="J24" s="140">
        <v>0</v>
      </c>
      <c r="K24" s="140">
        <v>0</v>
      </c>
      <c r="L24" s="140">
        <v>0</v>
      </c>
      <c r="M24" s="140">
        <v>1</v>
      </c>
      <c r="S24" s="3"/>
      <c r="T24" s="3"/>
      <c r="U24" s="3"/>
      <c r="W24" s="3"/>
    </row>
    <row r="25" spans="5:23" x14ac:dyDescent="0.25">
      <c r="F25" s="28" t="s">
        <v>152</v>
      </c>
      <c r="G25" s="13" t="s">
        <v>212</v>
      </c>
      <c r="H25" s="3"/>
      <c r="I25" s="3"/>
      <c r="J25" s="140">
        <v>0</v>
      </c>
      <c r="K25" s="140">
        <v>0</v>
      </c>
      <c r="L25" s="140">
        <v>0</v>
      </c>
      <c r="M25" s="140">
        <v>1</v>
      </c>
      <c r="S25" s="3"/>
      <c r="T25" s="3"/>
      <c r="U25" s="3"/>
      <c r="W25" s="3"/>
    </row>
    <row r="26" spans="5:23" x14ac:dyDescent="0.25">
      <c r="F26" s="28" t="s">
        <v>153</v>
      </c>
      <c r="G26" s="13" t="s">
        <v>212</v>
      </c>
      <c r="H26" s="3"/>
      <c r="I26" s="3"/>
      <c r="J26" s="140">
        <v>0</v>
      </c>
      <c r="K26" s="140">
        <v>0</v>
      </c>
      <c r="L26" s="140">
        <v>0</v>
      </c>
      <c r="M26" s="140">
        <v>1</v>
      </c>
      <c r="S26" s="3"/>
      <c r="T26" s="3"/>
      <c r="U26" s="3"/>
      <c r="W26" s="3"/>
    </row>
    <row r="27" spans="5:23" x14ac:dyDescent="0.25">
      <c r="F27" s="28" t="s">
        <v>154</v>
      </c>
      <c r="G27" s="13" t="s">
        <v>212</v>
      </c>
      <c r="H27" s="3"/>
      <c r="I27" s="3"/>
      <c r="J27" s="140">
        <v>0</v>
      </c>
      <c r="K27" s="140">
        <v>0</v>
      </c>
      <c r="L27" s="140">
        <v>0</v>
      </c>
      <c r="M27" s="140">
        <v>1</v>
      </c>
      <c r="S27" s="3"/>
      <c r="T27" s="3"/>
      <c r="U27" s="3"/>
      <c r="W27" s="3"/>
    </row>
    <row r="28" spans="5:23" x14ac:dyDescent="0.25">
      <c r="F28" s="28" t="s">
        <v>155</v>
      </c>
      <c r="G28" s="13" t="s">
        <v>212</v>
      </c>
      <c r="H28" s="3"/>
      <c r="I28" s="3"/>
      <c r="J28" s="140">
        <v>0</v>
      </c>
      <c r="K28" s="140">
        <v>0</v>
      </c>
      <c r="L28" s="140">
        <v>1</v>
      </c>
      <c r="M28" s="140">
        <v>0</v>
      </c>
      <c r="S28" s="3"/>
      <c r="T28" s="3"/>
      <c r="U28" s="3"/>
      <c r="W28" s="3"/>
    </row>
    <row r="29" spans="5:23" x14ac:dyDescent="0.25">
      <c r="F29" s="28" t="s">
        <v>156</v>
      </c>
      <c r="G29" s="13" t="s">
        <v>212</v>
      </c>
      <c r="H29" s="3"/>
      <c r="I29" s="3"/>
      <c r="J29" s="140">
        <v>0</v>
      </c>
      <c r="K29" s="140">
        <v>1</v>
      </c>
      <c r="L29" s="140">
        <v>0</v>
      </c>
      <c r="M29" s="140">
        <v>0</v>
      </c>
      <c r="S29" s="3"/>
      <c r="T29" s="3"/>
      <c r="U29" s="3"/>
      <c r="W29" s="3"/>
    </row>
    <row r="30" spans="5:23" x14ac:dyDescent="0.25">
      <c r="F30" s="28" t="s">
        <v>157</v>
      </c>
      <c r="G30" s="13" t="s">
        <v>212</v>
      </c>
      <c r="H30" s="3"/>
      <c r="I30" s="3"/>
      <c r="J30" s="140">
        <v>0</v>
      </c>
      <c r="K30" s="140">
        <v>0</v>
      </c>
      <c r="L30" s="140">
        <v>0</v>
      </c>
      <c r="M30" s="140">
        <v>1</v>
      </c>
      <c r="S30" s="3"/>
      <c r="T30" s="3"/>
      <c r="U30" s="3"/>
      <c r="W30" s="3"/>
    </row>
    <row r="31" spans="5:23" x14ac:dyDescent="0.25">
      <c r="F31" s="28" t="s">
        <v>158</v>
      </c>
      <c r="G31" s="13" t="s">
        <v>212</v>
      </c>
      <c r="H31" s="3"/>
      <c r="I31" s="3"/>
      <c r="J31" s="140">
        <v>0</v>
      </c>
      <c r="K31" s="140">
        <v>0</v>
      </c>
      <c r="L31" s="140">
        <v>0</v>
      </c>
      <c r="M31" s="140">
        <v>1</v>
      </c>
      <c r="S31" s="3"/>
      <c r="T31" s="3"/>
      <c r="U31" s="3"/>
      <c r="W31" s="3"/>
    </row>
    <row r="32" spans="5:23" x14ac:dyDescent="0.25">
      <c r="F32" s="28" t="s">
        <v>159</v>
      </c>
      <c r="G32" s="13" t="s">
        <v>212</v>
      </c>
      <c r="H32" s="3"/>
      <c r="I32" s="3"/>
      <c r="J32" s="140">
        <v>0</v>
      </c>
      <c r="K32" s="140">
        <v>0</v>
      </c>
      <c r="L32" s="140">
        <v>0</v>
      </c>
      <c r="M32" s="140">
        <v>1</v>
      </c>
      <c r="S32" s="3"/>
      <c r="T32" s="3"/>
      <c r="U32" s="3"/>
      <c r="W32" s="3"/>
    </row>
    <row r="33" spans="6:23" x14ac:dyDescent="0.25">
      <c r="F33" s="28" t="s">
        <v>160</v>
      </c>
      <c r="G33" s="13" t="s">
        <v>212</v>
      </c>
      <c r="H33" s="3"/>
      <c r="I33" s="3"/>
      <c r="J33" s="140">
        <v>0</v>
      </c>
      <c r="K33" s="140">
        <v>0</v>
      </c>
      <c r="L33" s="140">
        <v>1</v>
      </c>
      <c r="M33" s="140">
        <v>0</v>
      </c>
      <c r="S33" s="3"/>
      <c r="T33" s="3"/>
      <c r="U33" s="3"/>
      <c r="W33" s="3"/>
    </row>
    <row r="34" spans="6:23" x14ac:dyDescent="0.25">
      <c r="F34" s="28" t="s">
        <v>161</v>
      </c>
      <c r="G34" s="13" t="s">
        <v>212</v>
      </c>
      <c r="H34" s="3"/>
      <c r="I34" s="3"/>
      <c r="J34" s="140">
        <v>0</v>
      </c>
      <c r="K34" s="140">
        <v>1</v>
      </c>
      <c r="L34" s="140">
        <v>0</v>
      </c>
      <c r="M34" s="140">
        <v>0</v>
      </c>
      <c r="S34" s="3"/>
      <c r="T34" s="3"/>
      <c r="U34" s="3"/>
      <c r="W34" s="3"/>
    </row>
    <row r="35" spans="6:23" x14ac:dyDescent="0.25">
      <c r="F35" s="28" t="s">
        <v>162</v>
      </c>
      <c r="G35" s="13" t="s">
        <v>212</v>
      </c>
      <c r="H35" s="3"/>
      <c r="I35" s="3"/>
      <c r="J35" s="140">
        <v>0</v>
      </c>
      <c r="K35" s="140">
        <v>0</v>
      </c>
      <c r="L35" s="140">
        <v>0</v>
      </c>
      <c r="M35" s="140">
        <v>1</v>
      </c>
      <c r="S35" s="3"/>
      <c r="T35" s="3"/>
      <c r="U35" s="3"/>
      <c r="W35" s="3"/>
    </row>
    <row r="36" spans="6:23" x14ac:dyDescent="0.25">
      <c r="F36" s="28" t="s">
        <v>163</v>
      </c>
      <c r="G36" s="13" t="s">
        <v>212</v>
      </c>
      <c r="H36" s="3"/>
      <c r="I36" s="3"/>
      <c r="J36" s="140">
        <v>0</v>
      </c>
      <c r="K36" s="140">
        <v>0</v>
      </c>
      <c r="L36" s="140">
        <v>0</v>
      </c>
      <c r="M36" s="140">
        <v>1</v>
      </c>
      <c r="S36" s="3"/>
      <c r="T36" s="3"/>
      <c r="U36" s="3"/>
      <c r="W36" s="3"/>
    </row>
    <row r="37" spans="6:23" x14ac:dyDescent="0.25">
      <c r="F37" s="28" t="s">
        <v>164</v>
      </c>
      <c r="G37" s="13" t="s">
        <v>212</v>
      </c>
      <c r="H37" s="3"/>
      <c r="I37" s="3"/>
      <c r="J37" s="140">
        <v>0</v>
      </c>
      <c r="K37" s="140">
        <v>0</v>
      </c>
      <c r="L37" s="140">
        <v>0</v>
      </c>
      <c r="M37" s="140">
        <v>1</v>
      </c>
      <c r="S37" s="3"/>
      <c r="T37" s="3"/>
      <c r="U37" s="3"/>
      <c r="W37" s="3"/>
    </row>
    <row r="38" spans="6:23" x14ac:dyDescent="0.25">
      <c r="F38" s="28" t="s">
        <v>165</v>
      </c>
      <c r="G38" s="13" t="s">
        <v>212</v>
      </c>
      <c r="H38" s="3"/>
      <c r="I38" s="3"/>
      <c r="J38" s="140">
        <v>0</v>
      </c>
      <c r="K38" s="140">
        <v>0</v>
      </c>
      <c r="L38" s="140">
        <v>0</v>
      </c>
      <c r="M38" s="140">
        <v>1</v>
      </c>
      <c r="S38" s="3"/>
      <c r="T38" s="3"/>
      <c r="U38" s="3"/>
      <c r="W38" s="3"/>
    </row>
    <row r="39" spans="6:23" x14ac:dyDescent="0.25">
      <c r="F39" s="28" t="s">
        <v>166</v>
      </c>
      <c r="G39" s="13" t="s">
        <v>212</v>
      </c>
      <c r="H39" s="3"/>
      <c r="I39" s="3"/>
      <c r="J39" s="140">
        <v>0</v>
      </c>
      <c r="K39" s="140">
        <v>0</v>
      </c>
      <c r="L39" s="140">
        <v>0</v>
      </c>
      <c r="M39" s="140">
        <v>1</v>
      </c>
      <c r="S39" s="3"/>
      <c r="T39" s="3"/>
      <c r="U39" s="3"/>
      <c r="W39" s="3"/>
    </row>
    <row r="40" spans="6:23" x14ac:dyDescent="0.25">
      <c r="F40" s="28" t="s">
        <v>167</v>
      </c>
      <c r="G40" s="13" t="s">
        <v>212</v>
      </c>
      <c r="H40" s="3"/>
      <c r="I40" s="3"/>
      <c r="J40" s="140">
        <v>0</v>
      </c>
      <c r="K40" s="140">
        <v>0</v>
      </c>
      <c r="L40" s="140">
        <v>0</v>
      </c>
      <c r="M40" s="140">
        <v>1</v>
      </c>
      <c r="S40" s="3"/>
      <c r="T40" s="3"/>
      <c r="U40" s="3"/>
      <c r="W40" s="3"/>
    </row>
    <row r="41" spans="6:23" x14ac:dyDescent="0.25">
      <c r="F41" s="28" t="s">
        <v>168</v>
      </c>
      <c r="G41" s="13" t="s">
        <v>212</v>
      </c>
      <c r="H41" s="3"/>
      <c r="I41" s="3"/>
      <c r="J41" s="140">
        <v>0</v>
      </c>
      <c r="K41" s="140">
        <v>0</v>
      </c>
      <c r="L41" s="140">
        <v>1</v>
      </c>
      <c r="M41" s="140">
        <v>0</v>
      </c>
      <c r="S41" s="3"/>
      <c r="T41" s="3"/>
      <c r="U41" s="3"/>
      <c r="W41" s="3"/>
    </row>
    <row r="42" spans="6:23" x14ac:dyDescent="0.25">
      <c r="F42" s="28" t="s">
        <v>169</v>
      </c>
      <c r="G42" s="13" t="s">
        <v>212</v>
      </c>
      <c r="H42" s="3"/>
      <c r="I42" s="3"/>
      <c r="J42" s="140">
        <v>0</v>
      </c>
      <c r="K42" s="140">
        <v>0</v>
      </c>
      <c r="L42" s="140">
        <v>0</v>
      </c>
      <c r="M42" s="140">
        <v>1</v>
      </c>
      <c r="S42" s="3"/>
      <c r="T42" s="3"/>
      <c r="U42" s="3"/>
      <c r="W42" s="3"/>
    </row>
    <row r="43" spans="6:23" x14ac:dyDescent="0.25">
      <c r="F43" s="28" t="s">
        <v>170</v>
      </c>
      <c r="G43" s="13" t="s">
        <v>212</v>
      </c>
      <c r="H43" s="3"/>
      <c r="I43" s="3"/>
      <c r="J43" s="140">
        <v>0</v>
      </c>
      <c r="K43" s="140">
        <v>0</v>
      </c>
      <c r="L43" s="140">
        <v>0</v>
      </c>
      <c r="M43" s="140">
        <v>1</v>
      </c>
      <c r="S43" s="3"/>
      <c r="T43" s="3"/>
      <c r="U43" s="3"/>
      <c r="W43" s="3"/>
    </row>
    <row r="44" spans="6:23" x14ac:dyDescent="0.25">
      <c r="F44" s="28" t="s">
        <v>171</v>
      </c>
      <c r="G44" s="13" t="s">
        <v>212</v>
      </c>
      <c r="H44" s="3"/>
      <c r="I44" s="3"/>
      <c r="J44" s="140">
        <v>0</v>
      </c>
      <c r="K44" s="140">
        <v>0</v>
      </c>
      <c r="L44" s="140">
        <v>0</v>
      </c>
      <c r="M44" s="140">
        <v>1</v>
      </c>
      <c r="S44" s="3"/>
      <c r="T44" s="3"/>
      <c r="U44" s="3"/>
      <c r="W44" s="3"/>
    </row>
    <row r="45" spans="6:23" x14ac:dyDescent="0.25">
      <c r="F45" s="28" t="s">
        <v>172</v>
      </c>
      <c r="G45" s="13" t="s">
        <v>212</v>
      </c>
      <c r="H45" s="3"/>
      <c r="I45" s="3"/>
      <c r="J45" s="140">
        <v>0</v>
      </c>
      <c r="K45" s="140">
        <v>0</v>
      </c>
      <c r="L45" s="140">
        <v>0</v>
      </c>
      <c r="M45" s="140">
        <v>1</v>
      </c>
      <c r="S45" s="3"/>
      <c r="T45" s="3"/>
      <c r="U45" s="3"/>
      <c r="W45" s="3"/>
    </row>
    <row r="46" spans="6:23" x14ac:dyDescent="0.25">
      <c r="F46" s="28" t="s">
        <v>173</v>
      </c>
      <c r="G46" s="13" t="s">
        <v>212</v>
      </c>
      <c r="H46" s="3"/>
      <c r="I46" s="3"/>
      <c r="J46" s="140">
        <v>0</v>
      </c>
      <c r="K46" s="140">
        <v>0</v>
      </c>
      <c r="L46" s="140">
        <v>1</v>
      </c>
      <c r="M46" s="140">
        <v>0</v>
      </c>
      <c r="S46" s="3"/>
      <c r="T46" s="3"/>
      <c r="U46" s="3"/>
      <c r="W46" s="3"/>
    </row>
    <row r="47" spans="6:23" x14ac:dyDescent="0.25">
      <c r="F47" s="28" t="s">
        <v>174</v>
      </c>
      <c r="G47" s="13" t="s">
        <v>212</v>
      </c>
      <c r="H47" s="3"/>
      <c r="I47" s="3"/>
      <c r="J47" s="140">
        <v>0</v>
      </c>
      <c r="K47" s="140">
        <v>0</v>
      </c>
      <c r="L47" s="140">
        <v>1</v>
      </c>
      <c r="M47" s="140">
        <v>0</v>
      </c>
      <c r="S47" s="3"/>
      <c r="T47" s="3"/>
      <c r="U47" s="3"/>
      <c r="W47" s="3"/>
    </row>
    <row r="48" spans="6:23" x14ac:dyDescent="0.25">
      <c r="F48" s="28" t="s">
        <v>175</v>
      </c>
      <c r="G48" s="13" t="s">
        <v>212</v>
      </c>
      <c r="H48" s="3"/>
      <c r="I48" s="3"/>
      <c r="J48" s="140">
        <v>0</v>
      </c>
      <c r="K48" s="140">
        <v>0</v>
      </c>
      <c r="L48" s="140">
        <v>1</v>
      </c>
      <c r="M48" s="140">
        <v>0</v>
      </c>
      <c r="S48" s="3"/>
      <c r="T48" s="3"/>
      <c r="U48" s="3"/>
      <c r="W48" s="3"/>
    </row>
    <row r="49" spans="3:23" x14ac:dyDescent="0.25">
      <c r="F49" s="28" t="s">
        <v>176</v>
      </c>
      <c r="G49" s="13" t="s">
        <v>212</v>
      </c>
      <c r="H49" s="3"/>
      <c r="I49" s="3"/>
      <c r="J49" s="140">
        <v>0</v>
      </c>
      <c r="K49" s="140">
        <v>0</v>
      </c>
      <c r="L49" s="140">
        <v>1</v>
      </c>
      <c r="M49" s="140">
        <v>0</v>
      </c>
      <c r="S49" s="3"/>
      <c r="T49" s="3"/>
      <c r="U49" s="3"/>
      <c r="W49" s="3"/>
    </row>
    <row r="50" spans="3:23" x14ac:dyDescent="0.25">
      <c r="F50" s="28" t="s">
        <v>177</v>
      </c>
      <c r="G50" s="13" t="s">
        <v>212</v>
      </c>
      <c r="H50" s="3"/>
      <c r="I50" s="3"/>
      <c r="J50" s="140">
        <v>0</v>
      </c>
      <c r="K50" s="140">
        <v>1</v>
      </c>
      <c r="L50" s="140">
        <v>0</v>
      </c>
      <c r="M50" s="140">
        <v>0</v>
      </c>
      <c r="S50" s="3"/>
      <c r="T50" s="3"/>
      <c r="U50" s="3"/>
      <c r="W50" s="3"/>
    </row>
    <row r="51" spans="3:23" x14ac:dyDescent="0.25">
      <c r="F51" s="28" t="s">
        <v>178</v>
      </c>
      <c r="G51" s="13" t="s">
        <v>212</v>
      </c>
      <c r="H51" s="3"/>
      <c r="I51" s="3"/>
      <c r="J51" s="140">
        <v>0</v>
      </c>
      <c r="K51" s="140">
        <v>1</v>
      </c>
      <c r="L51" s="140">
        <v>0</v>
      </c>
      <c r="M51" s="140">
        <v>0</v>
      </c>
      <c r="S51" s="3"/>
      <c r="T51" s="3"/>
      <c r="U51" s="3"/>
      <c r="W51" s="3"/>
    </row>
    <row r="52" spans="3:23" x14ac:dyDescent="0.25">
      <c r="F52" s="28" t="s">
        <v>179</v>
      </c>
      <c r="G52" s="13" t="s">
        <v>212</v>
      </c>
      <c r="H52" s="3"/>
      <c r="I52" s="3"/>
      <c r="J52" s="140">
        <v>0</v>
      </c>
      <c r="K52" s="140">
        <v>1</v>
      </c>
      <c r="L52" s="140">
        <v>0</v>
      </c>
      <c r="M52" s="140">
        <v>0</v>
      </c>
      <c r="S52" s="3"/>
      <c r="T52" s="3"/>
      <c r="U52" s="3"/>
      <c r="W52" s="3"/>
    </row>
    <row r="53" spans="3:23" x14ac:dyDescent="0.25">
      <c r="F53" s="67" t="s">
        <v>180</v>
      </c>
      <c r="G53" s="87" t="s">
        <v>212</v>
      </c>
      <c r="H53" s="76"/>
      <c r="I53" s="76"/>
      <c r="J53" s="141">
        <v>0</v>
      </c>
      <c r="K53" s="141">
        <v>1</v>
      </c>
      <c r="L53" s="141">
        <v>0</v>
      </c>
      <c r="M53" s="141">
        <v>0</v>
      </c>
      <c r="S53" s="3"/>
      <c r="T53" s="3"/>
      <c r="U53" s="3"/>
      <c r="W53" s="3"/>
    </row>
    <row r="54" spans="3:23" x14ac:dyDescent="0.25">
      <c r="H54" s="3"/>
      <c r="I54" s="3"/>
      <c r="J54" s="3"/>
      <c r="K54" s="3"/>
      <c r="L54" s="3"/>
      <c r="M54" s="3"/>
      <c r="N54" s="3"/>
      <c r="O54" s="3"/>
      <c r="P54" s="3"/>
      <c r="Q54" s="3"/>
      <c r="R54" s="3"/>
      <c r="S54" s="3"/>
      <c r="T54" s="3"/>
      <c r="U54" s="3"/>
      <c r="W54" s="3"/>
    </row>
    <row r="55" spans="3:23" x14ac:dyDescent="0.25">
      <c r="C55" s="31" t="str">
        <f ca="1">INDEX('Version control'!$H$34:$H$56,MATCH($A$1,'Version control'!$F$34:$F$56,0),1)&amp;"-B: Customer contributions"</f>
        <v>Section 103-B: Customer contributions</v>
      </c>
      <c r="D55" s="31"/>
      <c r="E55" s="31"/>
      <c r="F55" s="31"/>
      <c r="G55" s="31"/>
      <c r="H55" s="31"/>
      <c r="I55" s="31"/>
      <c r="J55" s="31"/>
      <c r="K55" s="31"/>
      <c r="L55" s="31"/>
      <c r="M55" s="31"/>
      <c r="N55" s="31"/>
      <c r="O55" s="31"/>
      <c r="P55" s="31"/>
      <c r="Q55" s="31"/>
      <c r="R55" s="31"/>
      <c r="S55" s="31"/>
      <c r="T55" s="31"/>
      <c r="U55" s="31"/>
      <c r="V55" s="31"/>
      <c r="W55" s="31"/>
    </row>
    <row r="57" spans="3:23" x14ac:dyDescent="0.25">
      <c r="E57" s="32" t="s">
        <v>473</v>
      </c>
      <c r="H57" s="3"/>
      <c r="I57" s="3" t="s">
        <v>190</v>
      </c>
      <c r="J57" s="3"/>
      <c r="K57" s="3"/>
      <c r="L57" s="3"/>
      <c r="M57" s="3"/>
      <c r="N57" s="3"/>
      <c r="O57" s="3"/>
      <c r="P57" s="3"/>
      <c r="Q57" s="3"/>
      <c r="R57" s="3"/>
      <c r="S57" s="3"/>
      <c r="T57" s="3"/>
      <c r="U57" s="3"/>
      <c r="W57" s="3" t="s">
        <v>474</v>
      </c>
    </row>
    <row r="58" spans="3:23" x14ac:dyDescent="0.25">
      <c r="E58" s="29" t="s">
        <v>475</v>
      </c>
      <c r="H58" s="3"/>
      <c r="I58" s="3"/>
      <c r="J58" s="3"/>
      <c r="K58" s="3"/>
      <c r="L58" s="3"/>
      <c r="M58" s="3"/>
      <c r="N58" s="3"/>
      <c r="O58" s="3"/>
      <c r="P58" s="3"/>
      <c r="Q58" s="3"/>
      <c r="R58" s="3"/>
      <c r="S58" s="3"/>
      <c r="T58" s="3"/>
      <c r="U58" s="3"/>
      <c r="W58" s="3"/>
    </row>
    <row r="59" spans="3:23" x14ac:dyDescent="0.25">
      <c r="E59" s="32"/>
      <c r="F59" s="142"/>
      <c r="G59" s="142"/>
      <c r="H59" s="142"/>
      <c r="I59" s="142"/>
      <c r="J59" s="142" t="s">
        <v>225</v>
      </c>
      <c r="K59" s="143" t="s">
        <v>227</v>
      </c>
      <c r="L59" s="143" t="s">
        <v>228</v>
      </c>
      <c r="M59" s="143" t="s">
        <v>229</v>
      </c>
      <c r="N59" s="143" t="s">
        <v>230</v>
      </c>
      <c r="O59" s="143" t="s">
        <v>231</v>
      </c>
      <c r="P59" s="143" t="s">
        <v>232</v>
      </c>
      <c r="Q59" s="143" t="s">
        <v>233</v>
      </c>
      <c r="R59" s="143" t="s">
        <v>234</v>
      </c>
      <c r="S59" s="143" t="s">
        <v>235</v>
      </c>
      <c r="T59" s="143" t="s">
        <v>436</v>
      </c>
      <c r="U59" s="143" t="s">
        <v>437</v>
      </c>
    </row>
    <row r="60" spans="3:23" x14ac:dyDescent="0.25">
      <c r="F60" s="28" t="s">
        <v>222</v>
      </c>
      <c r="G60" s="72" t="s">
        <v>203</v>
      </c>
      <c r="H60" s="3"/>
      <c r="I60" s="3"/>
      <c r="J60" s="66"/>
      <c r="K60" s="66"/>
      <c r="L60" s="25">
        <f>'Inputs by network level'!L26</f>
        <v>0</v>
      </c>
      <c r="M60" s="25">
        <f>'Inputs by network level'!M26</f>
        <v>0</v>
      </c>
      <c r="N60" s="25">
        <f>'Inputs by network level'!N26</f>
        <v>6.4338235294117696E-3</v>
      </c>
      <c r="O60" s="25">
        <f>'Inputs by network level'!O26</f>
        <v>4.1617122473246101E-3</v>
      </c>
      <c r="P60" s="25">
        <f>'Inputs by network level'!P26</f>
        <v>0</v>
      </c>
      <c r="Q60" s="25">
        <f>'Inputs by network level'!Q26</f>
        <v>0.42522380337704002</v>
      </c>
      <c r="R60" s="25">
        <f>'Inputs by network level'!R26</f>
        <v>0.78260869565217395</v>
      </c>
      <c r="S60" s="25">
        <f>'Inputs by network level'!S26</f>
        <v>0.966742252456538</v>
      </c>
      <c r="T60" s="66"/>
      <c r="U60" s="66"/>
      <c r="W60" s="3"/>
    </row>
    <row r="61" spans="3:23" x14ac:dyDescent="0.25">
      <c r="F61" s="28" t="s">
        <v>221</v>
      </c>
      <c r="G61" s="72" t="s">
        <v>203</v>
      </c>
      <c r="H61" s="3"/>
      <c r="I61" s="3"/>
      <c r="J61" s="66"/>
      <c r="K61" s="66"/>
      <c r="L61" s="25">
        <f>'Inputs by network level'!L27</f>
        <v>0</v>
      </c>
      <c r="M61" s="25">
        <f>'Inputs by network level'!M27</f>
        <v>0</v>
      </c>
      <c r="N61" s="25">
        <f>'Inputs by network level'!N27</f>
        <v>6.4338235294117696E-3</v>
      </c>
      <c r="O61" s="25">
        <f>'Inputs by network level'!O27</f>
        <v>4.1617122473246101E-3</v>
      </c>
      <c r="P61" s="25">
        <f>'Inputs by network level'!P27</f>
        <v>0</v>
      </c>
      <c r="Q61" s="25">
        <f>'Inputs by network level'!Q27</f>
        <v>0.42522380337704002</v>
      </c>
      <c r="R61" s="25">
        <f>'Inputs by network level'!R27</f>
        <v>0.78260869565217395</v>
      </c>
      <c r="S61" s="25">
        <f>'Inputs by network level'!S27</f>
        <v>0</v>
      </c>
      <c r="T61" s="66"/>
      <c r="U61" s="66"/>
      <c r="W61" s="3"/>
    </row>
    <row r="62" spans="3:23" x14ac:dyDescent="0.25">
      <c r="F62" s="28" t="s">
        <v>220</v>
      </c>
      <c r="G62" s="72" t="s">
        <v>203</v>
      </c>
      <c r="H62" s="3"/>
      <c r="I62" s="3"/>
      <c r="J62" s="66"/>
      <c r="K62" s="66"/>
      <c r="L62" s="25">
        <f>'Inputs by network level'!L28</f>
        <v>0</v>
      </c>
      <c r="M62" s="25">
        <f>'Inputs by network level'!M28</f>
        <v>0</v>
      </c>
      <c r="N62" s="25">
        <f>'Inputs by network level'!N28</f>
        <v>1.16978609625668E-2</v>
      </c>
      <c r="O62" s="25">
        <f>'Inputs by network level'!O28</f>
        <v>7.56674954059021E-3</v>
      </c>
      <c r="P62" s="25">
        <f>'Inputs by network level'!P28</f>
        <v>0</v>
      </c>
      <c r="Q62" s="25">
        <f>'Inputs by network level'!Q28</f>
        <v>0.38896884219615702</v>
      </c>
      <c r="R62" s="25">
        <f>'Inputs by network level'!R28</f>
        <v>0</v>
      </c>
      <c r="S62" s="25">
        <f>'Inputs by network level'!S28</f>
        <v>0</v>
      </c>
      <c r="T62" s="66"/>
      <c r="U62" s="66"/>
      <c r="W62" s="3"/>
    </row>
    <row r="63" spans="3:23" x14ac:dyDescent="0.25">
      <c r="F63" s="67" t="s">
        <v>219</v>
      </c>
      <c r="G63" s="80" t="s">
        <v>203</v>
      </c>
      <c r="H63" s="76"/>
      <c r="I63" s="76"/>
      <c r="J63" s="68"/>
      <c r="K63" s="68"/>
      <c r="L63" s="144">
        <f>'Inputs by network level'!L29</f>
        <v>0</v>
      </c>
      <c r="M63" s="144">
        <f>'Inputs by network level'!M29</f>
        <v>0</v>
      </c>
      <c r="N63" s="144">
        <f>'Inputs by network level'!N29</f>
        <v>1.16978609625668E-2</v>
      </c>
      <c r="O63" s="144">
        <f>'Inputs by network level'!O29</f>
        <v>7.56674954059021E-3</v>
      </c>
      <c r="P63" s="144">
        <f>'Inputs by network level'!P29</f>
        <v>0</v>
      </c>
      <c r="Q63" s="144">
        <f>'Inputs by network level'!Q29</f>
        <v>0</v>
      </c>
      <c r="R63" s="144">
        <f>'Inputs by network level'!R29</f>
        <v>0</v>
      </c>
      <c r="S63" s="144">
        <f>'Inputs by network level'!S29</f>
        <v>0</v>
      </c>
      <c r="T63" s="68"/>
      <c r="U63" s="68"/>
      <c r="W63" s="3"/>
    </row>
    <row r="64" spans="3:23" x14ac:dyDescent="0.25">
      <c r="G64" s="13"/>
      <c r="H64" s="3"/>
      <c r="I64" s="3"/>
      <c r="J64" s="3"/>
      <c r="K64" s="3"/>
      <c r="L64" s="3"/>
      <c r="M64" s="3"/>
      <c r="N64" s="3"/>
      <c r="O64" s="3"/>
      <c r="P64" s="3"/>
      <c r="Q64" s="3"/>
      <c r="R64" s="3"/>
      <c r="S64" s="3"/>
      <c r="T64" s="3"/>
      <c r="U64" s="3"/>
      <c r="W64" s="3"/>
    </row>
    <row r="65" spans="5:23" x14ac:dyDescent="0.25">
      <c r="E65" s="32" t="s">
        <v>476</v>
      </c>
      <c r="H65" s="13"/>
      <c r="I65" s="3"/>
      <c r="J65" s="3"/>
      <c r="K65" s="3"/>
      <c r="L65" s="3"/>
      <c r="M65" s="3"/>
      <c r="N65" s="3"/>
      <c r="O65" s="3"/>
      <c r="P65" s="3"/>
      <c r="Q65" s="3"/>
      <c r="R65" s="3"/>
      <c r="S65" s="3"/>
      <c r="T65" s="3"/>
      <c r="U65" s="3"/>
      <c r="W65" s="3"/>
    </row>
    <row r="66" spans="5:23" x14ac:dyDescent="0.25">
      <c r="E66" s="29" t="s">
        <v>477</v>
      </c>
      <c r="H66" s="13"/>
      <c r="I66" s="3"/>
      <c r="J66" s="3"/>
      <c r="K66" s="3"/>
      <c r="L66" s="3"/>
      <c r="M66" s="3"/>
      <c r="N66" s="3"/>
      <c r="O66" s="3"/>
      <c r="P66" s="3"/>
      <c r="Q66" s="3"/>
      <c r="R66" s="3"/>
      <c r="S66" s="3"/>
      <c r="T66" s="3"/>
      <c r="U66" s="3"/>
      <c r="W66" s="3"/>
    </row>
    <row r="67" spans="5:23" x14ac:dyDescent="0.25">
      <c r="F67" s="142"/>
      <c r="G67" s="142"/>
      <c r="H67" s="145"/>
      <c r="I67" s="142"/>
      <c r="J67" s="142" t="s">
        <v>225</v>
      </c>
      <c r="K67" s="143" t="s">
        <v>227</v>
      </c>
      <c r="L67" s="143" t="s">
        <v>228</v>
      </c>
      <c r="M67" s="143" t="s">
        <v>229</v>
      </c>
      <c r="N67" s="143" t="s">
        <v>230</v>
      </c>
      <c r="O67" s="143" t="s">
        <v>231</v>
      </c>
      <c r="P67" s="143" t="s">
        <v>232</v>
      </c>
      <c r="Q67" s="143" t="s">
        <v>233</v>
      </c>
      <c r="R67" s="143" t="s">
        <v>234</v>
      </c>
      <c r="S67" s="143" t="s">
        <v>235</v>
      </c>
      <c r="T67" s="143" t="s">
        <v>436</v>
      </c>
      <c r="U67" s="143" t="s">
        <v>437</v>
      </c>
      <c r="W67" s="3"/>
    </row>
    <row r="68" spans="5:23" x14ac:dyDescent="0.25">
      <c r="F68" s="28" t="s">
        <v>148</v>
      </c>
      <c r="G68" s="28"/>
      <c r="H68" s="72" t="s">
        <v>203</v>
      </c>
      <c r="J68" s="70"/>
      <c r="K68" s="70"/>
      <c r="L68" s="114">
        <f t="shared" ref="L68:S77" si="0">$M21 * L$60 + $L21 * L$61 + $K21 * L$62 + $J21 * L$63</f>
        <v>0</v>
      </c>
      <c r="M68" s="114">
        <f t="shared" si="0"/>
        <v>0</v>
      </c>
      <c r="N68" s="114">
        <f t="shared" si="0"/>
        <v>6.4338235294117696E-3</v>
      </c>
      <c r="O68" s="114">
        <f t="shared" si="0"/>
        <v>4.1617122473246101E-3</v>
      </c>
      <c r="P68" s="114">
        <f t="shared" si="0"/>
        <v>0</v>
      </c>
      <c r="Q68" s="114">
        <f t="shared" si="0"/>
        <v>0.42522380337704002</v>
      </c>
      <c r="R68" s="114">
        <f t="shared" si="0"/>
        <v>0.78260869565217395</v>
      </c>
      <c r="S68" s="114">
        <f t="shared" si="0"/>
        <v>0.966742252456538</v>
      </c>
      <c r="T68" s="70"/>
      <c r="U68" s="70"/>
    </row>
    <row r="69" spans="5:23" x14ac:dyDescent="0.25">
      <c r="F69" s="28" t="s">
        <v>149</v>
      </c>
      <c r="G69" s="28"/>
      <c r="H69" s="72" t="s">
        <v>203</v>
      </c>
      <c r="J69" s="70"/>
      <c r="K69" s="70"/>
      <c r="L69" s="114">
        <f t="shared" si="0"/>
        <v>0</v>
      </c>
      <c r="M69" s="114">
        <f t="shared" si="0"/>
        <v>0</v>
      </c>
      <c r="N69" s="114">
        <f t="shared" si="0"/>
        <v>6.4338235294117696E-3</v>
      </c>
      <c r="O69" s="114">
        <f t="shared" si="0"/>
        <v>4.1617122473246101E-3</v>
      </c>
      <c r="P69" s="114">
        <f t="shared" si="0"/>
        <v>0</v>
      </c>
      <c r="Q69" s="114">
        <f t="shared" si="0"/>
        <v>0.42522380337704002</v>
      </c>
      <c r="R69" s="114">
        <f t="shared" si="0"/>
        <v>0.78260869565217395</v>
      </c>
      <c r="S69" s="114">
        <f t="shared" si="0"/>
        <v>0.966742252456538</v>
      </c>
      <c r="T69" s="70"/>
      <c r="U69" s="70"/>
    </row>
    <row r="70" spans="5:23" x14ac:dyDescent="0.25">
      <c r="F70" s="28" t="s">
        <v>150</v>
      </c>
      <c r="G70" s="28"/>
      <c r="H70" s="72" t="s">
        <v>203</v>
      </c>
      <c r="J70" s="70"/>
      <c r="K70" s="70"/>
      <c r="L70" s="114">
        <f t="shared" si="0"/>
        <v>0</v>
      </c>
      <c r="M70" s="114">
        <f t="shared" si="0"/>
        <v>0</v>
      </c>
      <c r="N70" s="114">
        <f t="shared" si="0"/>
        <v>6.4338235294117696E-3</v>
      </c>
      <c r="O70" s="114">
        <f t="shared" si="0"/>
        <v>4.1617122473246101E-3</v>
      </c>
      <c r="P70" s="114">
        <f t="shared" si="0"/>
        <v>0</v>
      </c>
      <c r="Q70" s="114">
        <f t="shared" si="0"/>
        <v>0.42522380337704002</v>
      </c>
      <c r="R70" s="114">
        <f t="shared" si="0"/>
        <v>0.78260869565217395</v>
      </c>
      <c r="S70" s="114">
        <f t="shared" si="0"/>
        <v>0.966742252456538</v>
      </c>
      <c r="T70" s="70"/>
      <c r="U70" s="70"/>
    </row>
    <row r="71" spans="5:23" x14ac:dyDescent="0.25">
      <c r="F71" s="28" t="s">
        <v>151</v>
      </c>
      <c r="G71" s="28"/>
      <c r="H71" s="72" t="s">
        <v>203</v>
      </c>
      <c r="J71" s="70"/>
      <c r="K71" s="70"/>
      <c r="L71" s="114">
        <f t="shared" si="0"/>
        <v>0</v>
      </c>
      <c r="M71" s="114">
        <f t="shared" si="0"/>
        <v>0</v>
      </c>
      <c r="N71" s="114">
        <f t="shared" si="0"/>
        <v>6.4338235294117696E-3</v>
      </c>
      <c r="O71" s="114">
        <f t="shared" si="0"/>
        <v>4.1617122473246101E-3</v>
      </c>
      <c r="P71" s="114">
        <f t="shared" si="0"/>
        <v>0</v>
      </c>
      <c r="Q71" s="114">
        <f t="shared" si="0"/>
        <v>0.42522380337704002</v>
      </c>
      <c r="R71" s="114">
        <f t="shared" si="0"/>
        <v>0.78260869565217395</v>
      </c>
      <c r="S71" s="114">
        <f t="shared" si="0"/>
        <v>0.966742252456538</v>
      </c>
      <c r="T71" s="70"/>
      <c r="U71" s="70"/>
    </row>
    <row r="72" spans="5:23" x14ac:dyDescent="0.25">
      <c r="F72" s="28" t="s">
        <v>152</v>
      </c>
      <c r="G72" s="28"/>
      <c r="H72" s="72" t="s">
        <v>203</v>
      </c>
      <c r="J72" s="70"/>
      <c r="K72" s="70"/>
      <c r="L72" s="114">
        <f t="shared" si="0"/>
        <v>0</v>
      </c>
      <c r="M72" s="114">
        <f t="shared" si="0"/>
        <v>0</v>
      </c>
      <c r="N72" s="114">
        <f t="shared" si="0"/>
        <v>6.4338235294117696E-3</v>
      </c>
      <c r="O72" s="114">
        <f t="shared" si="0"/>
        <v>4.1617122473246101E-3</v>
      </c>
      <c r="P72" s="114">
        <f t="shared" si="0"/>
        <v>0</v>
      </c>
      <c r="Q72" s="114">
        <f t="shared" si="0"/>
        <v>0.42522380337704002</v>
      </c>
      <c r="R72" s="114">
        <f t="shared" si="0"/>
        <v>0.78260869565217395</v>
      </c>
      <c r="S72" s="114">
        <f t="shared" si="0"/>
        <v>0.966742252456538</v>
      </c>
      <c r="T72" s="70"/>
      <c r="U72" s="70"/>
    </row>
    <row r="73" spans="5:23" x14ac:dyDescent="0.25">
      <c r="F73" s="28" t="s">
        <v>153</v>
      </c>
      <c r="G73" s="28"/>
      <c r="H73" s="72" t="s">
        <v>203</v>
      </c>
      <c r="J73" s="70"/>
      <c r="K73" s="70"/>
      <c r="L73" s="114">
        <f t="shared" si="0"/>
        <v>0</v>
      </c>
      <c r="M73" s="114">
        <f t="shared" si="0"/>
        <v>0</v>
      </c>
      <c r="N73" s="114">
        <f t="shared" si="0"/>
        <v>6.4338235294117696E-3</v>
      </c>
      <c r="O73" s="114">
        <f t="shared" si="0"/>
        <v>4.1617122473246101E-3</v>
      </c>
      <c r="P73" s="114">
        <f t="shared" si="0"/>
        <v>0</v>
      </c>
      <c r="Q73" s="114">
        <f t="shared" si="0"/>
        <v>0.42522380337704002</v>
      </c>
      <c r="R73" s="114">
        <f t="shared" si="0"/>
        <v>0.78260869565217395</v>
      </c>
      <c r="S73" s="114">
        <f t="shared" si="0"/>
        <v>0.966742252456538</v>
      </c>
      <c r="T73" s="70"/>
      <c r="U73" s="70"/>
    </row>
    <row r="74" spans="5:23" x14ac:dyDescent="0.25">
      <c r="F74" s="28" t="s">
        <v>154</v>
      </c>
      <c r="G74" s="28"/>
      <c r="H74" s="72" t="s">
        <v>203</v>
      </c>
      <c r="J74" s="70"/>
      <c r="K74" s="70"/>
      <c r="L74" s="114">
        <f t="shared" si="0"/>
        <v>0</v>
      </c>
      <c r="M74" s="114">
        <f t="shared" si="0"/>
        <v>0</v>
      </c>
      <c r="N74" s="114">
        <f t="shared" si="0"/>
        <v>6.4338235294117696E-3</v>
      </c>
      <c r="O74" s="114">
        <f t="shared" si="0"/>
        <v>4.1617122473246101E-3</v>
      </c>
      <c r="P74" s="114">
        <f t="shared" si="0"/>
        <v>0</v>
      </c>
      <c r="Q74" s="114">
        <f t="shared" si="0"/>
        <v>0.42522380337704002</v>
      </c>
      <c r="R74" s="114">
        <f t="shared" si="0"/>
        <v>0.78260869565217395</v>
      </c>
      <c r="S74" s="114">
        <f t="shared" si="0"/>
        <v>0.966742252456538</v>
      </c>
      <c r="T74" s="70"/>
      <c r="U74" s="70"/>
    </row>
    <row r="75" spans="5:23" x14ac:dyDescent="0.25">
      <c r="F75" s="28" t="s">
        <v>155</v>
      </c>
      <c r="G75" s="28"/>
      <c r="H75" s="72" t="s">
        <v>203</v>
      </c>
      <c r="J75" s="70"/>
      <c r="K75" s="70"/>
      <c r="L75" s="114">
        <f t="shared" si="0"/>
        <v>0</v>
      </c>
      <c r="M75" s="114">
        <f t="shared" si="0"/>
        <v>0</v>
      </c>
      <c r="N75" s="114">
        <f t="shared" si="0"/>
        <v>6.4338235294117696E-3</v>
      </c>
      <c r="O75" s="114">
        <f t="shared" si="0"/>
        <v>4.1617122473246101E-3</v>
      </c>
      <c r="P75" s="114">
        <f t="shared" si="0"/>
        <v>0</v>
      </c>
      <c r="Q75" s="114">
        <f t="shared" si="0"/>
        <v>0.42522380337704002</v>
      </c>
      <c r="R75" s="114">
        <f t="shared" si="0"/>
        <v>0.78260869565217395</v>
      </c>
      <c r="S75" s="114">
        <f t="shared" si="0"/>
        <v>0</v>
      </c>
      <c r="T75" s="70"/>
      <c r="U75" s="70"/>
    </row>
    <row r="76" spans="5:23" x14ac:dyDescent="0.25">
      <c r="F76" s="28" t="s">
        <v>156</v>
      </c>
      <c r="G76" s="28"/>
      <c r="H76" s="72" t="s">
        <v>203</v>
      </c>
      <c r="J76" s="70"/>
      <c r="K76" s="70"/>
      <c r="L76" s="114">
        <f t="shared" si="0"/>
        <v>0</v>
      </c>
      <c r="M76" s="114">
        <f t="shared" si="0"/>
        <v>0</v>
      </c>
      <c r="N76" s="114">
        <f t="shared" si="0"/>
        <v>1.16978609625668E-2</v>
      </c>
      <c r="O76" s="114">
        <f t="shared" si="0"/>
        <v>7.56674954059021E-3</v>
      </c>
      <c r="P76" s="114">
        <f t="shared" si="0"/>
        <v>0</v>
      </c>
      <c r="Q76" s="114">
        <f t="shared" si="0"/>
        <v>0.38896884219615702</v>
      </c>
      <c r="R76" s="114">
        <f t="shared" si="0"/>
        <v>0</v>
      </c>
      <c r="S76" s="114">
        <f t="shared" si="0"/>
        <v>0</v>
      </c>
      <c r="T76" s="70"/>
      <c r="U76" s="70"/>
    </row>
    <row r="77" spans="5:23" x14ac:dyDescent="0.25">
      <c r="F77" s="28" t="s">
        <v>157</v>
      </c>
      <c r="G77" s="28"/>
      <c r="H77" s="72" t="s">
        <v>203</v>
      </c>
      <c r="J77" s="70"/>
      <c r="K77" s="70"/>
      <c r="L77" s="114">
        <f t="shared" si="0"/>
        <v>0</v>
      </c>
      <c r="M77" s="114">
        <f t="shared" si="0"/>
        <v>0</v>
      </c>
      <c r="N77" s="114">
        <f t="shared" si="0"/>
        <v>6.4338235294117696E-3</v>
      </c>
      <c r="O77" s="114">
        <f t="shared" si="0"/>
        <v>4.1617122473246101E-3</v>
      </c>
      <c r="P77" s="114">
        <f t="shared" si="0"/>
        <v>0</v>
      </c>
      <c r="Q77" s="114">
        <f t="shared" si="0"/>
        <v>0.42522380337704002</v>
      </c>
      <c r="R77" s="114">
        <f t="shared" si="0"/>
        <v>0.78260869565217395</v>
      </c>
      <c r="S77" s="114">
        <f t="shared" si="0"/>
        <v>0.966742252456538</v>
      </c>
      <c r="T77" s="70"/>
      <c r="U77" s="70"/>
    </row>
    <row r="78" spans="5:23" x14ac:dyDescent="0.25">
      <c r="F78" s="28" t="s">
        <v>158</v>
      </c>
      <c r="G78" s="28"/>
      <c r="H78" s="72" t="s">
        <v>203</v>
      </c>
      <c r="J78" s="70"/>
      <c r="K78" s="70"/>
      <c r="L78" s="114">
        <f t="shared" ref="L78:S87" si="1">$M31 * L$60 + $L31 * L$61 + $K31 * L$62 + $J31 * L$63</f>
        <v>0</v>
      </c>
      <c r="M78" s="114">
        <f t="shared" si="1"/>
        <v>0</v>
      </c>
      <c r="N78" s="114">
        <f t="shared" si="1"/>
        <v>6.4338235294117696E-3</v>
      </c>
      <c r="O78" s="114">
        <f t="shared" si="1"/>
        <v>4.1617122473246101E-3</v>
      </c>
      <c r="P78" s="114">
        <f t="shared" si="1"/>
        <v>0</v>
      </c>
      <c r="Q78" s="114">
        <f t="shared" si="1"/>
        <v>0.42522380337704002</v>
      </c>
      <c r="R78" s="114">
        <f t="shared" si="1"/>
        <v>0.78260869565217395</v>
      </c>
      <c r="S78" s="114">
        <f t="shared" si="1"/>
        <v>0.966742252456538</v>
      </c>
      <c r="T78" s="70"/>
      <c r="U78" s="70"/>
    </row>
    <row r="79" spans="5:23" x14ac:dyDescent="0.25">
      <c r="F79" s="28" t="s">
        <v>159</v>
      </c>
      <c r="G79" s="28"/>
      <c r="H79" s="72" t="s">
        <v>203</v>
      </c>
      <c r="J79" s="70"/>
      <c r="K79" s="70"/>
      <c r="L79" s="114">
        <f t="shared" si="1"/>
        <v>0</v>
      </c>
      <c r="M79" s="114">
        <f t="shared" si="1"/>
        <v>0</v>
      </c>
      <c r="N79" s="114">
        <f t="shared" si="1"/>
        <v>6.4338235294117696E-3</v>
      </c>
      <c r="O79" s="114">
        <f t="shared" si="1"/>
        <v>4.1617122473246101E-3</v>
      </c>
      <c r="P79" s="114">
        <f t="shared" si="1"/>
        <v>0</v>
      </c>
      <c r="Q79" s="114">
        <f t="shared" si="1"/>
        <v>0.42522380337704002</v>
      </c>
      <c r="R79" s="114">
        <f t="shared" si="1"/>
        <v>0.78260869565217395</v>
      </c>
      <c r="S79" s="114">
        <f t="shared" si="1"/>
        <v>0.966742252456538</v>
      </c>
      <c r="T79" s="70"/>
      <c r="U79" s="70"/>
    </row>
    <row r="80" spans="5:23" x14ac:dyDescent="0.25">
      <c r="F80" s="28" t="s">
        <v>160</v>
      </c>
      <c r="G80" s="28"/>
      <c r="H80" s="72" t="s">
        <v>203</v>
      </c>
      <c r="J80" s="70"/>
      <c r="K80" s="70"/>
      <c r="L80" s="114">
        <f t="shared" si="1"/>
        <v>0</v>
      </c>
      <c r="M80" s="114">
        <f t="shared" si="1"/>
        <v>0</v>
      </c>
      <c r="N80" s="114">
        <f t="shared" si="1"/>
        <v>6.4338235294117696E-3</v>
      </c>
      <c r="O80" s="114">
        <f t="shared" si="1"/>
        <v>4.1617122473246101E-3</v>
      </c>
      <c r="P80" s="114">
        <f t="shared" si="1"/>
        <v>0</v>
      </c>
      <c r="Q80" s="114">
        <f t="shared" si="1"/>
        <v>0.42522380337704002</v>
      </c>
      <c r="R80" s="114">
        <f t="shared" si="1"/>
        <v>0.78260869565217395</v>
      </c>
      <c r="S80" s="114">
        <f t="shared" si="1"/>
        <v>0</v>
      </c>
      <c r="T80" s="70"/>
      <c r="U80" s="70"/>
    </row>
    <row r="81" spans="6:21" x14ac:dyDescent="0.25">
      <c r="F81" s="28" t="s">
        <v>161</v>
      </c>
      <c r="G81" s="28"/>
      <c r="H81" s="72" t="s">
        <v>203</v>
      </c>
      <c r="J81" s="70"/>
      <c r="K81" s="70"/>
      <c r="L81" s="114">
        <f t="shared" si="1"/>
        <v>0</v>
      </c>
      <c r="M81" s="114">
        <f t="shared" si="1"/>
        <v>0</v>
      </c>
      <c r="N81" s="114">
        <f t="shared" si="1"/>
        <v>1.16978609625668E-2</v>
      </c>
      <c r="O81" s="114">
        <f t="shared" si="1"/>
        <v>7.56674954059021E-3</v>
      </c>
      <c r="P81" s="114">
        <f t="shared" si="1"/>
        <v>0</v>
      </c>
      <c r="Q81" s="114">
        <f t="shared" si="1"/>
        <v>0.38896884219615702</v>
      </c>
      <c r="R81" s="114">
        <f t="shared" si="1"/>
        <v>0</v>
      </c>
      <c r="S81" s="114">
        <f t="shared" si="1"/>
        <v>0</v>
      </c>
      <c r="T81" s="70"/>
      <c r="U81" s="70"/>
    </row>
    <row r="82" spans="6:21" x14ac:dyDescent="0.25">
      <c r="F82" s="28" t="s">
        <v>162</v>
      </c>
      <c r="G82" s="28"/>
      <c r="H82" s="72" t="s">
        <v>203</v>
      </c>
      <c r="J82" s="70"/>
      <c r="K82" s="70"/>
      <c r="L82" s="114">
        <f t="shared" si="1"/>
        <v>0</v>
      </c>
      <c r="M82" s="114">
        <f t="shared" si="1"/>
        <v>0</v>
      </c>
      <c r="N82" s="114">
        <f t="shared" si="1"/>
        <v>6.4338235294117696E-3</v>
      </c>
      <c r="O82" s="114">
        <f t="shared" si="1"/>
        <v>4.1617122473246101E-3</v>
      </c>
      <c r="P82" s="114">
        <f t="shared" si="1"/>
        <v>0</v>
      </c>
      <c r="Q82" s="114">
        <f t="shared" si="1"/>
        <v>0.42522380337704002</v>
      </c>
      <c r="R82" s="114">
        <f t="shared" si="1"/>
        <v>0.78260869565217395</v>
      </c>
      <c r="S82" s="114">
        <f t="shared" si="1"/>
        <v>0.966742252456538</v>
      </c>
      <c r="T82" s="70"/>
      <c r="U82" s="70"/>
    </row>
    <row r="83" spans="6:21" x14ac:dyDescent="0.25">
      <c r="F83" s="28" t="s">
        <v>163</v>
      </c>
      <c r="G83" s="28"/>
      <c r="H83" s="72" t="s">
        <v>203</v>
      </c>
      <c r="J83" s="70"/>
      <c r="K83" s="70"/>
      <c r="L83" s="114">
        <f t="shared" si="1"/>
        <v>0</v>
      </c>
      <c r="M83" s="114">
        <f t="shared" si="1"/>
        <v>0</v>
      </c>
      <c r="N83" s="114">
        <f t="shared" si="1"/>
        <v>6.4338235294117696E-3</v>
      </c>
      <c r="O83" s="114">
        <f t="shared" si="1"/>
        <v>4.1617122473246101E-3</v>
      </c>
      <c r="P83" s="114">
        <f t="shared" si="1"/>
        <v>0</v>
      </c>
      <c r="Q83" s="114">
        <f t="shared" si="1"/>
        <v>0.42522380337704002</v>
      </c>
      <c r="R83" s="114">
        <f t="shared" si="1"/>
        <v>0.78260869565217395</v>
      </c>
      <c r="S83" s="114">
        <f t="shared" si="1"/>
        <v>0.966742252456538</v>
      </c>
      <c r="T83" s="70"/>
      <c r="U83" s="70"/>
    </row>
    <row r="84" spans="6:21" x14ac:dyDescent="0.25">
      <c r="F84" s="28" t="s">
        <v>164</v>
      </c>
      <c r="G84" s="28"/>
      <c r="H84" s="72" t="s">
        <v>203</v>
      </c>
      <c r="J84" s="70"/>
      <c r="K84" s="70"/>
      <c r="L84" s="114">
        <f t="shared" si="1"/>
        <v>0</v>
      </c>
      <c r="M84" s="114">
        <f t="shared" si="1"/>
        <v>0</v>
      </c>
      <c r="N84" s="114">
        <f t="shared" si="1"/>
        <v>6.4338235294117696E-3</v>
      </c>
      <c r="O84" s="114">
        <f t="shared" si="1"/>
        <v>4.1617122473246101E-3</v>
      </c>
      <c r="P84" s="114">
        <f t="shared" si="1"/>
        <v>0</v>
      </c>
      <c r="Q84" s="114">
        <f t="shared" si="1"/>
        <v>0.42522380337704002</v>
      </c>
      <c r="R84" s="114">
        <f t="shared" si="1"/>
        <v>0.78260869565217395</v>
      </c>
      <c r="S84" s="114">
        <f t="shared" si="1"/>
        <v>0.966742252456538</v>
      </c>
      <c r="T84" s="70"/>
      <c r="U84" s="70"/>
    </row>
    <row r="85" spans="6:21" x14ac:dyDescent="0.25">
      <c r="F85" s="28" t="s">
        <v>165</v>
      </c>
      <c r="G85" s="28"/>
      <c r="H85" s="72" t="s">
        <v>203</v>
      </c>
      <c r="J85" s="70"/>
      <c r="K85" s="70"/>
      <c r="L85" s="114">
        <f t="shared" si="1"/>
        <v>0</v>
      </c>
      <c r="M85" s="114">
        <f t="shared" si="1"/>
        <v>0</v>
      </c>
      <c r="N85" s="114">
        <f t="shared" si="1"/>
        <v>6.4338235294117696E-3</v>
      </c>
      <c r="O85" s="114">
        <f t="shared" si="1"/>
        <v>4.1617122473246101E-3</v>
      </c>
      <c r="P85" s="114">
        <f t="shared" si="1"/>
        <v>0</v>
      </c>
      <c r="Q85" s="114">
        <f t="shared" si="1"/>
        <v>0.42522380337704002</v>
      </c>
      <c r="R85" s="114">
        <f t="shared" si="1"/>
        <v>0.78260869565217395</v>
      </c>
      <c r="S85" s="114">
        <f t="shared" si="1"/>
        <v>0.966742252456538</v>
      </c>
      <c r="T85" s="70"/>
      <c r="U85" s="70"/>
    </row>
    <row r="86" spans="6:21" x14ac:dyDescent="0.25">
      <c r="F86" s="28" t="s">
        <v>166</v>
      </c>
      <c r="G86" s="28"/>
      <c r="H86" s="72" t="s">
        <v>203</v>
      </c>
      <c r="J86" s="70"/>
      <c r="K86" s="70"/>
      <c r="L86" s="114">
        <f t="shared" si="1"/>
        <v>0</v>
      </c>
      <c r="M86" s="114">
        <f t="shared" si="1"/>
        <v>0</v>
      </c>
      <c r="N86" s="114">
        <f t="shared" si="1"/>
        <v>6.4338235294117696E-3</v>
      </c>
      <c r="O86" s="114">
        <f t="shared" si="1"/>
        <v>4.1617122473246101E-3</v>
      </c>
      <c r="P86" s="114">
        <f t="shared" si="1"/>
        <v>0</v>
      </c>
      <c r="Q86" s="114">
        <f t="shared" si="1"/>
        <v>0.42522380337704002</v>
      </c>
      <c r="R86" s="114">
        <f t="shared" si="1"/>
        <v>0.78260869565217395</v>
      </c>
      <c r="S86" s="114">
        <f t="shared" si="1"/>
        <v>0.966742252456538</v>
      </c>
      <c r="T86" s="70"/>
      <c r="U86" s="70"/>
    </row>
    <row r="87" spans="6:21" x14ac:dyDescent="0.25">
      <c r="F87" s="28" t="s">
        <v>167</v>
      </c>
      <c r="G87" s="28"/>
      <c r="H87" s="72" t="s">
        <v>203</v>
      </c>
      <c r="J87" s="70"/>
      <c r="K87" s="70"/>
      <c r="L87" s="114">
        <f t="shared" si="1"/>
        <v>0</v>
      </c>
      <c r="M87" s="114">
        <f t="shared" si="1"/>
        <v>0</v>
      </c>
      <c r="N87" s="114">
        <f t="shared" si="1"/>
        <v>6.4338235294117696E-3</v>
      </c>
      <c r="O87" s="114">
        <f t="shared" si="1"/>
        <v>4.1617122473246101E-3</v>
      </c>
      <c r="P87" s="114">
        <f t="shared" si="1"/>
        <v>0</v>
      </c>
      <c r="Q87" s="114">
        <f t="shared" si="1"/>
        <v>0.42522380337704002</v>
      </c>
      <c r="R87" s="114">
        <f t="shared" si="1"/>
        <v>0.78260869565217395</v>
      </c>
      <c r="S87" s="114">
        <f t="shared" si="1"/>
        <v>0.966742252456538</v>
      </c>
      <c r="T87" s="70"/>
      <c r="U87" s="70"/>
    </row>
    <row r="88" spans="6:21" x14ac:dyDescent="0.25">
      <c r="F88" s="28" t="s">
        <v>168</v>
      </c>
      <c r="G88" s="28"/>
      <c r="H88" s="72" t="s">
        <v>203</v>
      </c>
      <c r="J88" s="70"/>
      <c r="K88" s="70"/>
      <c r="L88" s="114">
        <f t="shared" ref="L88:S97" si="2">$M41 * L$60 + $L41 * L$61 + $K41 * L$62 + $J41 * L$63</f>
        <v>0</v>
      </c>
      <c r="M88" s="114">
        <f t="shared" si="2"/>
        <v>0</v>
      </c>
      <c r="N88" s="114">
        <f t="shared" si="2"/>
        <v>6.4338235294117696E-3</v>
      </c>
      <c r="O88" s="114">
        <f t="shared" si="2"/>
        <v>4.1617122473246101E-3</v>
      </c>
      <c r="P88" s="114">
        <f t="shared" si="2"/>
        <v>0</v>
      </c>
      <c r="Q88" s="114">
        <f t="shared" si="2"/>
        <v>0.42522380337704002</v>
      </c>
      <c r="R88" s="114">
        <f t="shared" si="2"/>
        <v>0.78260869565217395</v>
      </c>
      <c r="S88" s="114">
        <f t="shared" si="2"/>
        <v>0</v>
      </c>
      <c r="T88" s="70"/>
      <c r="U88" s="70"/>
    </row>
    <row r="89" spans="6:21" x14ac:dyDescent="0.25">
      <c r="F89" s="28" t="s">
        <v>169</v>
      </c>
      <c r="G89" s="28"/>
      <c r="H89" s="72" t="s">
        <v>203</v>
      </c>
      <c r="J89" s="70"/>
      <c r="K89" s="70"/>
      <c r="L89" s="114">
        <f t="shared" si="2"/>
        <v>0</v>
      </c>
      <c r="M89" s="114">
        <f t="shared" si="2"/>
        <v>0</v>
      </c>
      <c r="N89" s="114">
        <f t="shared" si="2"/>
        <v>6.4338235294117696E-3</v>
      </c>
      <c r="O89" s="114">
        <f t="shared" si="2"/>
        <v>4.1617122473246101E-3</v>
      </c>
      <c r="P89" s="114">
        <f t="shared" si="2"/>
        <v>0</v>
      </c>
      <c r="Q89" s="114">
        <f t="shared" si="2"/>
        <v>0.42522380337704002</v>
      </c>
      <c r="R89" s="114">
        <f t="shared" si="2"/>
        <v>0.78260869565217395</v>
      </c>
      <c r="S89" s="114">
        <f t="shared" si="2"/>
        <v>0.966742252456538</v>
      </c>
      <c r="T89" s="70"/>
      <c r="U89" s="70"/>
    </row>
    <row r="90" spans="6:21" x14ac:dyDescent="0.25">
      <c r="F90" s="28" t="s">
        <v>170</v>
      </c>
      <c r="G90" s="28"/>
      <c r="H90" s="72" t="s">
        <v>203</v>
      </c>
      <c r="J90" s="70"/>
      <c r="K90" s="70"/>
      <c r="L90" s="114">
        <f t="shared" si="2"/>
        <v>0</v>
      </c>
      <c r="M90" s="114">
        <f t="shared" si="2"/>
        <v>0</v>
      </c>
      <c r="N90" s="114">
        <f t="shared" si="2"/>
        <v>6.4338235294117696E-3</v>
      </c>
      <c r="O90" s="114">
        <f t="shared" si="2"/>
        <v>4.1617122473246101E-3</v>
      </c>
      <c r="P90" s="114">
        <f t="shared" si="2"/>
        <v>0</v>
      </c>
      <c r="Q90" s="114">
        <f t="shared" si="2"/>
        <v>0.42522380337704002</v>
      </c>
      <c r="R90" s="114">
        <f t="shared" si="2"/>
        <v>0.78260869565217395</v>
      </c>
      <c r="S90" s="114">
        <f t="shared" si="2"/>
        <v>0.966742252456538</v>
      </c>
      <c r="T90" s="70"/>
      <c r="U90" s="70"/>
    </row>
    <row r="91" spans="6:21" x14ac:dyDescent="0.25">
      <c r="F91" s="28" t="s">
        <v>171</v>
      </c>
      <c r="G91" s="28"/>
      <c r="H91" s="72" t="s">
        <v>203</v>
      </c>
      <c r="J91" s="70"/>
      <c r="K91" s="70"/>
      <c r="L91" s="114">
        <f t="shared" si="2"/>
        <v>0</v>
      </c>
      <c r="M91" s="114">
        <f t="shared" si="2"/>
        <v>0</v>
      </c>
      <c r="N91" s="114">
        <f t="shared" si="2"/>
        <v>6.4338235294117696E-3</v>
      </c>
      <c r="O91" s="114">
        <f t="shared" si="2"/>
        <v>4.1617122473246101E-3</v>
      </c>
      <c r="P91" s="114">
        <f t="shared" si="2"/>
        <v>0</v>
      </c>
      <c r="Q91" s="114">
        <f t="shared" si="2"/>
        <v>0.42522380337704002</v>
      </c>
      <c r="R91" s="114">
        <f t="shared" si="2"/>
        <v>0.78260869565217395</v>
      </c>
      <c r="S91" s="114">
        <f t="shared" si="2"/>
        <v>0.966742252456538</v>
      </c>
      <c r="T91" s="70"/>
      <c r="U91" s="70"/>
    </row>
    <row r="92" spans="6:21" x14ac:dyDescent="0.25">
      <c r="F92" s="28" t="s">
        <v>172</v>
      </c>
      <c r="G92" s="28"/>
      <c r="H92" s="72" t="s">
        <v>203</v>
      </c>
      <c r="J92" s="70"/>
      <c r="K92" s="70"/>
      <c r="L92" s="114">
        <f t="shared" si="2"/>
        <v>0</v>
      </c>
      <c r="M92" s="114">
        <f t="shared" si="2"/>
        <v>0</v>
      </c>
      <c r="N92" s="114">
        <f t="shared" si="2"/>
        <v>6.4338235294117696E-3</v>
      </c>
      <c r="O92" s="114">
        <f t="shared" si="2"/>
        <v>4.1617122473246101E-3</v>
      </c>
      <c r="P92" s="114">
        <f t="shared" si="2"/>
        <v>0</v>
      </c>
      <c r="Q92" s="114">
        <f t="shared" si="2"/>
        <v>0.42522380337704002</v>
      </c>
      <c r="R92" s="114">
        <f t="shared" si="2"/>
        <v>0.78260869565217395</v>
      </c>
      <c r="S92" s="114">
        <f t="shared" si="2"/>
        <v>0.966742252456538</v>
      </c>
      <c r="T92" s="70"/>
      <c r="U92" s="70"/>
    </row>
    <row r="93" spans="6:21" x14ac:dyDescent="0.25">
      <c r="F93" s="28" t="s">
        <v>173</v>
      </c>
      <c r="G93" s="28"/>
      <c r="H93" s="72" t="s">
        <v>203</v>
      </c>
      <c r="J93" s="70"/>
      <c r="K93" s="70"/>
      <c r="L93" s="114">
        <f t="shared" si="2"/>
        <v>0</v>
      </c>
      <c r="M93" s="114">
        <f t="shared" si="2"/>
        <v>0</v>
      </c>
      <c r="N93" s="114">
        <f t="shared" si="2"/>
        <v>6.4338235294117696E-3</v>
      </c>
      <c r="O93" s="114">
        <f t="shared" si="2"/>
        <v>4.1617122473246101E-3</v>
      </c>
      <c r="P93" s="114">
        <f t="shared" si="2"/>
        <v>0</v>
      </c>
      <c r="Q93" s="114">
        <f t="shared" si="2"/>
        <v>0.42522380337704002</v>
      </c>
      <c r="R93" s="114">
        <f t="shared" si="2"/>
        <v>0.78260869565217395</v>
      </c>
      <c r="S93" s="114">
        <f t="shared" si="2"/>
        <v>0</v>
      </c>
      <c r="T93" s="70"/>
      <c r="U93" s="70"/>
    </row>
    <row r="94" spans="6:21" x14ac:dyDescent="0.25">
      <c r="F94" s="28" t="s">
        <v>174</v>
      </c>
      <c r="G94" s="28"/>
      <c r="H94" s="72" t="s">
        <v>203</v>
      </c>
      <c r="J94" s="70"/>
      <c r="K94" s="70"/>
      <c r="L94" s="114">
        <f t="shared" si="2"/>
        <v>0</v>
      </c>
      <c r="M94" s="114">
        <f t="shared" si="2"/>
        <v>0</v>
      </c>
      <c r="N94" s="114">
        <f t="shared" si="2"/>
        <v>6.4338235294117696E-3</v>
      </c>
      <c r="O94" s="114">
        <f t="shared" si="2"/>
        <v>4.1617122473246101E-3</v>
      </c>
      <c r="P94" s="114">
        <f t="shared" si="2"/>
        <v>0</v>
      </c>
      <c r="Q94" s="114">
        <f t="shared" si="2"/>
        <v>0.42522380337704002</v>
      </c>
      <c r="R94" s="114">
        <f t="shared" si="2"/>
        <v>0.78260869565217395</v>
      </c>
      <c r="S94" s="114">
        <f t="shared" si="2"/>
        <v>0</v>
      </c>
      <c r="T94" s="70"/>
      <c r="U94" s="70"/>
    </row>
    <row r="95" spans="6:21" x14ac:dyDescent="0.25">
      <c r="F95" s="28" t="s">
        <v>175</v>
      </c>
      <c r="G95" s="28"/>
      <c r="H95" s="72" t="s">
        <v>203</v>
      </c>
      <c r="J95" s="70"/>
      <c r="K95" s="70"/>
      <c r="L95" s="114">
        <f t="shared" si="2"/>
        <v>0</v>
      </c>
      <c r="M95" s="114">
        <f t="shared" si="2"/>
        <v>0</v>
      </c>
      <c r="N95" s="114">
        <f t="shared" si="2"/>
        <v>6.4338235294117696E-3</v>
      </c>
      <c r="O95" s="114">
        <f t="shared" si="2"/>
        <v>4.1617122473246101E-3</v>
      </c>
      <c r="P95" s="114">
        <f t="shared" si="2"/>
        <v>0</v>
      </c>
      <c r="Q95" s="114">
        <f t="shared" si="2"/>
        <v>0.42522380337704002</v>
      </c>
      <c r="R95" s="114">
        <f t="shared" si="2"/>
        <v>0.78260869565217395</v>
      </c>
      <c r="S95" s="114">
        <f t="shared" si="2"/>
        <v>0</v>
      </c>
      <c r="T95" s="70"/>
      <c r="U95" s="70"/>
    </row>
    <row r="96" spans="6:21" x14ac:dyDescent="0.25">
      <c r="F96" s="28" t="s">
        <v>176</v>
      </c>
      <c r="G96" s="28"/>
      <c r="H96" s="72" t="s">
        <v>203</v>
      </c>
      <c r="J96" s="70"/>
      <c r="K96" s="70"/>
      <c r="L96" s="114">
        <f t="shared" si="2"/>
        <v>0</v>
      </c>
      <c r="M96" s="114">
        <f t="shared" si="2"/>
        <v>0</v>
      </c>
      <c r="N96" s="114">
        <f t="shared" si="2"/>
        <v>6.4338235294117696E-3</v>
      </c>
      <c r="O96" s="114">
        <f t="shared" si="2"/>
        <v>4.1617122473246101E-3</v>
      </c>
      <c r="P96" s="114">
        <f t="shared" si="2"/>
        <v>0</v>
      </c>
      <c r="Q96" s="114">
        <f t="shared" si="2"/>
        <v>0.42522380337704002</v>
      </c>
      <c r="R96" s="114">
        <f t="shared" si="2"/>
        <v>0.78260869565217395</v>
      </c>
      <c r="S96" s="114">
        <f t="shared" si="2"/>
        <v>0</v>
      </c>
      <c r="T96" s="70"/>
      <c r="U96" s="70"/>
    </row>
    <row r="97" spans="2:23" x14ac:dyDescent="0.25">
      <c r="F97" s="28" t="s">
        <v>177</v>
      </c>
      <c r="G97" s="28"/>
      <c r="H97" s="72" t="s">
        <v>203</v>
      </c>
      <c r="J97" s="70"/>
      <c r="K97" s="70"/>
      <c r="L97" s="114">
        <f t="shared" si="2"/>
        <v>0</v>
      </c>
      <c r="M97" s="114">
        <f t="shared" si="2"/>
        <v>0</v>
      </c>
      <c r="N97" s="114">
        <f t="shared" si="2"/>
        <v>1.16978609625668E-2</v>
      </c>
      <c r="O97" s="114">
        <f t="shared" si="2"/>
        <v>7.56674954059021E-3</v>
      </c>
      <c r="P97" s="114">
        <f t="shared" si="2"/>
        <v>0</v>
      </c>
      <c r="Q97" s="114">
        <f t="shared" si="2"/>
        <v>0.38896884219615702</v>
      </c>
      <c r="R97" s="114">
        <f t="shared" si="2"/>
        <v>0</v>
      </c>
      <c r="S97" s="114">
        <f t="shared" si="2"/>
        <v>0</v>
      </c>
      <c r="T97" s="70"/>
      <c r="U97" s="70"/>
    </row>
    <row r="98" spans="2:23" x14ac:dyDescent="0.25">
      <c r="F98" s="28" t="s">
        <v>178</v>
      </c>
      <c r="G98" s="28"/>
      <c r="H98" s="72" t="s">
        <v>203</v>
      </c>
      <c r="J98" s="70"/>
      <c r="K98" s="70"/>
      <c r="L98" s="114">
        <f t="shared" ref="L98:S100" si="3">$M51 * L$60 + $L51 * L$61 + $K51 * L$62 + $J51 * L$63</f>
        <v>0</v>
      </c>
      <c r="M98" s="114">
        <f t="shared" si="3"/>
        <v>0</v>
      </c>
      <c r="N98" s="114">
        <f t="shared" si="3"/>
        <v>1.16978609625668E-2</v>
      </c>
      <c r="O98" s="114">
        <f t="shared" si="3"/>
        <v>7.56674954059021E-3</v>
      </c>
      <c r="P98" s="114">
        <f t="shared" si="3"/>
        <v>0</v>
      </c>
      <c r="Q98" s="114">
        <f t="shared" si="3"/>
        <v>0.38896884219615702</v>
      </c>
      <c r="R98" s="114">
        <f t="shared" si="3"/>
        <v>0</v>
      </c>
      <c r="S98" s="114">
        <f t="shared" si="3"/>
        <v>0</v>
      </c>
      <c r="T98" s="70"/>
      <c r="U98" s="70"/>
    </row>
    <row r="99" spans="2:23" x14ac:dyDescent="0.25">
      <c r="F99" s="28" t="s">
        <v>179</v>
      </c>
      <c r="G99" s="28"/>
      <c r="H99" s="72" t="s">
        <v>203</v>
      </c>
      <c r="J99" s="70"/>
      <c r="K99" s="70"/>
      <c r="L99" s="114">
        <f t="shared" si="3"/>
        <v>0</v>
      </c>
      <c r="M99" s="114">
        <f t="shared" si="3"/>
        <v>0</v>
      </c>
      <c r="N99" s="114">
        <f t="shared" si="3"/>
        <v>1.16978609625668E-2</v>
      </c>
      <c r="O99" s="114">
        <f t="shared" si="3"/>
        <v>7.56674954059021E-3</v>
      </c>
      <c r="P99" s="114">
        <f t="shared" si="3"/>
        <v>0</v>
      </c>
      <c r="Q99" s="114">
        <f t="shared" si="3"/>
        <v>0.38896884219615702</v>
      </c>
      <c r="R99" s="114">
        <f t="shared" si="3"/>
        <v>0</v>
      </c>
      <c r="S99" s="114">
        <f t="shared" si="3"/>
        <v>0</v>
      </c>
      <c r="T99" s="70"/>
      <c r="U99" s="70"/>
    </row>
    <row r="100" spans="2:23" x14ac:dyDescent="0.25">
      <c r="F100" s="67" t="s">
        <v>180</v>
      </c>
      <c r="G100" s="67"/>
      <c r="H100" s="80" t="s">
        <v>203</v>
      </c>
      <c r="I100" s="37"/>
      <c r="J100" s="71"/>
      <c r="K100" s="71"/>
      <c r="L100" s="146">
        <f t="shared" si="3"/>
        <v>0</v>
      </c>
      <c r="M100" s="146">
        <f t="shared" si="3"/>
        <v>0</v>
      </c>
      <c r="N100" s="146">
        <f t="shared" si="3"/>
        <v>1.16978609625668E-2</v>
      </c>
      <c r="O100" s="146">
        <f t="shared" si="3"/>
        <v>7.56674954059021E-3</v>
      </c>
      <c r="P100" s="146">
        <f t="shared" si="3"/>
        <v>0</v>
      </c>
      <c r="Q100" s="146">
        <f t="shared" si="3"/>
        <v>0.38896884219615702</v>
      </c>
      <c r="R100" s="146">
        <f t="shared" si="3"/>
        <v>0</v>
      </c>
      <c r="S100" s="146">
        <f t="shared" si="3"/>
        <v>0</v>
      </c>
      <c r="T100" s="71"/>
      <c r="U100" s="71"/>
    </row>
    <row r="102" spans="2:23" x14ac:dyDescent="0.25">
      <c r="B102" s="107" t="s">
        <v>280</v>
      </c>
      <c r="C102" s="108"/>
      <c r="D102" s="107"/>
      <c r="E102" s="107"/>
      <c r="F102" s="108"/>
      <c r="G102" s="108"/>
      <c r="H102" s="108"/>
      <c r="I102" s="108"/>
      <c r="J102" s="108"/>
      <c r="K102" s="108"/>
      <c r="L102" s="108"/>
      <c r="M102" s="108"/>
      <c r="N102" s="108"/>
      <c r="O102" s="108"/>
      <c r="P102" s="108"/>
      <c r="Q102" s="108"/>
      <c r="R102" s="108"/>
      <c r="S102" s="108"/>
      <c r="T102" s="108"/>
      <c r="U102" s="108"/>
      <c r="V102" s="108"/>
      <c r="W102" s="108"/>
    </row>
    <row r="104" spans="2:23" x14ac:dyDescent="0.25">
      <c r="E104" t="s">
        <v>281</v>
      </c>
      <c r="G104" s="6" t="s">
        <v>56</v>
      </c>
      <c r="H104" s="26">
        <f t="array" ref="H104">SUM(IF(ISERROR(H21:U100), 1))</f>
        <v>0</v>
      </c>
    </row>
    <row r="106" spans="2:23" x14ac:dyDescent="0.25">
      <c r="B106" s="107" t="s">
        <v>107</v>
      </c>
      <c r="C106" s="108"/>
      <c r="D106" s="107"/>
      <c r="E106" s="107"/>
      <c r="F106" s="108"/>
      <c r="G106" s="108"/>
      <c r="H106" s="108"/>
      <c r="I106" s="108"/>
      <c r="J106" s="108"/>
      <c r="K106" s="108"/>
      <c r="L106" s="108"/>
      <c r="M106" s="108"/>
      <c r="N106" s="108"/>
      <c r="O106" s="108"/>
      <c r="P106" s="108"/>
      <c r="Q106" s="108"/>
      <c r="R106" s="108"/>
      <c r="S106" s="108"/>
      <c r="T106" s="108"/>
      <c r="U106" s="108"/>
      <c r="V106" s="108"/>
      <c r="W106" s="108"/>
    </row>
  </sheetData>
  <sheetProtection sheet="1" objects="1" formatCells="0" formatColumns="0" formatRows="0" sort="0" autoFilter="0"/>
  <conditionalFormatting sqref="H104">
    <cfRule type="cellIs" dxfId="48" priority="3" operator="greaterThan">
      <formula>0</formula>
    </cfRule>
  </conditionalFormatting>
  <conditionalFormatting sqref="A4:XFD4">
    <cfRule type="expression" dxfId="47" priority="2">
      <formula>LEFT($A$4,1) &lt;&gt; "0"</formula>
    </cfRule>
  </conditionalFormatting>
  <conditionalFormatting sqref="J5:U5">
    <cfRule type="expression" dxfId="4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4" tint="0.59999389629810485"/>
    <pageSetUpPr fitToPage="1"/>
  </sheetPr>
  <dimension ref="A1:KR14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Volume adjustments</v>
      </c>
    </row>
    <row r="2" spans="1:60" s="1" customFormat="1" x14ac:dyDescent="0.25">
      <c r="A2" s="1" t="str">
        <f>Cover!D21&amp;" - "&amp;Cover!D23</f>
        <v>SHEPD  - Final</v>
      </c>
    </row>
    <row r="3" spans="1:60" s="5" customFormat="1" x14ac:dyDescent="0.25">
      <c r="A3" s="5" t="str">
        <f>Cover!D2&amp;" - "&amp;Cover!D8&amp;" v"&amp;Cover!D10&amp;" - "&amp;Cover!D19</f>
        <v>CDCM charging model - Release for charge setting v3 - 2020/21</v>
      </c>
    </row>
    <row r="4" spans="1:60" x14ac:dyDescent="0.25">
      <c r="A4" s="12" t="str">
        <f>H140 &amp; IF(H140 = 1, " issue", " issues") &amp;" identified in checks on this sheet"</f>
        <v>0 issues identified in checks on this sheet</v>
      </c>
      <c r="B4" s="13"/>
      <c r="C4" s="13"/>
      <c r="D4" s="13"/>
      <c r="E4" s="13"/>
      <c r="F4" s="13"/>
      <c r="G4" s="13"/>
      <c r="H4" s="14"/>
      <c r="I4" s="14"/>
      <c r="J4" s="13"/>
    </row>
    <row r="5" spans="1:60"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60"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478</v>
      </c>
    </row>
    <row r="10" spans="1:60" x14ac:dyDescent="0.25">
      <c r="C10" s="29" t="s">
        <v>479</v>
      </c>
    </row>
    <row r="11" spans="1:60" x14ac:dyDescent="0.25">
      <c r="C11" s="29" t="s">
        <v>480</v>
      </c>
    </row>
    <row r="13" spans="1:60" x14ac:dyDescent="0.25">
      <c r="B13" s="30" t="s">
        <v>481</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T13" s="30"/>
      <c r="AU13" s="30"/>
      <c r="AV13" s="30"/>
      <c r="AW13" s="30"/>
      <c r="AX13" s="30"/>
      <c r="AY13" s="30"/>
      <c r="AZ13" s="30"/>
      <c r="BA13" s="30"/>
      <c r="BB13" s="30"/>
      <c r="BC13" s="30"/>
      <c r="BD13" s="30"/>
      <c r="BE13" s="30"/>
      <c r="BF13" s="30"/>
      <c r="BH13" s="30"/>
    </row>
    <row r="14" spans="1:60" x14ac:dyDescent="0.25">
      <c r="C14" s="29"/>
    </row>
    <row r="15" spans="1:60" x14ac:dyDescent="0.25">
      <c r="C15" s="31" t="str">
        <f ca="1">INDEX('Version control'!$H$34:$H$56,MATCH($A$1,'Version control'!$F$34:$F$56,0),1)&amp;"-A: LDNO discounts"</f>
        <v>Section 104-A: LDNO discounts</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T15" s="30"/>
      <c r="AU15" s="30"/>
      <c r="AV15" s="30"/>
      <c r="AW15" s="30"/>
      <c r="AX15" s="30"/>
      <c r="AY15" s="30"/>
      <c r="AZ15" s="30"/>
      <c r="BA15" s="30"/>
      <c r="BB15" s="30"/>
      <c r="BC15" s="30"/>
      <c r="BD15" s="30"/>
      <c r="BE15" s="30"/>
      <c r="BF15" s="30"/>
      <c r="BH15" s="30"/>
    </row>
    <row r="16" spans="1:60" x14ac:dyDescent="0.25">
      <c r="C16" s="29"/>
    </row>
    <row r="17" spans="4:60" x14ac:dyDescent="0.25">
      <c r="D17" s="29" t="s">
        <v>482</v>
      </c>
    </row>
    <row r="18" spans="4:60" x14ac:dyDescent="0.25">
      <c r="D18" s="29" t="s">
        <v>483</v>
      </c>
    </row>
    <row r="19" spans="4:60" x14ac:dyDescent="0.25">
      <c r="D19" s="29"/>
    </row>
    <row r="20" spans="4:60" x14ac:dyDescent="0.25">
      <c r="E20" s="91" t="s">
        <v>484</v>
      </c>
      <c r="I20" t="s">
        <v>190</v>
      </c>
      <c r="J20" s="63"/>
      <c r="K20" s="63"/>
      <c r="L20" s="63"/>
      <c r="M20" s="63"/>
      <c r="N20" s="63"/>
      <c r="O20" s="63"/>
      <c r="P20" s="63"/>
      <c r="Q20" s="63"/>
      <c r="R20" s="63"/>
      <c r="S20" s="63"/>
      <c r="T20" s="63"/>
      <c r="U20" s="63"/>
      <c r="V20" s="63"/>
      <c r="W20" s="63"/>
      <c r="X20" s="63"/>
      <c r="Y20" s="63"/>
      <c r="Z20" s="63"/>
      <c r="AA20" s="63"/>
      <c r="AB20" s="63"/>
      <c r="AC20" s="63"/>
      <c r="AD20" s="63"/>
      <c r="AE20" s="63"/>
      <c r="AF20" s="63"/>
      <c r="AG20" s="63"/>
      <c r="AH20" s="63"/>
      <c r="AI20" s="63"/>
      <c r="AJ20" s="63"/>
      <c r="AK20" s="63"/>
      <c r="AL20" s="63"/>
      <c r="AM20" s="63"/>
      <c r="AN20" s="63"/>
      <c r="AO20" s="63"/>
      <c r="AP20" s="63"/>
    </row>
    <row r="21" spans="4:60" x14ac:dyDescent="0.25">
      <c r="E21" s="29" t="s">
        <v>485</v>
      </c>
      <c r="AR21" t="s">
        <v>486</v>
      </c>
    </row>
    <row r="22" spans="4:60" x14ac:dyDescent="0.25">
      <c r="F22" s="23" t="s">
        <v>211</v>
      </c>
      <c r="G22" s="23" t="s">
        <v>203</v>
      </c>
      <c r="H22" s="110">
        <f>'General inputs'!H30</f>
        <v>0.29399702125357685</v>
      </c>
      <c r="L22" s="63"/>
      <c r="M22" s="63"/>
      <c r="BH22" s="3"/>
    </row>
    <row r="23" spans="4:60" x14ac:dyDescent="0.25">
      <c r="F23" t="s">
        <v>213</v>
      </c>
      <c r="G23" t="s">
        <v>203</v>
      </c>
      <c r="H23" s="25">
        <f>'General inputs'!H31</f>
        <v>0.58159328142725919</v>
      </c>
      <c r="L23" s="63"/>
      <c r="M23" s="63"/>
      <c r="BH23" s="3"/>
    </row>
    <row r="24" spans="4:60" x14ac:dyDescent="0.25">
      <c r="F24" t="s">
        <v>214</v>
      </c>
      <c r="G24" t="s">
        <v>203</v>
      </c>
      <c r="H24" s="25">
        <f>'General inputs'!H32</f>
        <v>0.39416189548233249</v>
      </c>
      <c r="L24" s="63"/>
      <c r="M24" s="63"/>
      <c r="BH24" s="3"/>
    </row>
    <row r="25" spans="4:60" x14ac:dyDescent="0.25">
      <c r="F25" s="37" t="s">
        <v>215</v>
      </c>
      <c r="G25" s="37" t="s">
        <v>203</v>
      </c>
      <c r="H25" s="144">
        <f>'General inputs'!H33</f>
        <v>0.33724217358094977</v>
      </c>
      <c r="L25" s="63"/>
      <c r="M25" s="63"/>
      <c r="BH25" s="3"/>
    </row>
    <row r="27" spans="4:60" x14ac:dyDescent="0.25">
      <c r="E27" s="32" t="s">
        <v>487</v>
      </c>
      <c r="I27" t="s">
        <v>190</v>
      </c>
      <c r="L27" s="63"/>
      <c r="M27" s="63"/>
      <c r="AR27" t="s">
        <v>488</v>
      </c>
      <c r="BH27" s="3"/>
    </row>
    <row r="28" spans="4:60" x14ac:dyDescent="0.25">
      <c r="E28" s="29" t="s">
        <v>489</v>
      </c>
    </row>
    <row r="29" spans="4:60" x14ac:dyDescent="0.25">
      <c r="E29" s="29" t="s">
        <v>490</v>
      </c>
    </row>
    <row r="30" spans="4:60" x14ac:dyDescent="0.25">
      <c r="F30" s="23" t="s">
        <v>211</v>
      </c>
      <c r="G30" s="23" t="s">
        <v>212</v>
      </c>
      <c r="H30" s="23"/>
      <c r="I30" s="23"/>
      <c r="J30" s="147">
        <f>'Fixed inputs'!J46</f>
        <v>1</v>
      </c>
      <c r="K30" s="147">
        <f>'Fixed inputs'!K46</f>
        <v>1</v>
      </c>
      <c r="L30" s="147">
        <f>'Fixed inputs'!L46</f>
        <v>1</v>
      </c>
      <c r="M30" s="147">
        <f>'Fixed inputs'!M46</f>
        <v>1</v>
      </c>
      <c r="N30" s="147">
        <f>'Fixed inputs'!N46</f>
        <v>1</v>
      </c>
      <c r="O30" s="147">
        <f>'Fixed inputs'!O46</f>
        <v>1</v>
      </c>
      <c r="P30" s="147">
        <f>'Fixed inputs'!P46</f>
        <v>1</v>
      </c>
      <c r="Q30" s="147">
        <f>'Fixed inputs'!Q46</f>
        <v>0</v>
      </c>
      <c r="R30" s="147">
        <f>'Fixed inputs'!R46</f>
        <v>0</v>
      </c>
      <c r="S30" s="147">
        <f>'Fixed inputs'!S46</f>
        <v>1</v>
      </c>
      <c r="T30" s="147">
        <f>'Fixed inputs'!T46</f>
        <v>1</v>
      </c>
      <c r="U30" s="147">
        <f>'Fixed inputs'!U46</f>
        <v>1</v>
      </c>
      <c r="V30" s="147">
        <f>'Fixed inputs'!V46</f>
        <v>0</v>
      </c>
      <c r="W30" s="147">
        <f>'Fixed inputs'!W46</f>
        <v>0</v>
      </c>
      <c r="X30" s="147">
        <f>'Fixed inputs'!X46</f>
        <v>1</v>
      </c>
      <c r="Y30" s="147">
        <f>'Fixed inputs'!Y46</f>
        <v>1</v>
      </c>
      <c r="Z30" s="147">
        <f>'Fixed inputs'!Z46</f>
        <v>1</v>
      </c>
      <c r="AA30" s="147">
        <f>'Fixed inputs'!AA46</f>
        <v>1</v>
      </c>
      <c r="AB30" s="147">
        <f>'Fixed inputs'!AB46</f>
        <v>1</v>
      </c>
      <c r="AC30" s="147">
        <f>'Fixed inputs'!AC46</f>
        <v>0</v>
      </c>
      <c r="AD30" s="147">
        <f>'Fixed inputs'!AD46</f>
        <v>0</v>
      </c>
      <c r="AE30" s="147">
        <f>'Fixed inputs'!AE46</f>
        <v>0</v>
      </c>
      <c r="AF30" s="147">
        <f>'Fixed inputs'!AF46</f>
        <v>0</v>
      </c>
      <c r="AG30" s="147">
        <f>'Fixed inputs'!AG46</f>
        <v>0</v>
      </c>
      <c r="AH30" s="147">
        <f>'Fixed inputs'!AH46</f>
        <v>0</v>
      </c>
      <c r="AI30" s="147">
        <f>'Fixed inputs'!AI46</f>
        <v>0</v>
      </c>
      <c r="AJ30" s="147">
        <f>'Fixed inputs'!AJ46</f>
        <v>0</v>
      </c>
      <c r="AK30" s="147">
        <f>'Fixed inputs'!AK46</f>
        <v>0</v>
      </c>
      <c r="AL30" s="147">
        <f>'Fixed inputs'!AL46</f>
        <v>0</v>
      </c>
      <c r="AM30" s="147">
        <f>'Fixed inputs'!AM46</f>
        <v>0</v>
      </c>
      <c r="AN30" s="147">
        <f>'Fixed inputs'!AN46</f>
        <v>0</v>
      </c>
      <c r="AO30" s="147">
        <f>'Fixed inputs'!AO46</f>
        <v>0</v>
      </c>
      <c r="AP30" s="147">
        <f>'Fixed inputs'!AP46</f>
        <v>0</v>
      </c>
      <c r="BH30" s="3"/>
    </row>
    <row r="31" spans="4:60" x14ac:dyDescent="0.25">
      <c r="F31" t="s">
        <v>213</v>
      </c>
      <c r="G31" t="s">
        <v>212</v>
      </c>
      <c r="J31" s="140">
        <f>'Fixed inputs'!J47</f>
        <v>1</v>
      </c>
      <c r="K31" s="140">
        <f>'Fixed inputs'!K47</f>
        <v>1</v>
      </c>
      <c r="L31" s="140">
        <f>'Fixed inputs'!L47</f>
        <v>1</v>
      </c>
      <c r="M31" s="140">
        <f>'Fixed inputs'!M47</f>
        <v>1</v>
      </c>
      <c r="N31" s="140">
        <f>'Fixed inputs'!N47</f>
        <v>1</v>
      </c>
      <c r="O31" s="140">
        <f>'Fixed inputs'!O47</f>
        <v>1</v>
      </c>
      <c r="P31" s="140">
        <f>'Fixed inputs'!P47</f>
        <v>1</v>
      </c>
      <c r="Q31" s="140">
        <f>'Fixed inputs'!Q47</f>
        <v>0</v>
      </c>
      <c r="R31" s="140">
        <f>'Fixed inputs'!R47</f>
        <v>0</v>
      </c>
      <c r="S31" s="140">
        <f>'Fixed inputs'!S47</f>
        <v>1</v>
      </c>
      <c r="T31" s="140">
        <f>'Fixed inputs'!T47</f>
        <v>1</v>
      </c>
      <c r="U31" s="140">
        <f>'Fixed inputs'!U47</f>
        <v>1</v>
      </c>
      <c r="V31" s="140">
        <f>'Fixed inputs'!V47</f>
        <v>0</v>
      </c>
      <c r="W31" s="140">
        <f>'Fixed inputs'!W47</f>
        <v>0</v>
      </c>
      <c r="X31" s="140">
        <f>'Fixed inputs'!X47</f>
        <v>1</v>
      </c>
      <c r="Y31" s="140">
        <f>'Fixed inputs'!Y47</f>
        <v>1</v>
      </c>
      <c r="Z31" s="140">
        <f>'Fixed inputs'!Z47</f>
        <v>1</v>
      </c>
      <c r="AA31" s="140">
        <f>'Fixed inputs'!AA47</f>
        <v>1</v>
      </c>
      <c r="AB31" s="140">
        <f>'Fixed inputs'!AB47</f>
        <v>1</v>
      </c>
      <c r="AC31" s="140">
        <f>'Fixed inputs'!AC47</f>
        <v>0</v>
      </c>
      <c r="AD31" s="140">
        <f>'Fixed inputs'!AD47</f>
        <v>0</v>
      </c>
      <c r="AE31" s="140">
        <f>'Fixed inputs'!AE47</f>
        <v>0</v>
      </c>
      <c r="AF31" s="140">
        <f>'Fixed inputs'!AF47</f>
        <v>0</v>
      </c>
      <c r="AG31" s="140">
        <f>'Fixed inputs'!AG47</f>
        <v>0</v>
      </c>
      <c r="AH31" s="140">
        <f>'Fixed inputs'!AH47</f>
        <v>0</v>
      </c>
      <c r="AI31" s="140">
        <f>'Fixed inputs'!AI47</f>
        <v>0</v>
      </c>
      <c r="AJ31" s="140">
        <f>'Fixed inputs'!AJ47</f>
        <v>0</v>
      </c>
      <c r="AK31" s="140">
        <f>'Fixed inputs'!AK47</f>
        <v>0</v>
      </c>
      <c r="AL31" s="140">
        <f>'Fixed inputs'!AL47</f>
        <v>0</v>
      </c>
      <c r="AM31" s="140">
        <f>'Fixed inputs'!AM47</f>
        <v>0</v>
      </c>
      <c r="AN31" s="140">
        <f>'Fixed inputs'!AN47</f>
        <v>0</v>
      </c>
      <c r="AO31" s="140">
        <f>'Fixed inputs'!AO47</f>
        <v>0</v>
      </c>
      <c r="AP31" s="140">
        <f>'Fixed inputs'!AP47</f>
        <v>0</v>
      </c>
      <c r="BH31" s="3"/>
    </row>
    <row r="32" spans="4:60" x14ac:dyDescent="0.25">
      <c r="F32" t="s">
        <v>214</v>
      </c>
      <c r="G32" t="s">
        <v>212</v>
      </c>
      <c r="J32" s="140">
        <f>'Fixed inputs'!J48</f>
        <v>0</v>
      </c>
      <c r="K32" s="140">
        <f>'Fixed inputs'!K48</f>
        <v>0</v>
      </c>
      <c r="L32" s="140">
        <f>'Fixed inputs'!L48</f>
        <v>0</v>
      </c>
      <c r="M32" s="140">
        <f>'Fixed inputs'!M48</f>
        <v>0</v>
      </c>
      <c r="N32" s="140">
        <f>'Fixed inputs'!N48</f>
        <v>0</v>
      </c>
      <c r="O32" s="140">
        <f>'Fixed inputs'!O48</f>
        <v>0</v>
      </c>
      <c r="P32" s="140">
        <f>'Fixed inputs'!P48</f>
        <v>0</v>
      </c>
      <c r="Q32" s="140">
        <f>'Fixed inputs'!Q48</f>
        <v>0</v>
      </c>
      <c r="R32" s="140">
        <f>'Fixed inputs'!R48</f>
        <v>0</v>
      </c>
      <c r="S32" s="140">
        <f>'Fixed inputs'!S48</f>
        <v>0</v>
      </c>
      <c r="T32" s="140">
        <f>'Fixed inputs'!T48</f>
        <v>0</v>
      </c>
      <c r="U32" s="140">
        <f>'Fixed inputs'!U48</f>
        <v>0</v>
      </c>
      <c r="V32" s="140">
        <f>'Fixed inputs'!V48</f>
        <v>1</v>
      </c>
      <c r="W32" s="140">
        <f>'Fixed inputs'!W48</f>
        <v>0</v>
      </c>
      <c r="X32" s="140">
        <f>'Fixed inputs'!X48</f>
        <v>0</v>
      </c>
      <c r="Y32" s="140">
        <f>'Fixed inputs'!Y48</f>
        <v>0</v>
      </c>
      <c r="Z32" s="140">
        <f>'Fixed inputs'!Z48</f>
        <v>0</v>
      </c>
      <c r="AA32" s="140">
        <f>'Fixed inputs'!AA48</f>
        <v>0</v>
      </c>
      <c r="AB32" s="140">
        <f>'Fixed inputs'!AB48</f>
        <v>0</v>
      </c>
      <c r="AC32" s="140">
        <f>'Fixed inputs'!AC48</f>
        <v>0</v>
      </c>
      <c r="AD32" s="140">
        <f>'Fixed inputs'!AD48</f>
        <v>0</v>
      </c>
      <c r="AE32" s="140">
        <f>'Fixed inputs'!AE48</f>
        <v>0</v>
      </c>
      <c r="AF32" s="140">
        <f>'Fixed inputs'!AF48</f>
        <v>0</v>
      </c>
      <c r="AG32" s="140">
        <f>'Fixed inputs'!AG48</f>
        <v>0</v>
      </c>
      <c r="AH32" s="140">
        <f>'Fixed inputs'!AH48</f>
        <v>0</v>
      </c>
      <c r="AI32" s="140">
        <f>'Fixed inputs'!AI48</f>
        <v>0</v>
      </c>
      <c r="AJ32" s="140">
        <f>'Fixed inputs'!AJ48</f>
        <v>0</v>
      </c>
      <c r="AK32" s="140">
        <f>'Fixed inputs'!AK48</f>
        <v>0</v>
      </c>
      <c r="AL32" s="140">
        <f>'Fixed inputs'!AL48</f>
        <v>0</v>
      </c>
      <c r="AM32" s="140">
        <f>'Fixed inputs'!AM48</f>
        <v>0</v>
      </c>
      <c r="AN32" s="140">
        <f>'Fixed inputs'!AN48</f>
        <v>0</v>
      </c>
      <c r="AO32" s="140">
        <f>'Fixed inputs'!AO48</f>
        <v>0</v>
      </c>
      <c r="AP32" s="140">
        <f>'Fixed inputs'!AP48</f>
        <v>0</v>
      </c>
      <c r="BH32" s="3"/>
    </row>
    <row r="33" spans="4:60" x14ac:dyDescent="0.25">
      <c r="F33" s="37" t="s">
        <v>215</v>
      </c>
      <c r="G33" s="37" t="s">
        <v>212</v>
      </c>
      <c r="H33" s="37"/>
      <c r="I33" s="37"/>
      <c r="J33" s="141">
        <f>'Fixed inputs'!J49</f>
        <v>0</v>
      </c>
      <c r="K33" s="141">
        <f>'Fixed inputs'!K49</f>
        <v>0</v>
      </c>
      <c r="L33" s="141">
        <f>'Fixed inputs'!L49</f>
        <v>0</v>
      </c>
      <c r="M33" s="141">
        <f>'Fixed inputs'!M49</f>
        <v>0</v>
      </c>
      <c r="N33" s="141">
        <f>'Fixed inputs'!N49</f>
        <v>0</v>
      </c>
      <c r="O33" s="141">
        <f>'Fixed inputs'!O49</f>
        <v>0</v>
      </c>
      <c r="P33" s="141">
        <f>'Fixed inputs'!P49</f>
        <v>0</v>
      </c>
      <c r="Q33" s="141">
        <f>'Fixed inputs'!Q49</f>
        <v>0</v>
      </c>
      <c r="R33" s="141">
        <f>'Fixed inputs'!R49</f>
        <v>0</v>
      </c>
      <c r="S33" s="141">
        <f>'Fixed inputs'!S49</f>
        <v>0</v>
      </c>
      <c r="T33" s="141">
        <f>'Fixed inputs'!T49</f>
        <v>0</v>
      </c>
      <c r="U33" s="141">
        <f>'Fixed inputs'!U49</f>
        <v>0</v>
      </c>
      <c r="V33" s="141">
        <f>'Fixed inputs'!V49</f>
        <v>0</v>
      </c>
      <c r="W33" s="141">
        <f>'Fixed inputs'!W49</f>
        <v>1</v>
      </c>
      <c r="X33" s="141">
        <f>'Fixed inputs'!X49</f>
        <v>0</v>
      </c>
      <c r="Y33" s="141">
        <f>'Fixed inputs'!Y49</f>
        <v>0</v>
      </c>
      <c r="Z33" s="141">
        <f>'Fixed inputs'!Z49</f>
        <v>0</v>
      </c>
      <c r="AA33" s="141">
        <f>'Fixed inputs'!AA49</f>
        <v>0</v>
      </c>
      <c r="AB33" s="141">
        <f>'Fixed inputs'!AB49</f>
        <v>0</v>
      </c>
      <c r="AC33" s="141">
        <f>'Fixed inputs'!AC49</f>
        <v>0</v>
      </c>
      <c r="AD33" s="141">
        <f>'Fixed inputs'!AD49</f>
        <v>0</v>
      </c>
      <c r="AE33" s="141">
        <f>'Fixed inputs'!AE49</f>
        <v>0</v>
      </c>
      <c r="AF33" s="141">
        <f>'Fixed inputs'!AF49</f>
        <v>0</v>
      </c>
      <c r="AG33" s="141">
        <f>'Fixed inputs'!AG49</f>
        <v>0</v>
      </c>
      <c r="AH33" s="141">
        <f>'Fixed inputs'!AH49</f>
        <v>0</v>
      </c>
      <c r="AI33" s="141">
        <f>'Fixed inputs'!AI49</f>
        <v>0</v>
      </c>
      <c r="AJ33" s="141">
        <f>'Fixed inputs'!AJ49</f>
        <v>0</v>
      </c>
      <c r="AK33" s="141">
        <f>'Fixed inputs'!AK49</f>
        <v>0</v>
      </c>
      <c r="AL33" s="141">
        <f>'Fixed inputs'!AL49</f>
        <v>0</v>
      </c>
      <c r="AM33" s="141">
        <f>'Fixed inputs'!AM49</f>
        <v>0</v>
      </c>
      <c r="AN33" s="141">
        <f>'Fixed inputs'!AN49</f>
        <v>0</v>
      </c>
      <c r="AO33" s="141">
        <f>'Fixed inputs'!AO49</f>
        <v>0</v>
      </c>
      <c r="AP33" s="141">
        <f>'Fixed inputs'!AP49</f>
        <v>0</v>
      </c>
      <c r="BH33" s="3"/>
    </row>
    <row r="34" spans="4:60" x14ac:dyDescent="0.25">
      <c r="F34" s="28" t="s">
        <v>491</v>
      </c>
      <c r="G34" s="28" t="s">
        <v>203</v>
      </c>
      <c r="J34" s="148">
        <f>J30 * $H$22</f>
        <v>0.29399702125357685</v>
      </c>
      <c r="K34" s="148">
        <f t="shared" ref="K34:AP34" si="0">K30 * $H$22</f>
        <v>0.29399702125357685</v>
      </c>
      <c r="L34" s="148">
        <f t="shared" si="0"/>
        <v>0.29399702125357685</v>
      </c>
      <c r="M34" s="148">
        <f t="shared" si="0"/>
        <v>0.29399702125357685</v>
      </c>
      <c r="N34" s="148">
        <f t="shared" si="0"/>
        <v>0.29399702125357685</v>
      </c>
      <c r="O34" s="148">
        <f t="shared" si="0"/>
        <v>0.29399702125357685</v>
      </c>
      <c r="P34" s="148">
        <f t="shared" si="0"/>
        <v>0.29399702125357685</v>
      </c>
      <c r="Q34" s="148">
        <f t="shared" si="0"/>
        <v>0</v>
      </c>
      <c r="R34" s="148">
        <f t="shared" si="0"/>
        <v>0</v>
      </c>
      <c r="S34" s="148">
        <f t="shared" si="0"/>
        <v>0.29399702125357685</v>
      </c>
      <c r="T34" s="148">
        <f t="shared" si="0"/>
        <v>0.29399702125357685</v>
      </c>
      <c r="U34" s="148">
        <f t="shared" si="0"/>
        <v>0.29399702125357685</v>
      </c>
      <c r="V34" s="148">
        <f t="shared" ref="V34" si="1">V30 * $H$22</f>
        <v>0</v>
      </c>
      <c r="W34" s="148">
        <f t="shared" si="0"/>
        <v>0</v>
      </c>
      <c r="X34" s="148">
        <f t="shared" si="0"/>
        <v>0.29399702125357685</v>
      </c>
      <c r="Y34" s="148">
        <f t="shared" si="0"/>
        <v>0.29399702125357685</v>
      </c>
      <c r="Z34" s="148">
        <f t="shared" si="0"/>
        <v>0.29399702125357685</v>
      </c>
      <c r="AA34" s="148">
        <f t="shared" si="0"/>
        <v>0.29399702125357685</v>
      </c>
      <c r="AB34" s="148">
        <f t="shared" si="0"/>
        <v>0.29399702125357685</v>
      </c>
      <c r="AC34" s="148">
        <f t="shared" si="0"/>
        <v>0</v>
      </c>
      <c r="AD34" s="148">
        <f t="shared" si="0"/>
        <v>0</v>
      </c>
      <c r="AE34" s="148">
        <f t="shared" si="0"/>
        <v>0</v>
      </c>
      <c r="AF34" s="148">
        <f t="shared" si="0"/>
        <v>0</v>
      </c>
      <c r="AG34" s="148">
        <f t="shared" si="0"/>
        <v>0</v>
      </c>
      <c r="AH34" s="148">
        <f t="shared" si="0"/>
        <v>0</v>
      </c>
      <c r="AI34" s="148">
        <f t="shared" si="0"/>
        <v>0</v>
      </c>
      <c r="AJ34" s="148">
        <f t="shared" si="0"/>
        <v>0</v>
      </c>
      <c r="AK34" s="148">
        <f t="shared" si="0"/>
        <v>0</v>
      </c>
      <c r="AL34" s="148">
        <f t="shared" si="0"/>
        <v>0</v>
      </c>
      <c r="AM34" s="148">
        <f t="shared" si="0"/>
        <v>0</v>
      </c>
      <c r="AN34" s="148">
        <f t="shared" si="0"/>
        <v>0</v>
      </c>
      <c r="AO34" s="148">
        <f t="shared" si="0"/>
        <v>0</v>
      </c>
      <c r="AP34" s="148">
        <f t="shared" si="0"/>
        <v>0</v>
      </c>
      <c r="BH34" s="3"/>
    </row>
    <row r="35" spans="4:60" x14ac:dyDescent="0.25">
      <c r="F35" s="28" t="s">
        <v>492</v>
      </c>
      <c r="G35" s="28" t="s">
        <v>203</v>
      </c>
      <c r="J35" s="148">
        <f>SUMPRODUCT(J31:J33,$H$23:$H$25)</f>
        <v>0.58159328142725919</v>
      </c>
      <c r="K35" s="148">
        <f t="shared" ref="K35:AP35" si="2">SUMPRODUCT(K31:K33,$H$23:$H$25)</f>
        <v>0.58159328142725919</v>
      </c>
      <c r="L35" s="148">
        <f t="shared" si="2"/>
        <v>0.58159328142725919</v>
      </c>
      <c r="M35" s="148">
        <f t="shared" si="2"/>
        <v>0.58159328142725919</v>
      </c>
      <c r="N35" s="148">
        <f t="shared" si="2"/>
        <v>0.58159328142725919</v>
      </c>
      <c r="O35" s="148">
        <f t="shared" si="2"/>
        <v>0.58159328142725919</v>
      </c>
      <c r="P35" s="148">
        <f t="shared" si="2"/>
        <v>0.58159328142725919</v>
      </c>
      <c r="Q35" s="148">
        <f t="shared" si="2"/>
        <v>0</v>
      </c>
      <c r="R35" s="148">
        <f t="shared" si="2"/>
        <v>0</v>
      </c>
      <c r="S35" s="148">
        <f t="shared" si="2"/>
        <v>0.58159328142725919</v>
      </c>
      <c r="T35" s="148">
        <f t="shared" si="2"/>
        <v>0.58159328142725919</v>
      </c>
      <c r="U35" s="148">
        <f t="shared" si="2"/>
        <v>0.58159328142725919</v>
      </c>
      <c r="V35" s="148">
        <f t="shared" ref="V35" si="3">SUMPRODUCT(V31:V33,$H$23:$H$25)</f>
        <v>0.39416189548233249</v>
      </c>
      <c r="W35" s="148">
        <f t="shared" si="2"/>
        <v>0.33724217358094977</v>
      </c>
      <c r="X35" s="148">
        <f t="shared" si="2"/>
        <v>0.58159328142725919</v>
      </c>
      <c r="Y35" s="148">
        <f t="shared" si="2"/>
        <v>0.58159328142725919</v>
      </c>
      <c r="Z35" s="148">
        <f t="shared" si="2"/>
        <v>0.58159328142725919</v>
      </c>
      <c r="AA35" s="148">
        <f t="shared" si="2"/>
        <v>0.58159328142725919</v>
      </c>
      <c r="AB35" s="148">
        <f t="shared" si="2"/>
        <v>0.58159328142725919</v>
      </c>
      <c r="AC35" s="148">
        <f t="shared" si="2"/>
        <v>0</v>
      </c>
      <c r="AD35" s="148">
        <f t="shared" si="2"/>
        <v>0</v>
      </c>
      <c r="AE35" s="148">
        <f t="shared" si="2"/>
        <v>0</v>
      </c>
      <c r="AF35" s="148">
        <f t="shared" si="2"/>
        <v>0</v>
      </c>
      <c r="AG35" s="148">
        <f t="shared" si="2"/>
        <v>0</v>
      </c>
      <c r="AH35" s="148">
        <f t="shared" si="2"/>
        <v>0</v>
      </c>
      <c r="AI35" s="148">
        <f t="shared" si="2"/>
        <v>0</v>
      </c>
      <c r="AJ35" s="148">
        <f t="shared" si="2"/>
        <v>0</v>
      </c>
      <c r="AK35" s="148">
        <f t="shared" si="2"/>
        <v>0</v>
      </c>
      <c r="AL35" s="148">
        <f t="shared" si="2"/>
        <v>0</v>
      </c>
      <c r="AM35" s="148">
        <f t="shared" si="2"/>
        <v>0</v>
      </c>
      <c r="AN35" s="148">
        <f t="shared" si="2"/>
        <v>0</v>
      </c>
      <c r="AO35" s="148">
        <f t="shared" si="2"/>
        <v>0</v>
      </c>
      <c r="AP35" s="148">
        <f t="shared" si="2"/>
        <v>0</v>
      </c>
      <c r="BH35" s="3"/>
    </row>
    <row r="36" spans="4:60" x14ac:dyDescent="0.25">
      <c r="D36" s="32"/>
      <c r="L36" s="63"/>
      <c r="M36" s="63"/>
      <c r="BH36" s="3"/>
    </row>
    <row r="37" spans="4:60" x14ac:dyDescent="0.25">
      <c r="E37" s="32" t="s">
        <v>493</v>
      </c>
      <c r="I37" t="s">
        <v>190</v>
      </c>
      <c r="L37" s="63"/>
      <c r="M37" s="63"/>
      <c r="AR37" t="s">
        <v>488</v>
      </c>
      <c r="BH37" s="3"/>
    </row>
    <row r="38" spans="4:60" x14ac:dyDescent="0.25">
      <c r="E38" s="29" t="s">
        <v>494</v>
      </c>
    </row>
    <row r="39" spans="4:60" x14ac:dyDescent="0.25">
      <c r="F39" s="28" t="s">
        <v>495</v>
      </c>
      <c r="G39" s="28" t="s">
        <v>245</v>
      </c>
      <c r="J39" s="149" t="b">
        <f>'Fixed inputs'!J106</f>
        <v>0</v>
      </c>
      <c r="K39" s="149" t="b">
        <f>'Fixed inputs'!K106</f>
        <v>0</v>
      </c>
      <c r="L39" s="149" t="b">
        <f>'Fixed inputs'!L106</f>
        <v>0</v>
      </c>
      <c r="M39" s="149" t="b">
        <f>'Fixed inputs'!M106</f>
        <v>0</v>
      </c>
      <c r="N39" s="149" t="b">
        <f>'Fixed inputs'!N106</f>
        <v>0</v>
      </c>
      <c r="O39" s="149" t="b">
        <f>'Fixed inputs'!O106</f>
        <v>0</v>
      </c>
      <c r="P39" s="149" t="b">
        <f>'Fixed inputs'!P106</f>
        <v>0</v>
      </c>
      <c r="Q39" s="149" t="b">
        <f>'Fixed inputs'!Q106</f>
        <v>0</v>
      </c>
      <c r="R39" s="149" t="b">
        <f>'Fixed inputs'!R106</f>
        <v>0</v>
      </c>
      <c r="S39" s="149" t="b">
        <f>'Fixed inputs'!S106</f>
        <v>0</v>
      </c>
      <c r="T39" s="149" t="b">
        <f>'Fixed inputs'!T106</f>
        <v>0</v>
      </c>
      <c r="U39" s="149" t="b">
        <f>'Fixed inputs'!U106</f>
        <v>0</v>
      </c>
      <c r="V39" s="149" t="b">
        <f>'Fixed inputs'!V106</f>
        <v>0</v>
      </c>
      <c r="W39" s="149" t="b">
        <f>'Fixed inputs'!W106</f>
        <v>0</v>
      </c>
      <c r="X39" s="149" t="b">
        <f>'Fixed inputs'!X106</f>
        <v>0</v>
      </c>
      <c r="Y39" s="149" t="b">
        <f>'Fixed inputs'!Y106</f>
        <v>0</v>
      </c>
      <c r="Z39" s="149" t="b">
        <f>'Fixed inputs'!Z106</f>
        <v>0</v>
      </c>
      <c r="AA39" s="149" t="b">
        <f>'Fixed inputs'!AA106</f>
        <v>0</v>
      </c>
      <c r="AB39" s="149" t="b">
        <f>'Fixed inputs'!AB106</f>
        <v>0</v>
      </c>
      <c r="AC39" s="149" t="b">
        <f>'Fixed inputs'!AC106</f>
        <v>1</v>
      </c>
      <c r="AD39" s="149" t="b">
        <f>'Fixed inputs'!AD106</f>
        <v>1</v>
      </c>
      <c r="AE39" s="149" t="b">
        <f>'Fixed inputs'!AE106</f>
        <v>1</v>
      </c>
      <c r="AF39" s="149" t="b">
        <f>'Fixed inputs'!AF106</f>
        <v>1</v>
      </c>
      <c r="AG39" s="149" t="b">
        <f>'Fixed inputs'!AG106</f>
        <v>1</v>
      </c>
      <c r="AH39" s="149" t="b">
        <f>'Fixed inputs'!AH106</f>
        <v>1</v>
      </c>
      <c r="AI39" s="149" t="b">
        <f>'Fixed inputs'!AI106</f>
        <v>1</v>
      </c>
      <c r="AJ39" s="149" t="b">
        <f>'Fixed inputs'!AJ106</f>
        <v>1</v>
      </c>
      <c r="AK39" s="149" t="b">
        <f>'Fixed inputs'!AK106</f>
        <v>1</v>
      </c>
      <c r="AL39" s="149" t="b">
        <f>'Fixed inputs'!AL106</f>
        <v>1</v>
      </c>
      <c r="AM39" s="149" t="b">
        <f>'Fixed inputs'!AM106</f>
        <v>1</v>
      </c>
      <c r="AN39" s="149" t="b">
        <f>'Fixed inputs'!AN106</f>
        <v>1</v>
      </c>
      <c r="AO39" s="149" t="b">
        <f>'Fixed inputs'!AO106</f>
        <v>1</v>
      </c>
      <c r="AP39" s="149" t="b">
        <f>'Fixed inputs'!AP106</f>
        <v>1</v>
      </c>
      <c r="BH39" s="3"/>
    </row>
    <row r="40" spans="4:60" x14ac:dyDescent="0.25">
      <c r="F40" s="28" t="s">
        <v>496</v>
      </c>
      <c r="G40" s="28" t="s">
        <v>245</v>
      </c>
      <c r="J40" s="149" t="b">
        <f>'Fixed inputs'!J110</f>
        <v>0</v>
      </c>
      <c r="K40" s="149" t="b">
        <f>'Fixed inputs'!K110</f>
        <v>0</v>
      </c>
      <c r="L40" s="149" t="b">
        <f>'Fixed inputs'!L110</f>
        <v>0</v>
      </c>
      <c r="M40" s="149" t="b">
        <f>'Fixed inputs'!M110</f>
        <v>0</v>
      </c>
      <c r="N40" s="149" t="b">
        <f>'Fixed inputs'!N110</f>
        <v>0</v>
      </c>
      <c r="O40" s="149" t="b">
        <f>'Fixed inputs'!O110</f>
        <v>0</v>
      </c>
      <c r="P40" s="149" t="b">
        <f>'Fixed inputs'!P110</f>
        <v>0</v>
      </c>
      <c r="Q40" s="149" t="b">
        <f>'Fixed inputs'!Q110</f>
        <v>0</v>
      </c>
      <c r="R40" s="149" t="b">
        <f>'Fixed inputs'!R110</f>
        <v>0</v>
      </c>
      <c r="S40" s="149" t="b">
        <f>'Fixed inputs'!S110</f>
        <v>0</v>
      </c>
      <c r="T40" s="149" t="b">
        <f>'Fixed inputs'!T110</f>
        <v>0</v>
      </c>
      <c r="U40" s="149" t="b">
        <f>'Fixed inputs'!U110</f>
        <v>0</v>
      </c>
      <c r="V40" s="149" t="b">
        <f>'Fixed inputs'!V110</f>
        <v>0</v>
      </c>
      <c r="W40" s="149" t="b">
        <f>'Fixed inputs'!W110</f>
        <v>0</v>
      </c>
      <c r="X40" s="149" t="b">
        <f>'Fixed inputs'!X110</f>
        <v>0</v>
      </c>
      <c r="Y40" s="149" t="b">
        <f>'Fixed inputs'!Y110</f>
        <v>0</v>
      </c>
      <c r="Z40" s="149" t="b">
        <f>'Fixed inputs'!Z110</f>
        <v>0</v>
      </c>
      <c r="AA40" s="149" t="b">
        <f>'Fixed inputs'!AA110</f>
        <v>0</v>
      </c>
      <c r="AB40" s="149" t="b">
        <f>'Fixed inputs'!AB110</f>
        <v>0</v>
      </c>
      <c r="AC40" s="149" t="b">
        <f>'Fixed inputs'!AC110</f>
        <v>1</v>
      </c>
      <c r="AD40" s="149" t="b">
        <f>'Fixed inputs'!AD110</f>
        <v>1</v>
      </c>
      <c r="AE40" s="149" t="b">
        <f>'Fixed inputs'!AE110</f>
        <v>1</v>
      </c>
      <c r="AF40" s="149" t="b">
        <f>'Fixed inputs'!AF110</f>
        <v>1</v>
      </c>
      <c r="AG40" s="149" t="b">
        <f>'Fixed inputs'!AG110</f>
        <v>1</v>
      </c>
      <c r="AH40" s="149" t="b">
        <f>'Fixed inputs'!AH110</f>
        <v>1</v>
      </c>
      <c r="AI40" s="149" t="b">
        <f>'Fixed inputs'!AI110</f>
        <v>1</v>
      </c>
      <c r="AJ40" s="149" t="b">
        <f>'Fixed inputs'!AJ110</f>
        <v>1</v>
      </c>
      <c r="AK40" s="149" t="b">
        <f>'Fixed inputs'!AK110</f>
        <v>1</v>
      </c>
      <c r="AL40" s="149" t="b">
        <f>'Fixed inputs'!AL110</f>
        <v>1</v>
      </c>
      <c r="AM40" s="149" t="b">
        <f>'Fixed inputs'!AM110</f>
        <v>1</v>
      </c>
      <c r="AN40" s="149" t="b">
        <f>'Fixed inputs'!AN110</f>
        <v>1</v>
      </c>
      <c r="AO40" s="149" t="b">
        <f>'Fixed inputs'!AO110</f>
        <v>1</v>
      </c>
      <c r="AP40" s="149" t="b">
        <f>'Fixed inputs'!AP110</f>
        <v>1</v>
      </c>
      <c r="BH40" s="3"/>
    </row>
    <row r="41" spans="4:60" x14ac:dyDescent="0.25">
      <c r="F41" s="28" t="s">
        <v>497</v>
      </c>
      <c r="G41" s="28" t="s">
        <v>245</v>
      </c>
      <c r="J41" s="149" t="b">
        <f>'Fixed inputs'!J114</f>
        <v>0</v>
      </c>
      <c r="K41" s="149" t="b">
        <f>'Fixed inputs'!K114</f>
        <v>0</v>
      </c>
      <c r="L41" s="149" t="b">
        <f>'Fixed inputs'!L114</f>
        <v>0</v>
      </c>
      <c r="M41" s="149" t="b">
        <f>'Fixed inputs'!M114</f>
        <v>0</v>
      </c>
      <c r="N41" s="149" t="b">
        <f>'Fixed inputs'!N114</f>
        <v>0</v>
      </c>
      <c r="O41" s="149" t="b">
        <f>'Fixed inputs'!O114</f>
        <v>0</v>
      </c>
      <c r="P41" s="149" t="b">
        <f>'Fixed inputs'!P114</f>
        <v>0</v>
      </c>
      <c r="Q41" s="149" t="b">
        <f>'Fixed inputs'!Q114</f>
        <v>0</v>
      </c>
      <c r="R41" s="149" t="b">
        <f>'Fixed inputs'!R114</f>
        <v>0</v>
      </c>
      <c r="S41" s="149" t="b">
        <f>'Fixed inputs'!S114</f>
        <v>0</v>
      </c>
      <c r="T41" s="149" t="b">
        <f>'Fixed inputs'!T114</f>
        <v>0</v>
      </c>
      <c r="U41" s="149" t="b">
        <f>'Fixed inputs'!U114</f>
        <v>0</v>
      </c>
      <c r="V41" s="149" t="b">
        <f>'Fixed inputs'!V114</f>
        <v>0</v>
      </c>
      <c r="W41" s="149" t="b">
        <f>'Fixed inputs'!W114</f>
        <v>0</v>
      </c>
      <c r="X41" s="149" t="b">
        <f>'Fixed inputs'!X114</f>
        <v>0</v>
      </c>
      <c r="Y41" s="149" t="b">
        <f>'Fixed inputs'!Y114</f>
        <v>0</v>
      </c>
      <c r="Z41" s="149" t="b">
        <f>'Fixed inputs'!Z114</f>
        <v>0</v>
      </c>
      <c r="AA41" s="149" t="b">
        <f>'Fixed inputs'!AA114</f>
        <v>0</v>
      </c>
      <c r="AB41" s="149" t="b">
        <f>'Fixed inputs'!AB114</f>
        <v>0</v>
      </c>
      <c r="AC41" s="149" t="b">
        <f>'Fixed inputs'!AC114</f>
        <v>1</v>
      </c>
      <c r="AD41" s="149" t="b">
        <f>'Fixed inputs'!AD114</f>
        <v>1</v>
      </c>
      <c r="AE41" s="149" t="b">
        <f>'Fixed inputs'!AE114</f>
        <v>1</v>
      </c>
      <c r="AF41" s="149" t="b">
        <f>'Fixed inputs'!AF114</f>
        <v>1</v>
      </c>
      <c r="AG41" s="149" t="b">
        <f>'Fixed inputs'!AG114</f>
        <v>1</v>
      </c>
      <c r="AH41" s="149" t="b">
        <f>'Fixed inputs'!AH114</f>
        <v>1</v>
      </c>
      <c r="AI41" s="149" t="b">
        <f>'Fixed inputs'!AI114</f>
        <v>1</v>
      </c>
      <c r="AJ41" s="149" t="b">
        <f>'Fixed inputs'!AJ114</f>
        <v>1</v>
      </c>
      <c r="AK41" s="149" t="b">
        <f>'Fixed inputs'!AK114</f>
        <v>1</v>
      </c>
      <c r="AL41" s="149" t="b">
        <f>'Fixed inputs'!AL114</f>
        <v>1</v>
      </c>
      <c r="AM41" s="149" t="b">
        <f>'Fixed inputs'!AM114</f>
        <v>1</v>
      </c>
      <c r="AN41" s="149" t="b">
        <f>'Fixed inputs'!AN114</f>
        <v>1</v>
      </c>
      <c r="AO41" s="149" t="b">
        <f>'Fixed inputs'!AO114</f>
        <v>1</v>
      </c>
      <c r="AP41" s="149" t="b">
        <f>'Fixed inputs'!AP114</f>
        <v>1</v>
      </c>
      <c r="BH41" s="3"/>
    </row>
    <row r="42" spans="4:60" x14ac:dyDescent="0.25">
      <c r="F42" s="28" t="s">
        <v>498</v>
      </c>
      <c r="G42" s="28" t="s">
        <v>245</v>
      </c>
      <c r="J42" s="149" t="b">
        <f>'Fixed inputs'!J118</f>
        <v>0</v>
      </c>
      <c r="K42" s="149" t="b">
        <f>'Fixed inputs'!K118</f>
        <v>0</v>
      </c>
      <c r="L42" s="149" t="b">
        <f>'Fixed inputs'!L118</f>
        <v>0</v>
      </c>
      <c r="M42" s="149" t="b">
        <f>'Fixed inputs'!M118</f>
        <v>0</v>
      </c>
      <c r="N42" s="149" t="b">
        <f>'Fixed inputs'!N118</f>
        <v>0</v>
      </c>
      <c r="O42" s="149" t="b">
        <f>'Fixed inputs'!O118</f>
        <v>0</v>
      </c>
      <c r="P42" s="149" t="b">
        <f>'Fixed inputs'!P118</f>
        <v>0</v>
      </c>
      <c r="Q42" s="149" t="b">
        <f>'Fixed inputs'!Q118</f>
        <v>0</v>
      </c>
      <c r="R42" s="149" t="b">
        <f>'Fixed inputs'!R118</f>
        <v>0</v>
      </c>
      <c r="S42" s="149" t="b">
        <f>'Fixed inputs'!S118</f>
        <v>0</v>
      </c>
      <c r="T42" s="149" t="b">
        <f>'Fixed inputs'!T118</f>
        <v>0</v>
      </c>
      <c r="U42" s="149" t="b">
        <f>'Fixed inputs'!U118</f>
        <v>0</v>
      </c>
      <c r="V42" s="149" t="b">
        <f>'Fixed inputs'!V118</f>
        <v>0</v>
      </c>
      <c r="W42" s="149" t="b">
        <f>'Fixed inputs'!W118</f>
        <v>0</v>
      </c>
      <c r="X42" s="149" t="b">
        <f>'Fixed inputs'!X118</f>
        <v>0</v>
      </c>
      <c r="Y42" s="149" t="b">
        <f>'Fixed inputs'!Y118</f>
        <v>0</v>
      </c>
      <c r="Z42" s="149" t="b">
        <f>'Fixed inputs'!Z118</f>
        <v>0</v>
      </c>
      <c r="AA42" s="149" t="b">
        <f>'Fixed inputs'!AA118</f>
        <v>0</v>
      </c>
      <c r="AB42" s="149" t="b">
        <f>'Fixed inputs'!AB118</f>
        <v>0</v>
      </c>
      <c r="AC42" s="149" t="b">
        <f>'Fixed inputs'!AC118</f>
        <v>1</v>
      </c>
      <c r="AD42" s="149" t="b">
        <f>'Fixed inputs'!AD118</f>
        <v>1</v>
      </c>
      <c r="AE42" s="149" t="b">
        <f>'Fixed inputs'!AE118</f>
        <v>1</v>
      </c>
      <c r="AF42" s="149" t="b">
        <f>'Fixed inputs'!AF118</f>
        <v>1</v>
      </c>
      <c r="AG42" s="149" t="b">
        <f>'Fixed inputs'!AG118</f>
        <v>1</v>
      </c>
      <c r="AH42" s="149" t="b">
        <f>'Fixed inputs'!AH118</f>
        <v>1</v>
      </c>
      <c r="AI42" s="149" t="b">
        <f>'Fixed inputs'!AI118</f>
        <v>1</v>
      </c>
      <c r="AJ42" s="149" t="b">
        <f>'Fixed inputs'!AJ118</f>
        <v>1</v>
      </c>
      <c r="AK42" s="149" t="b">
        <f>'Fixed inputs'!AK118</f>
        <v>1</v>
      </c>
      <c r="AL42" s="149" t="b">
        <f>'Fixed inputs'!AL118</f>
        <v>1</v>
      </c>
      <c r="AM42" s="149" t="b">
        <f>'Fixed inputs'!AM118</f>
        <v>1</v>
      </c>
      <c r="AN42" s="149" t="b">
        <f>'Fixed inputs'!AN118</f>
        <v>1</v>
      </c>
      <c r="AO42" s="149" t="b">
        <f>'Fixed inputs'!AO118</f>
        <v>1</v>
      </c>
      <c r="AP42" s="149" t="b">
        <f>'Fixed inputs'!AP118</f>
        <v>1</v>
      </c>
      <c r="BH42" s="3"/>
    </row>
    <row r="43" spans="4:60" x14ac:dyDescent="0.25">
      <c r="F43" s="28" t="s">
        <v>499</v>
      </c>
      <c r="G43" s="28" t="s">
        <v>245</v>
      </c>
      <c r="J43" s="149" t="b">
        <f>'Fixed inputs'!J122</f>
        <v>0</v>
      </c>
      <c r="K43" s="149" t="b">
        <f>'Fixed inputs'!K122</f>
        <v>0</v>
      </c>
      <c r="L43" s="149" t="b">
        <f>'Fixed inputs'!L122</f>
        <v>0</v>
      </c>
      <c r="M43" s="149" t="b">
        <f>'Fixed inputs'!M122</f>
        <v>0</v>
      </c>
      <c r="N43" s="149" t="b">
        <f>'Fixed inputs'!N122</f>
        <v>0</v>
      </c>
      <c r="O43" s="149" t="b">
        <f>'Fixed inputs'!O122</f>
        <v>0</v>
      </c>
      <c r="P43" s="149" t="b">
        <f>'Fixed inputs'!P122</f>
        <v>0</v>
      </c>
      <c r="Q43" s="149" t="b">
        <f>'Fixed inputs'!Q122</f>
        <v>0</v>
      </c>
      <c r="R43" s="149" t="b">
        <f>'Fixed inputs'!R122</f>
        <v>0</v>
      </c>
      <c r="S43" s="149" t="b">
        <f>'Fixed inputs'!S122</f>
        <v>0</v>
      </c>
      <c r="T43" s="149" t="b">
        <f>'Fixed inputs'!T122</f>
        <v>0</v>
      </c>
      <c r="U43" s="149" t="b">
        <f>'Fixed inputs'!U122</f>
        <v>0</v>
      </c>
      <c r="V43" s="149" t="b">
        <f>'Fixed inputs'!V122</f>
        <v>0</v>
      </c>
      <c r="W43" s="149" t="b">
        <f>'Fixed inputs'!W122</f>
        <v>0</v>
      </c>
      <c r="X43" s="149" t="b">
        <f>'Fixed inputs'!X122</f>
        <v>0</v>
      </c>
      <c r="Y43" s="149" t="b">
        <f>'Fixed inputs'!Y122</f>
        <v>0</v>
      </c>
      <c r="Z43" s="149" t="b">
        <f>'Fixed inputs'!Z122</f>
        <v>0</v>
      </c>
      <c r="AA43" s="149" t="b">
        <f>'Fixed inputs'!AA122</f>
        <v>0</v>
      </c>
      <c r="AB43" s="149" t="b">
        <f>'Fixed inputs'!AB122</f>
        <v>0</v>
      </c>
      <c r="AC43" s="149" t="b">
        <f>'Fixed inputs'!AC122</f>
        <v>1</v>
      </c>
      <c r="AD43" s="149" t="b">
        <f>'Fixed inputs'!AD122</f>
        <v>1</v>
      </c>
      <c r="AE43" s="149" t="b">
        <f>'Fixed inputs'!AE122</f>
        <v>1</v>
      </c>
      <c r="AF43" s="149" t="b">
        <f>'Fixed inputs'!AF122</f>
        <v>1</v>
      </c>
      <c r="AG43" s="149" t="b">
        <f>'Fixed inputs'!AG122</f>
        <v>1</v>
      </c>
      <c r="AH43" s="149" t="b">
        <f>'Fixed inputs'!AH122</f>
        <v>1</v>
      </c>
      <c r="AI43" s="149" t="b">
        <f>'Fixed inputs'!AI122</f>
        <v>1</v>
      </c>
      <c r="AJ43" s="149" t="b">
        <f>'Fixed inputs'!AJ122</f>
        <v>1</v>
      </c>
      <c r="AK43" s="149" t="b">
        <f>'Fixed inputs'!AK122</f>
        <v>1</v>
      </c>
      <c r="AL43" s="149" t="b">
        <f>'Fixed inputs'!AL122</f>
        <v>1</v>
      </c>
      <c r="AM43" s="149" t="b">
        <f>'Fixed inputs'!AM122</f>
        <v>1</v>
      </c>
      <c r="AN43" s="149" t="b">
        <f>'Fixed inputs'!AN122</f>
        <v>1</v>
      </c>
      <c r="AO43" s="149" t="b">
        <f>'Fixed inputs'!AO122</f>
        <v>1</v>
      </c>
      <c r="AP43" s="149" t="b">
        <f>'Fixed inputs'!AP122</f>
        <v>1</v>
      </c>
      <c r="BH43" s="3"/>
    </row>
    <row r="44" spans="4:60" x14ac:dyDescent="0.25">
      <c r="D44" s="32"/>
      <c r="L44" s="63"/>
      <c r="M44" s="63"/>
      <c r="BH44" s="3"/>
    </row>
    <row r="45" spans="4:60" x14ac:dyDescent="0.25">
      <c r="F45" s="28" t="s">
        <v>500</v>
      </c>
      <c r="G45" s="28" t="s">
        <v>203</v>
      </c>
      <c r="J45" s="25">
        <f>'Fixed inputs'!J107</f>
        <v>0</v>
      </c>
      <c r="K45" s="25">
        <f>'Fixed inputs'!K107</f>
        <v>0</v>
      </c>
      <c r="L45" s="25">
        <f>'Fixed inputs'!L107</f>
        <v>0</v>
      </c>
      <c r="M45" s="25">
        <f>'Fixed inputs'!M107</f>
        <v>0</v>
      </c>
      <c r="N45" s="25">
        <f>'Fixed inputs'!N107</f>
        <v>0</v>
      </c>
      <c r="O45" s="25">
        <f>'Fixed inputs'!O107</f>
        <v>0</v>
      </c>
      <c r="P45" s="25">
        <f>'Fixed inputs'!P107</f>
        <v>0</v>
      </c>
      <c r="Q45" s="25">
        <f>'Fixed inputs'!Q107</f>
        <v>0</v>
      </c>
      <c r="R45" s="25">
        <f>'Fixed inputs'!R107</f>
        <v>0</v>
      </c>
      <c r="S45" s="25">
        <f>'Fixed inputs'!S107</f>
        <v>0</v>
      </c>
      <c r="T45" s="25">
        <f>'Fixed inputs'!T107</f>
        <v>0</v>
      </c>
      <c r="U45" s="25">
        <f>'Fixed inputs'!U107</f>
        <v>0</v>
      </c>
      <c r="V45" s="25">
        <f>'Fixed inputs'!V107</f>
        <v>0</v>
      </c>
      <c r="W45" s="25">
        <f>'Fixed inputs'!W107</f>
        <v>0</v>
      </c>
      <c r="X45" s="25">
        <f>'Fixed inputs'!X107</f>
        <v>0</v>
      </c>
      <c r="Y45" s="25">
        <f>'Fixed inputs'!Y107</f>
        <v>0</v>
      </c>
      <c r="Z45" s="25">
        <f>'Fixed inputs'!Z107</f>
        <v>0</v>
      </c>
      <c r="AA45" s="25">
        <f>'Fixed inputs'!AA107</f>
        <v>0</v>
      </c>
      <c r="AB45" s="25">
        <f>'Fixed inputs'!AB107</f>
        <v>0</v>
      </c>
      <c r="AC45" s="25">
        <f>'Fixed inputs'!AC107</f>
        <v>0</v>
      </c>
      <c r="AD45" s="25">
        <f>'Fixed inputs'!AD107</f>
        <v>0</v>
      </c>
      <c r="AE45" s="25">
        <f>'Fixed inputs'!AE107</f>
        <v>0</v>
      </c>
      <c r="AF45" s="25">
        <f>'Fixed inputs'!AF107</f>
        <v>0</v>
      </c>
      <c r="AG45" s="25">
        <f>'Fixed inputs'!AG107</f>
        <v>0</v>
      </c>
      <c r="AH45" s="25">
        <f>'Fixed inputs'!AH107</f>
        <v>0</v>
      </c>
      <c r="AI45" s="25">
        <f>'Fixed inputs'!AI107</f>
        <v>0</v>
      </c>
      <c r="AJ45" s="25">
        <f>'Fixed inputs'!AJ107</f>
        <v>0</v>
      </c>
      <c r="AK45" s="25">
        <f>'Fixed inputs'!AK107</f>
        <v>0</v>
      </c>
      <c r="AL45" s="25">
        <f>'Fixed inputs'!AL107</f>
        <v>0</v>
      </c>
      <c r="AM45" s="25">
        <f>'Fixed inputs'!AM107</f>
        <v>0</v>
      </c>
      <c r="AN45" s="25">
        <f>'Fixed inputs'!AN107</f>
        <v>0</v>
      </c>
      <c r="AO45" s="25">
        <f>'Fixed inputs'!AO107</f>
        <v>0</v>
      </c>
      <c r="AP45" s="25">
        <f>'Fixed inputs'!AP107</f>
        <v>0</v>
      </c>
      <c r="BH45" s="3"/>
    </row>
    <row r="46" spans="4:60" x14ac:dyDescent="0.25">
      <c r="F46" s="28" t="s">
        <v>501</v>
      </c>
      <c r="G46" s="28" t="s">
        <v>203</v>
      </c>
      <c r="J46" s="25">
        <f>'Fixed inputs'!J111</f>
        <v>0</v>
      </c>
      <c r="K46" s="25">
        <f>'Fixed inputs'!K111</f>
        <v>0</v>
      </c>
      <c r="L46" s="25">
        <f>'Fixed inputs'!L111</f>
        <v>0</v>
      </c>
      <c r="M46" s="25">
        <f>'Fixed inputs'!M111</f>
        <v>0</v>
      </c>
      <c r="N46" s="25">
        <f>'Fixed inputs'!N111</f>
        <v>0</v>
      </c>
      <c r="O46" s="25">
        <f>'Fixed inputs'!O111</f>
        <v>0</v>
      </c>
      <c r="P46" s="25">
        <f>'Fixed inputs'!P111</f>
        <v>0</v>
      </c>
      <c r="Q46" s="25">
        <f>'Fixed inputs'!Q111</f>
        <v>0</v>
      </c>
      <c r="R46" s="25">
        <f>'Fixed inputs'!R111</f>
        <v>0</v>
      </c>
      <c r="S46" s="25">
        <f>'Fixed inputs'!S111</f>
        <v>0</v>
      </c>
      <c r="T46" s="25">
        <f>'Fixed inputs'!T111</f>
        <v>0</v>
      </c>
      <c r="U46" s="25">
        <f>'Fixed inputs'!U111</f>
        <v>0</v>
      </c>
      <c r="V46" s="25">
        <f>'Fixed inputs'!V111</f>
        <v>0</v>
      </c>
      <c r="W46" s="25">
        <f>'Fixed inputs'!W111</f>
        <v>0</v>
      </c>
      <c r="X46" s="25">
        <f>'Fixed inputs'!X111</f>
        <v>0</v>
      </c>
      <c r="Y46" s="25">
        <f>'Fixed inputs'!Y111</f>
        <v>0</v>
      </c>
      <c r="Z46" s="25">
        <f>'Fixed inputs'!Z111</f>
        <v>0</v>
      </c>
      <c r="AA46" s="25">
        <f>'Fixed inputs'!AA111</f>
        <v>0</v>
      </c>
      <c r="AB46" s="25">
        <f>'Fixed inputs'!AB111</f>
        <v>0</v>
      </c>
      <c r="AC46" s="25">
        <f>'Fixed inputs'!AC111</f>
        <v>1</v>
      </c>
      <c r="AD46" s="25">
        <f>'Fixed inputs'!AD111</f>
        <v>1</v>
      </c>
      <c r="AE46" s="25">
        <f>'Fixed inputs'!AE111</f>
        <v>1</v>
      </c>
      <c r="AF46" s="25">
        <f>'Fixed inputs'!AF111</f>
        <v>1</v>
      </c>
      <c r="AG46" s="25">
        <f>'Fixed inputs'!AG111</f>
        <v>1</v>
      </c>
      <c r="AH46" s="25">
        <f>'Fixed inputs'!AH111</f>
        <v>1</v>
      </c>
      <c r="AI46" s="25">
        <f>'Fixed inputs'!AI111</f>
        <v>1</v>
      </c>
      <c r="AJ46" s="25">
        <f>'Fixed inputs'!AJ111</f>
        <v>1</v>
      </c>
      <c r="AK46" s="25">
        <f>'Fixed inputs'!AK111</f>
        <v>1</v>
      </c>
      <c r="AL46" s="25">
        <f>'Fixed inputs'!AL111</f>
        <v>1</v>
      </c>
      <c r="AM46" s="25">
        <f>'Fixed inputs'!AM111</f>
        <v>1</v>
      </c>
      <c r="AN46" s="25">
        <f>'Fixed inputs'!AN111</f>
        <v>1</v>
      </c>
      <c r="AO46" s="25">
        <f>'Fixed inputs'!AO111</f>
        <v>1</v>
      </c>
      <c r="AP46" s="25">
        <f>'Fixed inputs'!AP111</f>
        <v>1</v>
      </c>
      <c r="BH46" s="3"/>
    </row>
    <row r="47" spans="4:60" x14ac:dyDescent="0.25">
      <c r="F47" s="28" t="s">
        <v>502</v>
      </c>
      <c r="G47" s="28" t="s">
        <v>203</v>
      </c>
      <c r="J47" s="25">
        <f>'Fixed inputs'!J115</f>
        <v>0</v>
      </c>
      <c r="K47" s="25">
        <f>'Fixed inputs'!K115</f>
        <v>0</v>
      </c>
      <c r="L47" s="25">
        <f>'Fixed inputs'!L115</f>
        <v>0</v>
      </c>
      <c r="M47" s="25">
        <f>'Fixed inputs'!M115</f>
        <v>0</v>
      </c>
      <c r="N47" s="25">
        <f>'Fixed inputs'!N115</f>
        <v>0</v>
      </c>
      <c r="O47" s="25">
        <f>'Fixed inputs'!O115</f>
        <v>0</v>
      </c>
      <c r="P47" s="25">
        <f>'Fixed inputs'!P115</f>
        <v>0</v>
      </c>
      <c r="Q47" s="25">
        <f>'Fixed inputs'!Q115</f>
        <v>0</v>
      </c>
      <c r="R47" s="25">
        <f>'Fixed inputs'!R115</f>
        <v>0</v>
      </c>
      <c r="S47" s="25">
        <f>'Fixed inputs'!S115</f>
        <v>0</v>
      </c>
      <c r="T47" s="25">
        <f>'Fixed inputs'!T115</f>
        <v>0</v>
      </c>
      <c r="U47" s="25">
        <f>'Fixed inputs'!U115</f>
        <v>0</v>
      </c>
      <c r="V47" s="25">
        <f>'Fixed inputs'!V115</f>
        <v>0</v>
      </c>
      <c r="W47" s="25">
        <f>'Fixed inputs'!W115</f>
        <v>0</v>
      </c>
      <c r="X47" s="25">
        <f>'Fixed inputs'!X115</f>
        <v>0</v>
      </c>
      <c r="Y47" s="25">
        <f>'Fixed inputs'!Y115</f>
        <v>0</v>
      </c>
      <c r="Z47" s="25">
        <f>'Fixed inputs'!Z115</f>
        <v>0</v>
      </c>
      <c r="AA47" s="25">
        <f>'Fixed inputs'!AA115</f>
        <v>0</v>
      </c>
      <c r="AB47" s="25">
        <f>'Fixed inputs'!AB115</f>
        <v>0</v>
      </c>
      <c r="AC47" s="25">
        <f>'Fixed inputs'!AC115</f>
        <v>0</v>
      </c>
      <c r="AD47" s="25">
        <f>'Fixed inputs'!AD115</f>
        <v>0</v>
      </c>
      <c r="AE47" s="25">
        <f>'Fixed inputs'!AE115</f>
        <v>0</v>
      </c>
      <c r="AF47" s="25">
        <f>'Fixed inputs'!AF115</f>
        <v>0</v>
      </c>
      <c r="AG47" s="25">
        <f>'Fixed inputs'!AG115</f>
        <v>0</v>
      </c>
      <c r="AH47" s="25">
        <f>'Fixed inputs'!AH115</f>
        <v>0</v>
      </c>
      <c r="AI47" s="25">
        <f>'Fixed inputs'!AI115</f>
        <v>0</v>
      </c>
      <c r="AJ47" s="25">
        <f>'Fixed inputs'!AJ115</f>
        <v>0</v>
      </c>
      <c r="AK47" s="25">
        <f>'Fixed inputs'!AK115</f>
        <v>0</v>
      </c>
      <c r="AL47" s="25">
        <f>'Fixed inputs'!AL115</f>
        <v>0</v>
      </c>
      <c r="AM47" s="25">
        <f>'Fixed inputs'!AM115</f>
        <v>0</v>
      </c>
      <c r="AN47" s="25">
        <f>'Fixed inputs'!AN115</f>
        <v>0</v>
      </c>
      <c r="AO47" s="25">
        <f>'Fixed inputs'!AO115</f>
        <v>0</v>
      </c>
      <c r="AP47" s="25">
        <f>'Fixed inputs'!AP115</f>
        <v>0</v>
      </c>
      <c r="BH47" s="3"/>
    </row>
    <row r="48" spans="4:60" x14ac:dyDescent="0.25">
      <c r="F48" s="28" t="s">
        <v>503</v>
      </c>
      <c r="G48" s="28" t="s">
        <v>203</v>
      </c>
      <c r="J48" s="25">
        <f>'Fixed inputs'!J119</f>
        <v>0</v>
      </c>
      <c r="K48" s="25">
        <f>'Fixed inputs'!K119</f>
        <v>0</v>
      </c>
      <c r="L48" s="25">
        <f>'Fixed inputs'!L119</f>
        <v>0</v>
      </c>
      <c r="M48" s="25">
        <f>'Fixed inputs'!M119</f>
        <v>0</v>
      </c>
      <c r="N48" s="25">
        <f>'Fixed inputs'!N119</f>
        <v>0</v>
      </c>
      <c r="O48" s="25">
        <f>'Fixed inputs'!O119</f>
        <v>0</v>
      </c>
      <c r="P48" s="25">
        <f>'Fixed inputs'!P119</f>
        <v>0</v>
      </c>
      <c r="Q48" s="25">
        <f>'Fixed inputs'!Q119</f>
        <v>0</v>
      </c>
      <c r="R48" s="25">
        <f>'Fixed inputs'!R119</f>
        <v>0</v>
      </c>
      <c r="S48" s="25">
        <f>'Fixed inputs'!S119</f>
        <v>0</v>
      </c>
      <c r="T48" s="25">
        <f>'Fixed inputs'!T119</f>
        <v>0</v>
      </c>
      <c r="U48" s="25">
        <f>'Fixed inputs'!U119</f>
        <v>0</v>
      </c>
      <c r="V48" s="25">
        <f>'Fixed inputs'!V119</f>
        <v>0</v>
      </c>
      <c r="W48" s="25">
        <f>'Fixed inputs'!W119</f>
        <v>0</v>
      </c>
      <c r="X48" s="25">
        <f>'Fixed inputs'!X119</f>
        <v>0</v>
      </c>
      <c r="Y48" s="25">
        <f>'Fixed inputs'!Y119</f>
        <v>0</v>
      </c>
      <c r="Z48" s="25">
        <f>'Fixed inputs'!Z119</f>
        <v>0</v>
      </c>
      <c r="AA48" s="25">
        <f>'Fixed inputs'!AA119</f>
        <v>0</v>
      </c>
      <c r="AB48" s="25">
        <f>'Fixed inputs'!AB119</f>
        <v>0</v>
      </c>
      <c r="AC48" s="25">
        <f>'Fixed inputs'!AC119</f>
        <v>0</v>
      </c>
      <c r="AD48" s="25">
        <f>'Fixed inputs'!AD119</f>
        <v>0</v>
      </c>
      <c r="AE48" s="25">
        <f>'Fixed inputs'!AE119</f>
        <v>0</v>
      </c>
      <c r="AF48" s="25">
        <f>'Fixed inputs'!AF119</f>
        <v>0</v>
      </c>
      <c r="AG48" s="25">
        <f>'Fixed inputs'!AG119</f>
        <v>0</v>
      </c>
      <c r="AH48" s="25">
        <f>'Fixed inputs'!AH119</f>
        <v>0</v>
      </c>
      <c r="AI48" s="25">
        <f>'Fixed inputs'!AI119</f>
        <v>0</v>
      </c>
      <c r="AJ48" s="25">
        <f>'Fixed inputs'!AJ119</f>
        <v>0</v>
      </c>
      <c r="AK48" s="25">
        <f>'Fixed inputs'!AK119</f>
        <v>0</v>
      </c>
      <c r="AL48" s="25">
        <f>'Fixed inputs'!AL119</f>
        <v>0</v>
      </c>
      <c r="AM48" s="25">
        <f>'Fixed inputs'!AM119</f>
        <v>0</v>
      </c>
      <c r="AN48" s="25">
        <f>'Fixed inputs'!AN119</f>
        <v>0</v>
      </c>
      <c r="AO48" s="25">
        <f>'Fixed inputs'!AO119</f>
        <v>0</v>
      </c>
      <c r="AP48" s="25">
        <f>'Fixed inputs'!AP119</f>
        <v>0</v>
      </c>
      <c r="BH48" s="3"/>
    </row>
    <row r="49" spans="2:60" x14ac:dyDescent="0.25">
      <c r="F49" s="28" t="s">
        <v>504</v>
      </c>
      <c r="G49" s="28" t="s">
        <v>203</v>
      </c>
      <c r="J49" s="25">
        <f>'Fixed inputs'!J123</f>
        <v>0</v>
      </c>
      <c r="K49" s="25">
        <f>'Fixed inputs'!K123</f>
        <v>0</v>
      </c>
      <c r="L49" s="25">
        <f>'Fixed inputs'!L123</f>
        <v>0</v>
      </c>
      <c r="M49" s="25">
        <f>'Fixed inputs'!M123</f>
        <v>0</v>
      </c>
      <c r="N49" s="25">
        <f>'Fixed inputs'!N123</f>
        <v>0</v>
      </c>
      <c r="O49" s="25">
        <f>'Fixed inputs'!O123</f>
        <v>0</v>
      </c>
      <c r="P49" s="25">
        <f>'Fixed inputs'!P123</f>
        <v>0</v>
      </c>
      <c r="Q49" s="25">
        <f>'Fixed inputs'!Q123</f>
        <v>0</v>
      </c>
      <c r="R49" s="25">
        <f>'Fixed inputs'!R123</f>
        <v>0</v>
      </c>
      <c r="S49" s="25">
        <f>'Fixed inputs'!S123</f>
        <v>0</v>
      </c>
      <c r="T49" s="25">
        <f>'Fixed inputs'!T123</f>
        <v>0</v>
      </c>
      <c r="U49" s="25">
        <f>'Fixed inputs'!U123</f>
        <v>0</v>
      </c>
      <c r="V49" s="25">
        <f>'Fixed inputs'!V123</f>
        <v>0</v>
      </c>
      <c r="W49" s="25">
        <f>'Fixed inputs'!W123</f>
        <v>0</v>
      </c>
      <c r="X49" s="25">
        <f>'Fixed inputs'!X123</f>
        <v>0</v>
      </c>
      <c r="Y49" s="25">
        <f>'Fixed inputs'!Y123</f>
        <v>0</v>
      </c>
      <c r="Z49" s="25">
        <f>'Fixed inputs'!Z123</f>
        <v>0</v>
      </c>
      <c r="AA49" s="25">
        <f>'Fixed inputs'!AA123</f>
        <v>0</v>
      </c>
      <c r="AB49" s="25">
        <f>'Fixed inputs'!AB123</f>
        <v>0</v>
      </c>
      <c r="AC49" s="25">
        <f>'Fixed inputs'!AC123</f>
        <v>0</v>
      </c>
      <c r="AD49" s="25">
        <f>'Fixed inputs'!AD123</f>
        <v>0</v>
      </c>
      <c r="AE49" s="25">
        <f>'Fixed inputs'!AE123</f>
        <v>0</v>
      </c>
      <c r="AF49" s="25">
        <f>'Fixed inputs'!AF123</f>
        <v>0</v>
      </c>
      <c r="AG49" s="25">
        <f>'Fixed inputs'!AG123</f>
        <v>0</v>
      </c>
      <c r="AH49" s="25">
        <f>'Fixed inputs'!AH123</f>
        <v>0</v>
      </c>
      <c r="AI49" s="25">
        <f>'Fixed inputs'!AI123</f>
        <v>0</v>
      </c>
      <c r="AJ49" s="25">
        <f>'Fixed inputs'!AJ123</f>
        <v>0</v>
      </c>
      <c r="AK49" s="25">
        <f>'Fixed inputs'!AK123</f>
        <v>0</v>
      </c>
      <c r="AL49" s="25">
        <f>'Fixed inputs'!AL123</f>
        <v>0</v>
      </c>
      <c r="AM49" s="25">
        <f>'Fixed inputs'!AM123</f>
        <v>0</v>
      </c>
      <c r="AN49" s="25">
        <f>'Fixed inputs'!AN123</f>
        <v>0</v>
      </c>
      <c r="AO49" s="25">
        <f>'Fixed inputs'!AO123</f>
        <v>0</v>
      </c>
      <c r="AP49" s="25">
        <f>'Fixed inputs'!AP123</f>
        <v>0</v>
      </c>
      <c r="BH49" s="3"/>
    </row>
    <row r="50" spans="2:60" x14ac:dyDescent="0.25">
      <c r="C50" s="32"/>
      <c r="L50" s="63"/>
      <c r="M50" s="63"/>
      <c r="BH50" s="3"/>
    </row>
    <row r="51" spans="2:60" x14ac:dyDescent="0.25">
      <c r="B51" s="30" t="s">
        <v>505</v>
      </c>
      <c r="C51" s="30"/>
      <c r="D51" s="30"/>
      <c r="E51" s="30"/>
      <c r="F51" s="30"/>
      <c r="G51" s="30"/>
      <c r="H51" s="30"/>
      <c r="I51" s="30"/>
      <c r="J51" s="30"/>
      <c r="K51" s="30"/>
      <c r="L51" s="30"/>
      <c r="M51" s="30"/>
      <c r="N51" s="30"/>
      <c r="O51" s="30"/>
      <c r="P51" s="30"/>
      <c r="Q51" s="30"/>
      <c r="R51" s="30"/>
      <c r="S51" s="30"/>
      <c r="T51" s="30"/>
      <c r="U51" s="30"/>
      <c r="V51" s="30"/>
      <c r="W51" s="30"/>
      <c r="X51" s="30"/>
      <c r="Y51" s="30"/>
      <c r="Z51" s="30"/>
      <c r="AA51" s="30"/>
      <c r="AB51" s="30"/>
      <c r="AC51" s="30"/>
      <c r="AD51" s="30"/>
      <c r="AE51" s="30"/>
      <c r="AF51" s="30"/>
      <c r="AG51" s="30"/>
      <c r="AH51" s="30"/>
      <c r="AI51" s="30"/>
      <c r="AJ51" s="30"/>
      <c r="AK51" s="30"/>
      <c r="AL51" s="30"/>
      <c r="AM51" s="30"/>
      <c r="AN51" s="30"/>
      <c r="AO51" s="30"/>
      <c r="AP51" s="30"/>
      <c r="AQ51" s="30"/>
      <c r="AR51" s="30"/>
      <c r="AT51" s="30"/>
      <c r="AU51" s="30"/>
      <c r="AV51" s="30"/>
      <c r="AW51" s="30"/>
      <c r="AX51" s="30"/>
      <c r="AY51" s="30"/>
      <c r="AZ51" s="30"/>
      <c r="BA51" s="30"/>
      <c r="BB51" s="30"/>
      <c r="BC51" s="30"/>
      <c r="BD51" s="30"/>
      <c r="BE51" s="30"/>
      <c r="BF51" s="30"/>
      <c r="BH51" s="30"/>
    </row>
    <row r="52" spans="2:60" x14ac:dyDescent="0.25">
      <c r="C52" s="32"/>
      <c r="L52" s="63"/>
      <c r="M52" s="63"/>
      <c r="BH52" s="3"/>
    </row>
    <row r="53" spans="2:60" x14ac:dyDescent="0.25">
      <c r="C53" s="29" t="s">
        <v>506</v>
      </c>
      <c r="L53" s="63"/>
      <c r="M53" s="63"/>
      <c r="BH53" s="3"/>
    </row>
    <row r="54" spans="2:60" x14ac:dyDescent="0.25">
      <c r="C54" s="32"/>
      <c r="L54" s="63"/>
      <c r="M54" s="63"/>
      <c r="BH54" s="3"/>
    </row>
    <row r="55" spans="2:60" x14ac:dyDescent="0.25">
      <c r="C55" s="31" t="str">
        <f ca="1">INDEX('Version control'!$H$34:$H$56,MATCH($A$1,'Version control'!$F$34:$F$56,0),1)&amp;"-B: Volume discounting"</f>
        <v>Section 104-B: Volume discounting</v>
      </c>
      <c r="D55" s="31"/>
      <c r="E55" s="31"/>
      <c r="F55" s="31"/>
      <c r="G55" s="31"/>
      <c r="H55" s="31"/>
      <c r="I55" s="31"/>
      <c r="J55" s="31"/>
      <c r="K55" s="31"/>
      <c r="L55" s="31"/>
      <c r="M55" s="31"/>
      <c r="N55" s="31"/>
      <c r="O55" s="31"/>
      <c r="P55" s="31"/>
      <c r="Q55" s="31"/>
      <c r="R55" s="31"/>
      <c r="S55" s="31"/>
      <c r="T55" s="31"/>
      <c r="U55" s="31"/>
      <c r="V55" s="31"/>
      <c r="W55" s="31"/>
      <c r="X55" s="31"/>
      <c r="Y55" s="31"/>
      <c r="Z55" s="31"/>
      <c r="AA55" s="31"/>
      <c r="AB55" s="31"/>
      <c r="AC55" s="31"/>
      <c r="AD55" s="31"/>
      <c r="AE55" s="31"/>
      <c r="AF55" s="31"/>
      <c r="AG55" s="31"/>
      <c r="AH55" s="31"/>
      <c r="AI55" s="31"/>
      <c r="AJ55" s="31"/>
      <c r="AK55" s="31"/>
      <c r="AL55" s="31"/>
      <c r="AM55" s="31"/>
      <c r="AN55" s="31"/>
      <c r="AO55" s="31"/>
      <c r="AP55" s="31"/>
      <c r="AQ55" s="31"/>
      <c r="AR55" s="31"/>
      <c r="BH55" s="3"/>
    </row>
    <row r="56" spans="2:60" x14ac:dyDescent="0.25">
      <c r="C56" s="32"/>
      <c r="L56" s="63"/>
      <c r="M56" s="63"/>
      <c r="BH56" s="3"/>
    </row>
    <row r="57" spans="2:60" x14ac:dyDescent="0.25">
      <c r="C57" s="29"/>
      <c r="E57" s="32" t="s">
        <v>192</v>
      </c>
      <c r="I57" t="s">
        <v>190</v>
      </c>
      <c r="L57" s="63"/>
      <c r="M57" s="63"/>
      <c r="AR57" t="s">
        <v>368</v>
      </c>
      <c r="BH57" s="3"/>
    </row>
    <row r="58" spans="2:60" x14ac:dyDescent="0.25">
      <c r="C58" s="29"/>
      <c r="E58" s="32"/>
      <c r="L58" s="63"/>
      <c r="M58" s="63"/>
      <c r="BH58" s="3"/>
    </row>
    <row r="59" spans="2:60" x14ac:dyDescent="0.25">
      <c r="F59" s="28" t="s">
        <v>507</v>
      </c>
      <c r="G59" s="28" t="s">
        <v>243</v>
      </c>
      <c r="J59" s="123">
        <f>'Inputs by customer type'!J21</f>
        <v>2349262.6932613654</v>
      </c>
      <c r="K59" s="123">
        <f>'Inputs by customer type'!K21</f>
        <v>241249.49660951272</v>
      </c>
      <c r="L59" s="123">
        <f>'Inputs by customer type'!L21</f>
        <v>423055.87757845432</v>
      </c>
      <c r="M59" s="123">
        <f>'Inputs by customer type'!M21</f>
        <v>836959.28982839268</v>
      </c>
      <c r="N59" s="123">
        <f>'Inputs by customer type'!N21</f>
        <v>152179.51963638922</v>
      </c>
      <c r="O59" s="123">
        <f>'Inputs by customer type'!O21</f>
        <v>28141.504302703608</v>
      </c>
      <c r="P59" s="123">
        <f>'Inputs by customer type'!P21</f>
        <v>29913.305426474391</v>
      </c>
      <c r="Q59" s="123">
        <f>'Inputs by customer type'!Q21</f>
        <v>0</v>
      </c>
      <c r="R59" s="123">
        <f>'Inputs by customer type'!R21</f>
        <v>548.35018676020832</v>
      </c>
      <c r="S59" s="123">
        <f>'Inputs by customer type'!S21</f>
        <v>54.029994132566102</v>
      </c>
      <c r="T59" s="123">
        <f>'Inputs by customer type'!T21</f>
        <v>7839.6449077915986</v>
      </c>
      <c r="U59" s="123">
        <f>'Inputs by customer type'!U21</f>
        <v>168073.62358307646</v>
      </c>
      <c r="V59" s="123">
        <f>'Inputs by customer type'!V21</f>
        <v>11310.842475894939</v>
      </c>
      <c r="W59" s="123">
        <f>'Inputs by customer type'!W21</f>
        <v>88351.013324953004</v>
      </c>
      <c r="X59" s="123">
        <f>'Inputs by customer type'!X21</f>
        <v>14143.024463568723</v>
      </c>
      <c r="Y59" s="123">
        <f>'Inputs by customer type'!Y21</f>
        <v>17279.078681801653</v>
      </c>
      <c r="Z59" s="123">
        <f>'Inputs by customer type'!Z21</f>
        <v>3520.726250029109</v>
      </c>
      <c r="AA59" s="123">
        <f>'Inputs by customer type'!AA21</f>
        <v>44.247535426088803</v>
      </c>
      <c r="AB59" s="123">
        <f>'Inputs by customer type'!AB21</f>
        <v>4621.3412299929805</v>
      </c>
      <c r="AC59" s="123">
        <f>'Inputs by customer type'!AC21</f>
        <v>6412.5597704205047</v>
      </c>
      <c r="AD59" s="123">
        <f>'Inputs by customer type'!AD21</f>
        <v>0</v>
      </c>
      <c r="AE59" s="123">
        <f>'Inputs by customer type'!AE21</f>
        <v>359281.93051380559</v>
      </c>
      <c r="AF59" s="123">
        <f>'Inputs by customer type'!AF21</f>
        <v>0</v>
      </c>
      <c r="AG59" s="123">
        <f>'Inputs by customer type'!AG21</f>
        <v>5139.8693554110105</v>
      </c>
      <c r="AH59" s="123">
        <f>'Inputs by customer type'!AH21</f>
        <v>0</v>
      </c>
      <c r="AI59" s="123">
        <f>'Inputs by customer type'!AI21</f>
        <v>3513.2890000000002</v>
      </c>
      <c r="AJ59" s="123">
        <f>'Inputs by customer type'!AJ21</f>
        <v>0</v>
      </c>
      <c r="AK59" s="123">
        <f>'Inputs by customer type'!AK21</f>
        <v>0</v>
      </c>
      <c r="AL59" s="123">
        <f>'Inputs by customer type'!AL21</f>
        <v>0</v>
      </c>
      <c r="AM59" s="123">
        <f>'Inputs by customer type'!AM21</f>
        <v>652626.70721495803</v>
      </c>
      <c r="AN59" s="123">
        <f>'Inputs by customer type'!AN21</f>
        <v>0</v>
      </c>
      <c r="AO59" s="123">
        <f>'Inputs by customer type'!AO21</f>
        <v>92924.847805563244</v>
      </c>
      <c r="AP59" s="123">
        <f>'Inputs by customer type'!AP21</f>
        <v>0</v>
      </c>
      <c r="BH59" s="3"/>
    </row>
    <row r="60" spans="2:60" x14ac:dyDescent="0.25">
      <c r="F60" s="28" t="s">
        <v>508</v>
      </c>
      <c r="G60" s="28" t="s">
        <v>243</v>
      </c>
      <c r="J60" s="123">
        <f>'Inputs by customer type'!J30</f>
        <v>7181.1549550215541</v>
      </c>
      <c r="K60" s="123">
        <f>'Inputs by customer type'!K30</f>
        <v>32.004623830279179</v>
      </c>
      <c r="L60" s="123">
        <f>'Inputs by customer type'!L30</f>
        <v>0</v>
      </c>
      <c r="M60" s="123">
        <f>'Inputs by customer type'!M30</f>
        <v>75.020659613542549</v>
      </c>
      <c r="N60" s="123">
        <f>'Inputs by customer type'!N30</f>
        <v>0</v>
      </c>
      <c r="O60" s="123">
        <f>'Inputs by customer type'!O30</f>
        <v>0</v>
      </c>
      <c r="P60" s="123">
        <f>'Inputs by customer type'!P30</f>
        <v>0</v>
      </c>
      <c r="Q60" s="123">
        <f>'Inputs by customer type'!Q30</f>
        <v>0</v>
      </c>
      <c r="R60" s="123">
        <f>'Inputs by customer type'!R30</f>
        <v>0</v>
      </c>
      <c r="S60" s="123">
        <f>'Inputs by customer type'!S30</f>
        <v>0</v>
      </c>
      <c r="T60" s="123">
        <f>'Inputs by customer type'!T30</f>
        <v>0</v>
      </c>
      <c r="U60" s="123">
        <f>'Inputs by customer type'!U30</f>
        <v>138.73525438149889</v>
      </c>
      <c r="V60" s="123">
        <f>'Inputs by customer type'!V30</f>
        <v>0</v>
      </c>
      <c r="W60" s="123">
        <f>'Inputs by customer type'!W30</f>
        <v>0</v>
      </c>
      <c r="X60" s="123">
        <f>'Inputs by customer type'!X30</f>
        <v>0</v>
      </c>
      <c r="Y60" s="123">
        <f>'Inputs by customer type'!Y30</f>
        <v>0</v>
      </c>
      <c r="Z60" s="123">
        <f>'Inputs by customer type'!Z30</f>
        <v>0</v>
      </c>
      <c r="AA60" s="123">
        <f>'Inputs by customer type'!AA30</f>
        <v>0</v>
      </c>
      <c r="AB60" s="123">
        <f>'Inputs by customer type'!AB30</f>
        <v>0</v>
      </c>
      <c r="AC60" s="123">
        <f>'Inputs by customer type'!AC30</f>
        <v>0</v>
      </c>
      <c r="AD60" s="123">
        <f>'Inputs by customer type'!AD30</f>
        <v>0</v>
      </c>
      <c r="AE60" s="123">
        <f>'Inputs by customer type'!AE30</f>
        <v>0</v>
      </c>
      <c r="AF60" s="123">
        <f>'Inputs by customer type'!AF30</f>
        <v>0</v>
      </c>
      <c r="AG60" s="123">
        <f>'Inputs by customer type'!AG30</f>
        <v>0</v>
      </c>
      <c r="AH60" s="123">
        <f>'Inputs by customer type'!AH30</f>
        <v>0</v>
      </c>
      <c r="AI60" s="123">
        <f>'Inputs by customer type'!AI30</f>
        <v>0</v>
      </c>
      <c r="AJ60" s="123">
        <f>'Inputs by customer type'!AJ30</f>
        <v>0</v>
      </c>
      <c r="AK60" s="123">
        <f>'Inputs by customer type'!AK30</f>
        <v>0</v>
      </c>
      <c r="AL60" s="123">
        <f>'Inputs by customer type'!AL30</f>
        <v>0</v>
      </c>
      <c r="AM60" s="123">
        <f>'Inputs by customer type'!AM30</f>
        <v>0</v>
      </c>
      <c r="AN60" s="123">
        <f>'Inputs by customer type'!AN30</f>
        <v>0</v>
      </c>
      <c r="AO60" s="123">
        <f>'Inputs by customer type'!AO30</f>
        <v>0</v>
      </c>
      <c r="AP60" s="123">
        <f>'Inputs by customer type'!AP30</f>
        <v>0</v>
      </c>
      <c r="BH60" s="3"/>
    </row>
    <row r="61" spans="2:60" x14ac:dyDescent="0.25">
      <c r="F61" s="28" t="s">
        <v>509</v>
      </c>
      <c r="G61" s="28" t="s">
        <v>243</v>
      </c>
      <c r="J61" s="123">
        <f>'Inputs by customer type'!J39</f>
        <v>12017.139323785283</v>
      </c>
      <c r="K61" s="123">
        <f>'Inputs by customer type'!K39</f>
        <v>147.71628354770948</v>
      </c>
      <c r="L61" s="123">
        <f>'Inputs by customer type'!L39</f>
        <v>0</v>
      </c>
      <c r="M61" s="123">
        <f>'Inputs by customer type'!M39</f>
        <v>709.65343522263936</v>
      </c>
      <c r="N61" s="123">
        <f>'Inputs by customer type'!N39</f>
        <v>0</v>
      </c>
      <c r="O61" s="123">
        <f>'Inputs by customer type'!O39</f>
        <v>0</v>
      </c>
      <c r="P61" s="123">
        <f>'Inputs by customer type'!P39</f>
        <v>0</v>
      </c>
      <c r="Q61" s="123">
        <f>'Inputs by customer type'!Q39</f>
        <v>0</v>
      </c>
      <c r="R61" s="123">
        <f>'Inputs by customer type'!R39</f>
        <v>0</v>
      </c>
      <c r="S61" s="123">
        <f>'Inputs by customer type'!S39</f>
        <v>0</v>
      </c>
      <c r="T61" s="123">
        <f>'Inputs by customer type'!T39</f>
        <v>0</v>
      </c>
      <c r="U61" s="123">
        <f>'Inputs by customer type'!U39</f>
        <v>140.52099220025406</v>
      </c>
      <c r="V61" s="123">
        <f>'Inputs by customer type'!V39</f>
        <v>62.247221699127103</v>
      </c>
      <c r="W61" s="123">
        <f>'Inputs by customer type'!W39</f>
        <v>0</v>
      </c>
      <c r="X61" s="123">
        <f>'Inputs by customer type'!X39</f>
        <v>0</v>
      </c>
      <c r="Y61" s="123">
        <f>'Inputs by customer type'!Y39</f>
        <v>3.7270000000000003</v>
      </c>
      <c r="Z61" s="123">
        <f>'Inputs by customer type'!Z39</f>
        <v>0</v>
      </c>
      <c r="AA61" s="123">
        <f>'Inputs by customer type'!AA39</f>
        <v>0</v>
      </c>
      <c r="AB61" s="123">
        <f>'Inputs by customer type'!AB39</f>
        <v>0</v>
      </c>
      <c r="AC61" s="123">
        <f>'Inputs by customer type'!AC39</f>
        <v>0</v>
      </c>
      <c r="AD61" s="123">
        <f>'Inputs by customer type'!AD39</f>
        <v>0</v>
      </c>
      <c r="AE61" s="123">
        <f>'Inputs by customer type'!AE39</f>
        <v>0</v>
      </c>
      <c r="AF61" s="123">
        <f>'Inputs by customer type'!AF39</f>
        <v>0</v>
      </c>
      <c r="AG61" s="123">
        <f>'Inputs by customer type'!AG39</f>
        <v>0</v>
      </c>
      <c r="AH61" s="123">
        <f>'Inputs by customer type'!AH39</f>
        <v>0</v>
      </c>
      <c r="AI61" s="123">
        <f>'Inputs by customer type'!AI39</f>
        <v>0</v>
      </c>
      <c r="AJ61" s="123">
        <f>'Inputs by customer type'!AJ39</f>
        <v>0</v>
      </c>
      <c r="AK61" s="123">
        <f>'Inputs by customer type'!AK39</f>
        <v>0</v>
      </c>
      <c r="AL61" s="123">
        <f>'Inputs by customer type'!AL39</f>
        <v>0</v>
      </c>
      <c r="AM61" s="123">
        <f>'Inputs by customer type'!AM39</f>
        <v>0</v>
      </c>
      <c r="AN61" s="123">
        <f>'Inputs by customer type'!AN39</f>
        <v>0</v>
      </c>
      <c r="AO61" s="123">
        <f>'Inputs by customer type'!AO39</f>
        <v>0</v>
      </c>
      <c r="AP61" s="123">
        <f>'Inputs by customer type'!AP39</f>
        <v>0</v>
      </c>
      <c r="BH61" s="3"/>
    </row>
    <row r="62" spans="2:60" x14ac:dyDescent="0.25">
      <c r="F62" s="28" t="s">
        <v>510</v>
      </c>
      <c r="G62" s="28" t="s">
        <v>203</v>
      </c>
      <c r="J62" s="114">
        <f t="shared" ref="J62:AP62" si="4">IF(J$39, J$45, J$34)</f>
        <v>0.29399702125357685</v>
      </c>
      <c r="K62" s="114">
        <f t="shared" si="4"/>
        <v>0.29399702125357685</v>
      </c>
      <c r="L62" s="114">
        <f t="shared" si="4"/>
        <v>0.29399702125357685</v>
      </c>
      <c r="M62" s="114">
        <f t="shared" si="4"/>
        <v>0.29399702125357685</v>
      </c>
      <c r="N62" s="114">
        <f t="shared" si="4"/>
        <v>0.29399702125357685</v>
      </c>
      <c r="O62" s="114">
        <f t="shared" si="4"/>
        <v>0.29399702125357685</v>
      </c>
      <c r="P62" s="114">
        <f t="shared" si="4"/>
        <v>0.29399702125357685</v>
      </c>
      <c r="Q62" s="114">
        <f t="shared" si="4"/>
        <v>0</v>
      </c>
      <c r="R62" s="114">
        <f t="shared" si="4"/>
        <v>0</v>
      </c>
      <c r="S62" s="114">
        <f t="shared" si="4"/>
        <v>0.29399702125357685</v>
      </c>
      <c r="T62" s="114">
        <f t="shared" si="4"/>
        <v>0.29399702125357685</v>
      </c>
      <c r="U62" s="114">
        <f t="shared" si="4"/>
        <v>0.29399702125357685</v>
      </c>
      <c r="V62" s="114">
        <f t="shared" si="4"/>
        <v>0</v>
      </c>
      <c r="W62" s="114">
        <f t="shared" si="4"/>
        <v>0</v>
      </c>
      <c r="X62" s="114">
        <f t="shared" si="4"/>
        <v>0.29399702125357685</v>
      </c>
      <c r="Y62" s="114">
        <f t="shared" si="4"/>
        <v>0.29399702125357685</v>
      </c>
      <c r="Z62" s="114">
        <f t="shared" si="4"/>
        <v>0.29399702125357685</v>
      </c>
      <c r="AA62" s="114">
        <f t="shared" si="4"/>
        <v>0.29399702125357685</v>
      </c>
      <c r="AB62" s="114">
        <f t="shared" si="4"/>
        <v>0.29399702125357685</v>
      </c>
      <c r="AC62" s="114">
        <f t="shared" si="4"/>
        <v>0</v>
      </c>
      <c r="AD62" s="114">
        <f t="shared" si="4"/>
        <v>0</v>
      </c>
      <c r="AE62" s="114">
        <f t="shared" si="4"/>
        <v>0</v>
      </c>
      <c r="AF62" s="114">
        <f t="shared" si="4"/>
        <v>0</v>
      </c>
      <c r="AG62" s="114">
        <f t="shared" si="4"/>
        <v>0</v>
      </c>
      <c r="AH62" s="114">
        <f t="shared" si="4"/>
        <v>0</v>
      </c>
      <c r="AI62" s="114">
        <f t="shared" si="4"/>
        <v>0</v>
      </c>
      <c r="AJ62" s="114">
        <f t="shared" si="4"/>
        <v>0</v>
      </c>
      <c r="AK62" s="114">
        <f t="shared" si="4"/>
        <v>0</v>
      </c>
      <c r="AL62" s="114">
        <f t="shared" si="4"/>
        <v>0</v>
      </c>
      <c r="AM62" s="114">
        <f t="shared" si="4"/>
        <v>0</v>
      </c>
      <c r="AN62" s="114">
        <f t="shared" si="4"/>
        <v>0</v>
      </c>
      <c r="AO62" s="114">
        <f t="shared" si="4"/>
        <v>0</v>
      </c>
      <c r="AP62" s="114">
        <f t="shared" si="4"/>
        <v>0</v>
      </c>
      <c r="BH62" s="3"/>
    </row>
    <row r="63" spans="2:60" x14ac:dyDescent="0.25">
      <c r="F63" s="28" t="s">
        <v>511</v>
      </c>
      <c r="G63" s="28" t="s">
        <v>203</v>
      </c>
      <c r="J63" s="114">
        <f t="shared" ref="J63:AP63" si="5">IF(J$39, J$45, J$35)</f>
        <v>0.58159328142725919</v>
      </c>
      <c r="K63" s="114">
        <f t="shared" si="5"/>
        <v>0.58159328142725919</v>
      </c>
      <c r="L63" s="114">
        <f t="shared" si="5"/>
        <v>0.58159328142725919</v>
      </c>
      <c r="M63" s="114">
        <f t="shared" si="5"/>
        <v>0.58159328142725919</v>
      </c>
      <c r="N63" s="114">
        <f t="shared" si="5"/>
        <v>0.58159328142725919</v>
      </c>
      <c r="O63" s="114">
        <f t="shared" si="5"/>
        <v>0.58159328142725919</v>
      </c>
      <c r="P63" s="114">
        <f t="shared" si="5"/>
        <v>0.58159328142725919</v>
      </c>
      <c r="Q63" s="114">
        <f t="shared" si="5"/>
        <v>0</v>
      </c>
      <c r="R63" s="114">
        <f t="shared" si="5"/>
        <v>0</v>
      </c>
      <c r="S63" s="114">
        <f t="shared" si="5"/>
        <v>0.58159328142725919</v>
      </c>
      <c r="T63" s="114">
        <f t="shared" si="5"/>
        <v>0.58159328142725919</v>
      </c>
      <c r="U63" s="114">
        <f t="shared" si="5"/>
        <v>0.58159328142725919</v>
      </c>
      <c r="V63" s="114">
        <f t="shared" si="5"/>
        <v>0.39416189548233249</v>
      </c>
      <c r="W63" s="114">
        <f t="shared" si="5"/>
        <v>0.33724217358094977</v>
      </c>
      <c r="X63" s="114">
        <f t="shared" si="5"/>
        <v>0.58159328142725919</v>
      </c>
      <c r="Y63" s="114">
        <f t="shared" si="5"/>
        <v>0.58159328142725919</v>
      </c>
      <c r="Z63" s="114">
        <f t="shared" si="5"/>
        <v>0.58159328142725919</v>
      </c>
      <c r="AA63" s="114">
        <f t="shared" si="5"/>
        <v>0.58159328142725919</v>
      </c>
      <c r="AB63" s="114">
        <f t="shared" si="5"/>
        <v>0.58159328142725919</v>
      </c>
      <c r="AC63" s="114">
        <f t="shared" si="5"/>
        <v>0</v>
      </c>
      <c r="AD63" s="114">
        <f t="shared" si="5"/>
        <v>0</v>
      </c>
      <c r="AE63" s="114">
        <f t="shared" si="5"/>
        <v>0</v>
      </c>
      <c r="AF63" s="114">
        <f t="shared" si="5"/>
        <v>0</v>
      </c>
      <c r="AG63" s="114">
        <f t="shared" si="5"/>
        <v>0</v>
      </c>
      <c r="AH63" s="114">
        <f t="shared" si="5"/>
        <v>0</v>
      </c>
      <c r="AI63" s="114">
        <f t="shared" si="5"/>
        <v>0</v>
      </c>
      <c r="AJ63" s="114">
        <f t="shared" si="5"/>
        <v>0</v>
      </c>
      <c r="AK63" s="114">
        <f t="shared" si="5"/>
        <v>0</v>
      </c>
      <c r="AL63" s="114">
        <f t="shared" si="5"/>
        <v>0</v>
      </c>
      <c r="AM63" s="114">
        <f t="shared" si="5"/>
        <v>0</v>
      </c>
      <c r="AN63" s="114">
        <f t="shared" si="5"/>
        <v>0</v>
      </c>
      <c r="AO63" s="114">
        <f t="shared" si="5"/>
        <v>0</v>
      </c>
      <c r="AP63" s="114">
        <f t="shared" si="5"/>
        <v>0</v>
      </c>
      <c r="BH63" s="3"/>
    </row>
    <row r="64" spans="2:60" x14ac:dyDescent="0.25">
      <c r="F64" s="28" t="s">
        <v>512</v>
      </c>
      <c r="G64" s="28" t="s">
        <v>243</v>
      </c>
      <c r="J64" s="101">
        <f t="shared" ref="J64:AP64" si="6">J60 * (1 - J62)</f>
        <v>5069.9167890848539</v>
      </c>
      <c r="K64" s="101">
        <f t="shared" si="6"/>
        <v>22.595359757835858</v>
      </c>
      <c r="L64" s="101">
        <f t="shared" si="6"/>
        <v>0</v>
      </c>
      <c r="M64" s="101">
        <f t="shared" si="6"/>
        <v>52.964809154682527</v>
      </c>
      <c r="N64" s="101">
        <f t="shared" si="6"/>
        <v>0</v>
      </c>
      <c r="O64" s="101">
        <f t="shared" si="6"/>
        <v>0</v>
      </c>
      <c r="P64" s="101">
        <f t="shared" si="6"/>
        <v>0</v>
      </c>
      <c r="Q64" s="101">
        <f t="shared" si="6"/>
        <v>0</v>
      </c>
      <c r="R64" s="101">
        <f t="shared" si="6"/>
        <v>0</v>
      </c>
      <c r="S64" s="101">
        <f t="shared" si="6"/>
        <v>0</v>
      </c>
      <c r="T64" s="101">
        <f t="shared" si="6"/>
        <v>0</v>
      </c>
      <c r="U64" s="101">
        <f t="shared" si="6"/>
        <v>97.947502850480973</v>
      </c>
      <c r="V64" s="101">
        <f t="shared" si="6"/>
        <v>0</v>
      </c>
      <c r="W64" s="101">
        <f t="shared" si="6"/>
        <v>0</v>
      </c>
      <c r="X64" s="101">
        <f t="shared" si="6"/>
        <v>0</v>
      </c>
      <c r="Y64" s="101">
        <f t="shared" si="6"/>
        <v>0</v>
      </c>
      <c r="Z64" s="101">
        <f t="shared" si="6"/>
        <v>0</v>
      </c>
      <c r="AA64" s="101">
        <f t="shared" si="6"/>
        <v>0</v>
      </c>
      <c r="AB64" s="101">
        <f t="shared" si="6"/>
        <v>0</v>
      </c>
      <c r="AC64" s="101">
        <f t="shared" si="6"/>
        <v>0</v>
      </c>
      <c r="AD64" s="101">
        <f t="shared" si="6"/>
        <v>0</v>
      </c>
      <c r="AE64" s="101">
        <f t="shared" si="6"/>
        <v>0</v>
      </c>
      <c r="AF64" s="101">
        <f t="shared" si="6"/>
        <v>0</v>
      </c>
      <c r="AG64" s="101">
        <f t="shared" si="6"/>
        <v>0</v>
      </c>
      <c r="AH64" s="101">
        <f t="shared" si="6"/>
        <v>0</v>
      </c>
      <c r="AI64" s="101">
        <f t="shared" si="6"/>
        <v>0</v>
      </c>
      <c r="AJ64" s="101">
        <f t="shared" si="6"/>
        <v>0</v>
      </c>
      <c r="AK64" s="101">
        <f t="shared" si="6"/>
        <v>0</v>
      </c>
      <c r="AL64" s="101">
        <f t="shared" si="6"/>
        <v>0</v>
      </c>
      <c r="AM64" s="101">
        <f t="shared" si="6"/>
        <v>0</v>
      </c>
      <c r="AN64" s="101">
        <f t="shared" si="6"/>
        <v>0</v>
      </c>
      <c r="AO64" s="101">
        <f t="shared" si="6"/>
        <v>0</v>
      </c>
      <c r="AP64" s="101">
        <f t="shared" si="6"/>
        <v>0</v>
      </c>
      <c r="BH64" s="3"/>
    </row>
    <row r="65" spans="5:60" x14ac:dyDescent="0.25">
      <c r="F65" s="67" t="s">
        <v>513</v>
      </c>
      <c r="G65" s="67" t="s">
        <v>243</v>
      </c>
      <c r="H65" s="37"/>
      <c r="I65" s="37"/>
      <c r="J65" s="103">
        <f t="shared" ref="J65:AP65" si="7">J61 * (1 - J63)</f>
        <v>5028.0518310964453</v>
      </c>
      <c r="K65" s="103">
        <f t="shared" si="7"/>
        <v>61.805485478957664</v>
      </c>
      <c r="L65" s="103">
        <f t="shared" si="7"/>
        <v>0</v>
      </c>
      <c r="M65" s="103">
        <f t="shared" si="7"/>
        <v>296.92376515537762</v>
      </c>
      <c r="N65" s="103">
        <f t="shared" si="7"/>
        <v>0</v>
      </c>
      <c r="O65" s="103">
        <f t="shared" si="7"/>
        <v>0</v>
      </c>
      <c r="P65" s="103">
        <f t="shared" si="7"/>
        <v>0</v>
      </c>
      <c r="Q65" s="103">
        <f t="shared" si="7"/>
        <v>0</v>
      </c>
      <c r="R65" s="103">
        <f t="shared" si="7"/>
        <v>0</v>
      </c>
      <c r="S65" s="103">
        <f t="shared" si="7"/>
        <v>0</v>
      </c>
      <c r="T65" s="103">
        <f t="shared" si="7"/>
        <v>0</v>
      </c>
      <c r="U65" s="103">
        <f t="shared" si="7"/>
        <v>58.794927237094008</v>
      </c>
      <c r="V65" s="103">
        <f t="shared" si="7"/>
        <v>37.711738805690189</v>
      </c>
      <c r="W65" s="103">
        <f t="shared" si="7"/>
        <v>0</v>
      </c>
      <c r="X65" s="103">
        <f t="shared" si="7"/>
        <v>0</v>
      </c>
      <c r="Y65" s="103">
        <f t="shared" si="7"/>
        <v>1.5594018401206051</v>
      </c>
      <c r="Z65" s="103">
        <f t="shared" si="7"/>
        <v>0</v>
      </c>
      <c r="AA65" s="103">
        <f t="shared" si="7"/>
        <v>0</v>
      </c>
      <c r="AB65" s="103">
        <f t="shared" si="7"/>
        <v>0</v>
      </c>
      <c r="AC65" s="103">
        <f t="shared" si="7"/>
        <v>0</v>
      </c>
      <c r="AD65" s="103">
        <f t="shared" si="7"/>
        <v>0</v>
      </c>
      <c r="AE65" s="103">
        <f t="shared" si="7"/>
        <v>0</v>
      </c>
      <c r="AF65" s="103">
        <f t="shared" si="7"/>
        <v>0</v>
      </c>
      <c r="AG65" s="103">
        <f t="shared" si="7"/>
        <v>0</v>
      </c>
      <c r="AH65" s="103">
        <f t="shared" si="7"/>
        <v>0</v>
      </c>
      <c r="AI65" s="103">
        <f t="shared" si="7"/>
        <v>0</v>
      </c>
      <c r="AJ65" s="103">
        <f t="shared" si="7"/>
        <v>0</v>
      </c>
      <c r="AK65" s="103">
        <f t="shared" si="7"/>
        <v>0</v>
      </c>
      <c r="AL65" s="103">
        <f t="shared" si="7"/>
        <v>0</v>
      </c>
      <c r="AM65" s="103">
        <f t="shared" si="7"/>
        <v>0</v>
      </c>
      <c r="AN65" s="103">
        <f t="shared" si="7"/>
        <v>0</v>
      </c>
      <c r="AO65" s="103">
        <f t="shared" si="7"/>
        <v>0</v>
      </c>
      <c r="AP65" s="103">
        <f t="shared" si="7"/>
        <v>0</v>
      </c>
      <c r="BH65" s="3"/>
    </row>
    <row r="66" spans="5:60" x14ac:dyDescent="0.25">
      <c r="F66" s="28" t="s">
        <v>514</v>
      </c>
      <c r="G66" s="28" t="s">
        <v>243</v>
      </c>
      <c r="J66" s="124">
        <f t="shared" ref="J66:AP66" si="8">J59 + J64 + J65</f>
        <v>2359360.6618815465</v>
      </c>
      <c r="K66" s="124">
        <f t="shared" si="8"/>
        <v>241333.8974547495</v>
      </c>
      <c r="L66" s="124">
        <f t="shared" si="8"/>
        <v>423055.87757845432</v>
      </c>
      <c r="M66" s="124">
        <f t="shared" si="8"/>
        <v>837309.17840270267</v>
      </c>
      <c r="N66" s="124">
        <f t="shared" si="8"/>
        <v>152179.51963638922</v>
      </c>
      <c r="O66" s="124">
        <f t="shared" si="8"/>
        <v>28141.504302703608</v>
      </c>
      <c r="P66" s="124">
        <f t="shared" si="8"/>
        <v>29913.305426474391</v>
      </c>
      <c r="Q66" s="124">
        <f t="shared" si="8"/>
        <v>0</v>
      </c>
      <c r="R66" s="124">
        <f t="shared" si="8"/>
        <v>548.35018676020832</v>
      </c>
      <c r="S66" s="124">
        <f t="shared" si="8"/>
        <v>54.029994132566102</v>
      </c>
      <c r="T66" s="124">
        <f t="shared" si="8"/>
        <v>7839.6449077915986</v>
      </c>
      <c r="U66" s="124">
        <f t="shared" si="8"/>
        <v>168230.36601316402</v>
      </c>
      <c r="V66" s="124">
        <f t="shared" si="8"/>
        <v>11348.554214700629</v>
      </c>
      <c r="W66" s="124">
        <f t="shared" si="8"/>
        <v>88351.013324953004</v>
      </c>
      <c r="X66" s="124">
        <f t="shared" si="8"/>
        <v>14143.024463568723</v>
      </c>
      <c r="Y66" s="124">
        <f t="shared" si="8"/>
        <v>17280.638083641774</v>
      </c>
      <c r="Z66" s="124">
        <f t="shared" si="8"/>
        <v>3520.726250029109</v>
      </c>
      <c r="AA66" s="124">
        <f t="shared" si="8"/>
        <v>44.247535426088803</v>
      </c>
      <c r="AB66" s="124">
        <f t="shared" si="8"/>
        <v>4621.3412299929805</v>
      </c>
      <c r="AC66" s="124">
        <f t="shared" si="8"/>
        <v>6412.5597704205047</v>
      </c>
      <c r="AD66" s="124">
        <f t="shared" si="8"/>
        <v>0</v>
      </c>
      <c r="AE66" s="124">
        <f t="shared" si="8"/>
        <v>359281.93051380559</v>
      </c>
      <c r="AF66" s="124">
        <f t="shared" si="8"/>
        <v>0</v>
      </c>
      <c r="AG66" s="124">
        <f t="shared" si="8"/>
        <v>5139.8693554110105</v>
      </c>
      <c r="AH66" s="124">
        <f t="shared" si="8"/>
        <v>0</v>
      </c>
      <c r="AI66" s="124">
        <f t="shared" si="8"/>
        <v>3513.2890000000002</v>
      </c>
      <c r="AJ66" s="124">
        <f t="shared" si="8"/>
        <v>0</v>
      </c>
      <c r="AK66" s="124">
        <f t="shared" si="8"/>
        <v>0</v>
      </c>
      <c r="AL66" s="124">
        <f t="shared" si="8"/>
        <v>0</v>
      </c>
      <c r="AM66" s="124">
        <f t="shared" si="8"/>
        <v>652626.70721495803</v>
      </c>
      <c r="AN66" s="124">
        <f t="shared" si="8"/>
        <v>0</v>
      </c>
      <c r="AO66" s="124">
        <f t="shared" si="8"/>
        <v>92924.847805563244</v>
      </c>
      <c r="AP66" s="124">
        <f t="shared" si="8"/>
        <v>0</v>
      </c>
      <c r="BH66" s="3"/>
    </row>
    <row r="67" spans="5:60" x14ac:dyDescent="0.25">
      <c r="E67" s="32"/>
      <c r="J67" s="92"/>
      <c r="K67" s="92"/>
      <c r="L67" s="92"/>
      <c r="M67" s="92"/>
      <c r="N67" s="92"/>
      <c r="O67" s="92"/>
      <c r="P67" s="92"/>
      <c r="Q67" s="92"/>
      <c r="R67" s="92"/>
      <c r="S67" s="92"/>
      <c r="T67" s="92"/>
      <c r="U67" s="92"/>
      <c r="V67" s="92"/>
      <c r="W67" s="92"/>
      <c r="X67" s="92"/>
      <c r="Y67" s="92"/>
      <c r="Z67" s="92"/>
      <c r="AA67" s="92"/>
      <c r="AB67" s="92"/>
      <c r="AC67" s="92"/>
      <c r="AD67" s="92"/>
      <c r="AE67" s="92"/>
      <c r="AF67" s="92"/>
      <c r="AG67" s="92"/>
      <c r="AH67" s="92"/>
      <c r="AI67" s="92"/>
      <c r="AJ67" s="92"/>
      <c r="AK67" s="92"/>
      <c r="AL67" s="92"/>
      <c r="AM67" s="92"/>
      <c r="AN67" s="92"/>
      <c r="AO67" s="92"/>
      <c r="AP67" s="92"/>
      <c r="BH67" s="3"/>
    </row>
    <row r="68" spans="5:60" x14ac:dyDescent="0.25">
      <c r="E68" s="32" t="s">
        <v>193</v>
      </c>
      <c r="I68" t="s">
        <v>190</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368</v>
      </c>
      <c r="BH68" s="3"/>
    </row>
    <row r="69" spans="5:60" x14ac:dyDescent="0.25">
      <c r="E69" s="32"/>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c r="BH69" s="3"/>
    </row>
    <row r="70" spans="5:60" x14ac:dyDescent="0.25">
      <c r="F70" s="28" t="s">
        <v>507</v>
      </c>
      <c r="G70" s="28" t="s">
        <v>243</v>
      </c>
      <c r="J70" s="123">
        <f>'Inputs by customer type'!J22</f>
        <v>0</v>
      </c>
      <c r="K70" s="123">
        <f>'Inputs by customer type'!K22</f>
        <v>204221.84737614822</v>
      </c>
      <c r="L70" s="123">
        <f>'Inputs by customer type'!L22</f>
        <v>0</v>
      </c>
      <c r="M70" s="123">
        <f>'Inputs by customer type'!M22</f>
        <v>0</v>
      </c>
      <c r="N70" s="123">
        <f>'Inputs by customer type'!N22</f>
        <v>82289.749092955753</v>
      </c>
      <c r="O70" s="123">
        <f>'Inputs by customer type'!O22</f>
        <v>0</v>
      </c>
      <c r="P70" s="123">
        <f>'Inputs by customer type'!P22</f>
        <v>10042.285925586189</v>
      </c>
      <c r="Q70" s="123">
        <f>'Inputs by customer type'!Q22</f>
        <v>0</v>
      </c>
      <c r="R70" s="123">
        <f>'Inputs by customer type'!R22</f>
        <v>269.81773904335392</v>
      </c>
      <c r="S70" s="123">
        <f>'Inputs by customer type'!S22</f>
        <v>136.73224650179375</v>
      </c>
      <c r="T70" s="123">
        <f>'Inputs by customer type'!T22</f>
        <v>39067.558275099967</v>
      </c>
      <c r="U70" s="123">
        <f>'Inputs by customer type'!U22</f>
        <v>813210.32764091226</v>
      </c>
      <c r="V70" s="123">
        <f>'Inputs by customer type'!V22</f>
        <v>55543.411198687601</v>
      </c>
      <c r="W70" s="123">
        <f>'Inputs by customer type'!W22</f>
        <v>428873.62609942525</v>
      </c>
      <c r="X70" s="123">
        <f>'Inputs by customer type'!X22</f>
        <v>0</v>
      </c>
      <c r="Y70" s="123">
        <f>'Inputs by customer type'!Y22</f>
        <v>0</v>
      </c>
      <c r="Z70" s="123">
        <f>'Inputs by customer type'!Z22</f>
        <v>0</v>
      </c>
      <c r="AA70" s="123">
        <f>'Inputs by customer type'!AA22</f>
        <v>0</v>
      </c>
      <c r="AB70" s="123">
        <f>'Inputs by customer type'!AB22</f>
        <v>15832.064594910415</v>
      </c>
      <c r="AC70" s="123">
        <f>'Inputs by customer type'!AC22</f>
        <v>0</v>
      </c>
      <c r="AD70" s="123">
        <f>'Inputs by customer type'!AD22</f>
        <v>0</v>
      </c>
      <c r="AE70" s="123">
        <f>'Inputs by customer type'!AE22</f>
        <v>0</v>
      </c>
      <c r="AF70" s="123">
        <f>'Inputs by customer type'!AF22</f>
        <v>0</v>
      </c>
      <c r="AG70" s="123">
        <f>'Inputs by customer type'!AG22</f>
        <v>22429.580480403067</v>
      </c>
      <c r="AH70" s="123">
        <f>'Inputs by customer type'!AH22</f>
        <v>0</v>
      </c>
      <c r="AI70" s="123">
        <f>'Inputs by customer type'!AI22</f>
        <v>0</v>
      </c>
      <c r="AJ70" s="123">
        <f>'Inputs by customer type'!AJ22</f>
        <v>0</v>
      </c>
      <c r="AK70" s="123">
        <f>'Inputs by customer type'!AK22</f>
        <v>0</v>
      </c>
      <c r="AL70" s="123">
        <f>'Inputs by customer type'!AL22</f>
        <v>0</v>
      </c>
      <c r="AM70" s="123">
        <f>'Inputs by customer type'!AM22</f>
        <v>0</v>
      </c>
      <c r="AN70" s="123">
        <f>'Inputs by customer type'!AN22</f>
        <v>0</v>
      </c>
      <c r="AO70" s="123">
        <f>'Inputs by customer type'!AO22</f>
        <v>385063.70152251818</v>
      </c>
      <c r="AP70" s="123">
        <f>'Inputs by customer type'!AP22</f>
        <v>0</v>
      </c>
      <c r="BH70" s="3"/>
    </row>
    <row r="71" spans="5:60" x14ac:dyDescent="0.25">
      <c r="F71" s="28" t="s">
        <v>508</v>
      </c>
      <c r="G71" s="28" t="s">
        <v>243</v>
      </c>
      <c r="J71" s="123">
        <f>'Inputs by customer type'!J31</f>
        <v>0</v>
      </c>
      <c r="K71" s="123">
        <f>'Inputs by customer type'!K31</f>
        <v>31.703541954711785</v>
      </c>
      <c r="L71" s="123">
        <f>'Inputs by customer type'!L31</f>
        <v>0</v>
      </c>
      <c r="M71" s="123">
        <f>'Inputs by customer type'!M31</f>
        <v>0</v>
      </c>
      <c r="N71" s="123">
        <f>'Inputs by customer type'!N31</f>
        <v>0</v>
      </c>
      <c r="O71" s="123">
        <f>'Inputs by customer type'!O31</f>
        <v>0</v>
      </c>
      <c r="P71" s="123">
        <f>'Inputs by customer type'!P31</f>
        <v>0</v>
      </c>
      <c r="Q71" s="123">
        <f>'Inputs by customer type'!Q31</f>
        <v>0</v>
      </c>
      <c r="R71" s="123">
        <f>'Inputs by customer type'!R31</f>
        <v>0</v>
      </c>
      <c r="S71" s="123">
        <f>'Inputs by customer type'!S31</f>
        <v>0</v>
      </c>
      <c r="T71" s="123">
        <f>'Inputs by customer type'!T31</f>
        <v>0</v>
      </c>
      <c r="U71" s="123">
        <f>'Inputs by customer type'!U31</f>
        <v>631.64847703906742</v>
      </c>
      <c r="V71" s="123">
        <f>'Inputs by customer type'!V31</f>
        <v>0</v>
      </c>
      <c r="W71" s="123">
        <f>'Inputs by customer type'!W31</f>
        <v>0</v>
      </c>
      <c r="X71" s="123">
        <f>'Inputs by customer type'!X31</f>
        <v>0</v>
      </c>
      <c r="Y71" s="123">
        <f>'Inputs by customer type'!Y31</f>
        <v>0</v>
      </c>
      <c r="Z71" s="123">
        <f>'Inputs by customer type'!Z31</f>
        <v>0</v>
      </c>
      <c r="AA71" s="123">
        <f>'Inputs by customer type'!AA31</f>
        <v>0</v>
      </c>
      <c r="AB71" s="123">
        <f>'Inputs by customer type'!AB31</f>
        <v>0</v>
      </c>
      <c r="AC71" s="123">
        <f>'Inputs by customer type'!AC31</f>
        <v>0</v>
      </c>
      <c r="AD71" s="123">
        <f>'Inputs by customer type'!AD31</f>
        <v>0</v>
      </c>
      <c r="AE71" s="123">
        <f>'Inputs by customer type'!AE31</f>
        <v>0</v>
      </c>
      <c r="AF71" s="123">
        <f>'Inputs by customer type'!AF31</f>
        <v>0</v>
      </c>
      <c r="AG71" s="123">
        <f>'Inputs by customer type'!AG31</f>
        <v>0</v>
      </c>
      <c r="AH71" s="123">
        <f>'Inputs by customer type'!AH31</f>
        <v>0</v>
      </c>
      <c r="AI71" s="123">
        <f>'Inputs by customer type'!AI31</f>
        <v>0</v>
      </c>
      <c r="AJ71" s="123">
        <f>'Inputs by customer type'!AJ31</f>
        <v>0</v>
      </c>
      <c r="AK71" s="123">
        <f>'Inputs by customer type'!AK31</f>
        <v>0</v>
      </c>
      <c r="AL71" s="123">
        <f>'Inputs by customer type'!AL31</f>
        <v>0</v>
      </c>
      <c r="AM71" s="123">
        <f>'Inputs by customer type'!AM31</f>
        <v>0</v>
      </c>
      <c r="AN71" s="123">
        <f>'Inputs by customer type'!AN31</f>
        <v>0</v>
      </c>
      <c r="AO71" s="123">
        <f>'Inputs by customer type'!AO31</f>
        <v>0</v>
      </c>
      <c r="AP71" s="123">
        <f>'Inputs by customer type'!AP31</f>
        <v>0</v>
      </c>
      <c r="BH71" s="3"/>
    </row>
    <row r="72" spans="5:60" x14ac:dyDescent="0.25">
      <c r="F72" s="28" t="s">
        <v>509</v>
      </c>
      <c r="G72" s="28" t="s">
        <v>243</v>
      </c>
      <c r="J72" s="123">
        <f>'Inputs by customer type'!J40</f>
        <v>0</v>
      </c>
      <c r="K72" s="123">
        <f>'Inputs by customer type'!K40</f>
        <v>109.38469506525284</v>
      </c>
      <c r="L72" s="123">
        <f>'Inputs by customer type'!L40</f>
        <v>0</v>
      </c>
      <c r="M72" s="123">
        <f>'Inputs by customer type'!M40</f>
        <v>0</v>
      </c>
      <c r="N72" s="123">
        <f>'Inputs by customer type'!N40</f>
        <v>0</v>
      </c>
      <c r="O72" s="123">
        <f>'Inputs by customer type'!O40</f>
        <v>0</v>
      </c>
      <c r="P72" s="123">
        <f>'Inputs by customer type'!P40</f>
        <v>0</v>
      </c>
      <c r="Q72" s="123">
        <f>'Inputs by customer type'!Q40</f>
        <v>0</v>
      </c>
      <c r="R72" s="123">
        <f>'Inputs by customer type'!R40</f>
        <v>0</v>
      </c>
      <c r="S72" s="123">
        <f>'Inputs by customer type'!S40</f>
        <v>0</v>
      </c>
      <c r="T72" s="123">
        <f>'Inputs by customer type'!T40</f>
        <v>0</v>
      </c>
      <c r="U72" s="123">
        <f>'Inputs by customer type'!U40</f>
        <v>720.12355589035235</v>
      </c>
      <c r="V72" s="123">
        <f>'Inputs by customer type'!V40</f>
        <v>246.29606869044625</v>
      </c>
      <c r="W72" s="123">
        <f>'Inputs by customer type'!W40</f>
        <v>0</v>
      </c>
      <c r="X72" s="123">
        <f>'Inputs by customer type'!X40</f>
        <v>0</v>
      </c>
      <c r="Y72" s="123">
        <f>'Inputs by customer type'!Y40</f>
        <v>0</v>
      </c>
      <c r="Z72" s="123">
        <f>'Inputs by customer type'!Z40</f>
        <v>0</v>
      </c>
      <c r="AA72" s="123">
        <f>'Inputs by customer type'!AA40</f>
        <v>0</v>
      </c>
      <c r="AB72" s="123">
        <f>'Inputs by customer type'!AB40</f>
        <v>0</v>
      </c>
      <c r="AC72" s="123">
        <f>'Inputs by customer type'!AC40</f>
        <v>0</v>
      </c>
      <c r="AD72" s="123">
        <f>'Inputs by customer type'!AD40</f>
        <v>0</v>
      </c>
      <c r="AE72" s="123">
        <f>'Inputs by customer type'!AE40</f>
        <v>0</v>
      </c>
      <c r="AF72" s="123">
        <f>'Inputs by customer type'!AF40</f>
        <v>0</v>
      </c>
      <c r="AG72" s="123">
        <f>'Inputs by customer type'!AG40</f>
        <v>0</v>
      </c>
      <c r="AH72" s="123">
        <f>'Inputs by customer type'!AH40</f>
        <v>0</v>
      </c>
      <c r="AI72" s="123">
        <f>'Inputs by customer type'!AI40</f>
        <v>0</v>
      </c>
      <c r="AJ72" s="123">
        <f>'Inputs by customer type'!AJ40</f>
        <v>0</v>
      </c>
      <c r="AK72" s="123">
        <f>'Inputs by customer type'!AK40</f>
        <v>0</v>
      </c>
      <c r="AL72" s="123">
        <f>'Inputs by customer type'!AL40</f>
        <v>0</v>
      </c>
      <c r="AM72" s="123">
        <f>'Inputs by customer type'!AM40</f>
        <v>0</v>
      </c>
      <c r="AN72" s="123">
        <f>'Inputs by customer type'!AN40</f>
        <v>0</v>
      </c>
      <c r="AO72" s="123">
        <f>'Inputs by customer type'!AO40</f>
        <v>0</v>
      </c>
      <c r="AP72" s="123">
        <f>'Inputs by customer type'!AP40</f>
        <v>0</v>
      </c>
      <c r="BH72" s="3"/>
    </row>
    <row r="73" spans="5:60" x14ac:dyDescent="0.25">
      <c r="F73" s="28" t="s">
        <v>510</v>
      </c>
      <c r="G73" s="28" t="s">
        <v>203</v>
      </c>
      <c r="J73" s="114">
        <f t="shared" ref="J73:AP73" si="9">IF(J$39, J$45, J$34)</f>
        <v>0.29399702125357685</v>
      </c>
      <c r="K73" s="114">
        <f t="shared" si="9"/>
        <v>0.29399702125357685</v>
      </c>
      <c r="L73" s="114">
        <f t="shared" si="9"/>
        <v>0.29399702125357685</v>
      </c>
      <c r="M73" s="114">
        <f t="shared" si="9"/>
        <v>0.29399702125357685</v>
      </c>
      <c r="N73" s="114">
        <f t="shared" si="9"/>
        <v>0.29399702125357685</v>
      </c>
      <c r="O73" s="114">
        <f t="shared" si="9"/>
        <v>0.29399702125357685</v>
      </c>
      <c r="P73" s="114">
        <f t="shared" si="9"/>
        <v>0.29399702125357685</v>
      </c>
      <c r="Q73" s="114">
        <f t="shared" si="9"/>
        <v>0</v>
      </c>
      <c r="R73" s="114">
        <f t="shared" si="9"/>
        <v>0</v>
      </c>
      <c r="S73" s="114">
        <f t="shared" si="9"/>
        <v>0.29399702125357685</v>
      </c>
      <c r="T73" s="114">
        <f t="shared" si="9"/>
        <v>0.29399702125357685</v>
      </c>
      <c r="U73" s="114">
        <f t="shared" si="9"/>
        <v>0.29399702125357685</v>
      </c>
      <c r="V73" s="114">
        <f t="shared" si="9"/>
        <v>0</v>
      </c>
      <c r="W73" s="114">
        <f t="shared" si="9"/>
        <v>0</v>
      </c>
      <c r="X73" s="114">
        <f t="shared" si="9"/>
        <v>0.29399702125357685</v>
      </c>
      <c r="Y73" s="114">
        <f t="shared" si="9"/>
        <v>0.29399702125357685</v>
      </c>
      <c r="Z73" s="114">
        <f t="shared" si="9"/>
        <v>0.29399702125357685</v>
      </c>
      <c r="AA73" s="114">
        <f t="shared" si="9"/>
        <v>0.29399702125357685</v>
      </c>
      <c r="AB73" s="114">
        <f t="shared" si="9"/>
        <v>0.29399702125357685</v>
      </c>
      <c r="AC73" s="114">
        <f t="shared" si="9"/>
        <v>0</v>
      </c>
      <c r="AD73" s="114">
        <f t="shared" si="9"/>
        <v>0</v>
      </c>
      <c r="AE73" s="114">
        <f t="shared" si="9"/>
        <v>0</v>
      </c>
      <c r="AF73" s="114">
        <f t="shared" si="9"/>
        <v>0</v>
      </c>
      <c r="AG73" s="114">
        <f t="shared" si="9"/>
        <v>0</v>
      </c>
      <c r="AH73" s="114">
        <f t="shared" si="9"/>
        <v>0</v>
      </c>
      <c r="AI73" s="114">
        <f t="shared" si="9"/>
        <v>0</v>
      </c>
      <c r="AJ73" s="114">
        <f t="shared" si="9"/>
        <v>0</v>
      </c>
      <c r="AK73" s="114">
        <f t="shared" si="9"/>
        <v>0</v>
      </c>
      <c r="AL73" s="114">
        <f t="shared" si="9"/>
        <v>0</v>
      </c>
      <c r="AM73" s="114">
        <f t="shared" si="9"/>
        <v>0</v>
      </c>
      <c r="AN73" s="114">
        <f t="shared" si="9"/>
        <v>0</v>
      </c>
      <c r="AO73" s="114">
        <f t="shared" si="9"/>
        <v>0</v>
      </c>
      <c r="AP73" s="114">
        <f t="shared" si="9"/>
        <v>0</v>
      </c>
      <c r="BH73" s="3"/>
    </row>
    <row r="74" spans="5:60" x14ac:dyDescent="0.25">
      <c r="F74" s="28" t="s">
        <v>511</v>
      </c>
      <c r="G74" s="28" t="s">
        <v>203</v>
      </c>
      <c r="J74" s="114">
        <f t="shared" ref="J74:AP74" si="10">IF(J$39, J$45, J$35)</f>
        <v>0.58159328142725919</v>
      </c>
      <c r="K74" s="114">
        <f t="shared" si="10"/>
        <v>0.58159328142725919</v>
      </c>
      <c r="L74" s="114">
        <f t="shared" si="10"/>
        <v>0.58159328142725919</v>
      </c>
      <c r="M74" s="114">
        <f t="shared" si="10"/>
        <v>0.58159328142725919</v>
      </c>
      <c r="N74" s="114">
        <f t="shared" si="10"/>
        <v>0.58159328142725919</v>
      </c>
      <c r="O74" s="114">
        <f t="shared" si="10"/>
        <v>0.58159328142725919</v>
      </c>
      <c r="P74" s="114">
        <f t="shared" si="10"/>
        <v>0.58159328142725919</v>
      </c>
      <c r="Q74" s="114">
        <f t="shared" si="10"/>
        <v>0</v>
      </c>
      <c r="R74" s="114">
        <f t="shared" si="10"/>
        <v>0</v>
      </c>
      <c r="S74" s="114">
        <f t="shared" si="10"/>
        <v>0.58159328142725919</v>
      </c>
      <c r="T74" s="114">
        <f t="shared" si="10"/>
        <v>0.58159328142725919</v>
      </c>
      <c r="U74" s="114">
        <f t="shared" si="10"/>
        <v>0.58159328142725919</v>
      </c>
      <c r="V74" s="114">
        <f t="shared" si="10"/>
        <v>0.39416189548233249</v>
      </c>
      <c r="W74" s="114">
        <f t="shared" si="10"/>
        <v>0.33724217358094977</v>
      </c>
      <c r="X74" s="114">
        <f t="shared" si="10"/>
        <v>0.58159328142725919</v>
      </c>
      <c r="Y74" s="114">
        <f t="shared" si="10"/>
        <v>0.58159328142725919</v>
      </c>
      <c r="Z74" s="114">
        <f t="shared" si="10"/>
        <v>0.58159328142725919</v>
      </c>
      <c r="AA74" s="114">
        <f t="shared" si="10"/>
        <v>0.58159328142725919</v>
      </c>
      <c r="AB74" s="114">
        <f t="shared" si="10"/>
        <v>0.58159328142725919</v>
      </c>
      <c r="AC74" s="114">
        <f t="shared" si="10"/>
        <v>0</v>
      </c>
      <c r="AD74" s="114">
        <f t="shared" si="10"/>
        <v>0</v>
      </c>
      <c r="AE74" s="114">
        <f t="shared" si="10"/>
        <v>0</v>
      </c>
      <c r="AF74" s="114">
        <f t="shared" si="10"/>
        <v>0</v>
      </c>
      <c r="AG74" s="114">
        <f t="shared" si="10"/>
        <v>0</v>
      </c>
      <c r="AH74" s="114">
        <f t="shared" si="10"/>
        <v>0</v>
      </c>
      <c r="AI74" s="114">
        <f t="shared" si="10"/>
        <v>0</v>
      </c>
      <c r="AJ74" s="114">
        <f t="shared" si="10"/>
        <v>0</v>
      </c>
      <c r="AK74" s="114">
        <f t="shared" si="10"/>
        <v>0</v>
      </c>
      <c r="AL74" s="114">
        <f t="shared" si="10"/>
        <v>0</v>
      </c>
      <c r="AM74" s="114">
        <f t="shared" si="10"/>
        <v>0</v>
      </c>
      <c r="AN74" s="114">
        <f t="shared" si="10"/>
        <v>0</v>
      </c>
      <c r="AO74" s="114">
        <f t="shared" si="10"/>
        <v>0</v>
      </c>
      <c r="AP74" s="114">
        <f t="shared" si="10"/>
        <v>0</v>
      </c>
      <c r="BH74" s="3"/>
    </row>
    <row r="75" spans="5:60" x14ac:dyDescent="0.25">
      <c r="F75" s="28" t="s">
        <v>512</v>
      </c>
      <c r="G75" s="28" t="s">
        <v>243</v>
      </c>
      <c r="J75" s="101">
        <f t="shared" ref="J75:AP75" si="11">J71 * (1 - J73)</f>
        <v>0</v>
      </c>
      <c r="K75" s="101">
        <f t="shared" si="11"/>
        <v>22.38279505683872</v>
      </c>
      <c r="L75" s="101">
        <f t="shared" si="11"/>
        <v>0</v>
      </c>
      <c r="M75" s="101">
        <f t="shared" si="11"/>
        <v>0</v>
      </c>
      <c r="N75" s="101">
        <f t="shared" si="11"/>
        <v>0</v>
      </c>
      <c r="O75" s="101">
        <f t="shared" si="11"/>
        <v>0</v>
      </c>
      <c r="P75" s="101">
        <f t="shared" si="11"/>
        <v>0</v>
      </c>
      <c r="Q75" s="101">
        <f t="shared" si="11"/>
        <v>0</v>
      </c>
      <c r="R75" s="101">
        <f t="shared" si="11"/>
        <v>0</v>
      </c>
      <c r="S75" s="101">
        <f t="shared" si="11"/>
        <v>0</v>
      </c>
      <c r="T75" s="101">
        <f t="shared" si="11"/>
        <v>0</v>
      </c>
      <c r="U75" s="101">
        <f t="shared" si="11"/>
        <v>445.94570631022327</v>
      </c>
      <c r="V75" s="101">
        <f t="shared" si="11"/>
        <v>0</v>
      </c>
      <c r="W75" s="101">
        <f t="shared" si="11"/>
        <v>0</v>
      </c>
      <c r="X75" s="101">
        <f t="shared" si="11"/>
        <v>0</v>
      </c>
      <c r="Y75" s="101">
        <f t="shared" si="11"/>
        <v>0</v>
      </c>
      <c r="Z75" s="101">
        <f t="shared" si="11"/>
        <v>0</v>
      </c>
      <c r="AA75" s="101">
        <f t="shared" si="11"/>
        <v>0</v>
      </c>
      <c r="AB75" s="101">
        <f t="shared" si="11"/>
        <v>0</v>
      </c>
      <c r="AC75" s="101">
        <f t="shared" si="11"/>
        <v>0</v>
      </c>
      <c r="AD75" s="101">
        <f t="shared" si="11"/>
        <v>0</v>
      </c>
      <c r="AE75" s="101">
        <f t="shared" si="11"/>
        <v>0</v>
      </c>
      <c r="AF75" s="101">
        <f t="shared" si="11"/>
        <v>0</v>
      </c>
      <c r="AG75" s="101">
        <f t="shared" si="11"/>
        <v>0</v>
      </c>
      <c r="AH75" s="101">
        <f t="shared" si="11"/>
        <v>0</v>
      </c>
      <c r="AI75" s="101">
        <f t="shared" si="11"/>
        <v>0</v>
      </c>
      <c r="AJ75" s="101">
        <f t="shared" si="11"/>
        <v>0</v>
      </c>
      <c r="AK75" s="101">
        <f t="shared" si="11"/>
        <v>0</v>
      </c>
      <c r="AL75" s="101">
        <f t="shared" si="11"/>
        <v>0</v>
      </c>
      <c r="AM75" s="101">
        <f t="shared" si="11"/>
        <v>0</v>
      </c>
      <c r="AN75" s="101">
        <f t="shared" si="11"/>
        <v>0</v>
      </c>
      <c r="AO75" s="101">
        <f t="shared" si="11"/>
        <v>0</v>
      </c>
      <c r="AP75" s="101">
        <f t="shared" si="11"/>
        <v>0</v>
      </c>
      <c r="BH75" s="3"/>
    </row>
    <row r="76" spans="5:60" x14ac:dyDescent="0.25">
      <c r="F76" s="67" t="s">
        <v>513</v>
      </c>
      <c r="G76" s="67" t="s">
        <v>243</v>
      </c>
      <c r="H76" s="37"/>
      <c r="I76" s="37"/>
      <c r="J76" s="103">
        <f t="shared" ref="J76:AP76" si="12">J72 * (1 - J74)</f>
        <v>0</v>
      </c>
      <c r="K76" s="103">
        <f t="shared" si="12"/>
        <v>45.767291324332319</v>
      </c>
      <c r="L76" s="103">
        <f t="shared" si="12"/>
        <v>0</v>
      </c>
      <c r="M76" s="103">
        <f t="shared" si="12"/>
        <v>0</v>
      </c>
      <c r="N76" s="103">
        <f t="shared" si="12"/>
        <v>0</v>
      </c>
      <c r="O76" s="103">
        <f t="shared" si="12"/>
        <v>0</v>
      </c>
      <c r="P76" s="103">
        <f t="shared" si="12"/>
        <v>0</v>
      </c>
      <c r="Q76" s="103">
        <f t="shared" si="12"/>
        <v>0</v>
      </c>
      <c r="R76" s="103">
        <f t="shared" si="12"/>
        <v>0</v>
      </c>
      <c r="S76" s="103">
        <f t="shared" si="12"/>
        <v>0</v>
      </c>
      <c r="T76" s="103">
        <f t="shared" si="12"/>
        <v>0</v>
      </c>
      <c r="U76" s="103">
        <f t="shared" si="12"/>
        <v>301.30453398701604</v>
      </c>
      <c r="V76" s="103">
        <f t="shared" si="12"/>
        <v>149.21554340557319</v>
      </c>
      <c r="W76" s="103">
        <f t="shared" si="12"/>
        <v>0</v>
      </c>
      <c r="X76" s="103">
        <f t="shared" si="12"/>
        <v>0</v>
      </c>
      <c r="Y76" s="103">
        <f t="shared" si="12"/>
        <v>0</v>
      </c>
      <c r="Z76" s="103">
        <f t="shared" si="12"/>
        <v>0</v>
      </c>
      <c r="AA76" s="103">
        <f t="shared" si="12"/>
        <v>0</v>
      </c>
      <c r="AB76" s="103">
        <f t="shared" si="12"/>
        <v>0</v>
      </c>
      <c r="AC76" s="103">
        <f t="shared" si="12"/>
        <v>0</v>
      </c>
      <c r="AD76" s="103">
        <f t="shared" si="12"/>
        <v>0</v>
      </c>
      <c r="AE76" s="103">
        <f t="shared" si="12"/>
        <v>0</v>
      </c>
      <c r="AF76" s="103">
        <f t="shared" si="12"/>
        <v>0</v>
      </c>
      <c r="AG76" s="103">
        <f t="shared" si="12"/>
        <v>0</v>
      </c>
      <c r="AH76" s="103">
        <f t="shared" si="12"/>
        <v>0</v>
      </c>
      <c r="AI76" s="103">
        <f t="shared" si="12"/>
        <v>0</v>
      </c>
      <c r="AJ76" s="103">
        <f t="shared" si="12"/>
        <v>0</v>
      </c>
      <c r="AK76" s="103">
        <f t="shared" si="12"/>
        <v>0</v>
      </c>
      <c r="AL76" s="103">
        <f t="shared" si="12"/>
        <v>0</v>
      </c>
      <c r="AM76" s="103">
        <f t="shared" si="12"/>
        <v>0</v>
      </c>
      <c r="AN76" s="103">
        <f t="shared" si="12"/>
        <v>0</v>
      </c>
      <c r="AO76" s="103">
        <f t="shared" si="12"/>
        <v>0</v>
      </c>
      <c r="AP76" s="103">
        <f t="shared" si="12"/>
        <v>0</v>
      </c>
      <c r="BH76" s="3"/>
    </row>
    <row r="77" spans="5:60" x14ac:dyDescent="0.25">
      <c r="F77" s="28" t="s">
        <v>514</v>
      </c>
      <c r="G77" s="28" t="s">
        <v>243</v>
      </c>
      <c r="J77" s="124">
        <f t="shared" ref="J77:AP77" si="13">J70 + J75 + J76</f>
        <v>0</v>
      </c>
      <c r="K77" s="124">
        <f t="shared" si="13"/>
        <v>204289.9974625294</v>
      </c>
      <c r="L77" s="124">
        <f t="shared" si="13"/>
        <v>0</v>
      </c>
      <c r="M77" s="124">
        <f t="shared" si="13"/>
        <v>0</v>
      </c>
      <c r="N77" s="124">
        <f t="shared" si="13"/>
        <v>82289.749092955753</v>
      </c>
      <c r="O77" s="124">
        <f t="shared" si="13"/>
        <v>0</v>
      </c>
      <c r="P77" s="124">
        <f t="shared" si="13"/>
        <v>10042.285925586189</v>
      </c>
      <c r="Q77" s="124">
        <f t="shared" si="13"/>
        <v>0</v>
      </c>
      <c r="R77" s="124">
        <f t="shared" si="13"/>
        <v>269.81773904335392</v>
      </c>
      <c r="S77" s="124">
        <f t="shared" si="13"/>
        <v>136.73224650179375</v>
      </c>
      <c r="T77" s="124">
        <f t="shared" si="13"/>
        <v>39067.558275099967</v>
      </c>
      <c r="U77" s="124">
        <f t="shared" si="13"/>
        <v>813957.57788120955</v>
      </c>
      <c r="V77" s="124">
        <f t="shared" si="13"/>
        <v>55692.626742093176</v>
      </c>
      <c r="W77" s="124">
        <f t="shared" si="13"/>
        <v>428873.62609942525</v>
      </c>
      <c r="X77" s="124">
        <f t="shared" si="13"/>
        <v>0</v>
      </c>
      <c r="Y77" s="124">
        <f t="shared" si="13"/>
        <v>0</v>
      </c>
      <c r="Z77" s="124">
        <f t="shared" si="13"/>
        <v>0</v>
      </c>
      <c r="AA77" s="124">
        <f t="shared" si="13"/>
        <v>0</v>
      </c>
      <c r="AB77" s="124">
        <f t="shared" si="13"/>
        <v>15832.064594910415</v>
      </c>
      <c r="AC77" s="124">
        <f t="shared" si="13"/>
        <v>0</v>
      </c>
      <c r="AD77" s="124">
        <f t="shared" si="13"/>
        <v>0</v>
      </c>
      <c r="AE77" s="124">
        <f t="shared" si="13"/>
        <v>0</v>
      </c>
      <c r="AF77" s="124">
        <f t="shared" si="13"/>
        <v>0</v>
      </c>
      <c r="AG77" s="124">
        <f t="shared" si="13"/>
        <v>22429.580480403067</v>
      </c>
      <c r="AH77" s="124">
        <f t="shared" si="13"/>
        <v>0</v>
      </c>
      <c r="AI77" s="124">
        <f t="shared" si="13"/>
        <v>0</v>
      </c>
      <c r="AJ77" s="124">
        <f t="shared" si="13"/>
        <v>0</v>
      </c>
      <c r="AK77" s="124">
        <f t="shared" si="13"/>
        <v>0</v>
      </c>
      <c r="AL77" s="124">
        <f t="shared" si="13"/>
        <v>0</v>
      </c>
      <c r="AM77" s="124">
        <f t="shared" si="13"/>
        <v>0</v>
      </c>
      <c r="AN77" s="124">
        <f t="shared" si="13"/>
        <v>0</v>
      </c>
      <c r="AO77" s="124">
        <f t="shared" si="13"/>
        <v>385063.70152251818</v>
      </c>
      <c r="AP77" s="124">
        <f t="shared" si="13"/>
        <v>0</v>
      </c>
      <c r="BH77" s="3"/>
    </row>
    <row r="78" spans="5:60" x14ac:dyDescent="0.25">
      <c r="E78" s="3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c r="BH78" s="3"/>
    </row>
    <row r="79" spans="5:60" x14ac:dyDescent="0.25">
      <c r="E79" s="32" t="s">
        <v>194</v>
      </c>
      <c r="I79" t="s">
        <v>190</v>
      </c>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AR79" t="s">
        <v>368</v>
      </c>
      <c r="BH79" s="3"/>
    </row>
    <row r="80" spans="5:60" x14ac:dyDescent="0.25">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F81" s="28" t="s">
        <v>507</v>
      </c>
      <c r="G81" s="28" t="s">
        <v>243</v>
      </c>
      <c r="J81" s="123">
        <f>'Inputs by customer type'!J23</f>
        <v>0</v>
      </c>
      <c r="K81" s="123">
        <f>'Inputs by customer type'!K23</f>
        <v>0</v>
      </c>
      <c r="L81" s="123">
        <f>'Inputs by customer type'!L23</f>
        <v>0</v>
      </c>
      <c r="M81" s="123">
        <f>'Inputs by customer type'!M23</f>
        <v>0</v>
      </c>
      <c r="N81" s="123">
        <f>'Inputs by customer type'!N23</f>
        <v>0</v>
      </c>
      <c r="O81" s="123">
        <f>'Inputs by customer type'!O23</f>
        <v>0</v>
      </c>
      <c r="P81" s="123">
        <f>'Inputs by customer type'!P23</f>
        <v>0</v>
      </c>
      <c r="Q81" s="123">
        <f>'Inputs by customer type'!Q23</f>
        <v>0</v>
      </c>
      <c r="R81" s="123">
        <f>'Inputs by customer type'!R23</f>
        <v>0</v>
      </c>
      <c r="S81" s="123">
        <f>'Inputs by customer type'!S23</f>
        <v>165.30614809900308</v>
      </c>
      <c r="T81" s="123">
        <f>'Inputs by customer type'!T23</f>
        <v>27199.510570379593</v>
      </c>
      <c r="U81" s="123">
        <f>'Inputs by customer type'!U23</f>
        <v>617575.92856148328</v>
      </c>
      <c r="V81" s="123">
        <f>'Inputs by customer type'!V23</f>
        <v>56991.393995636892</v>
      </c>
      <c r="W81" s="123">
        <f>'Inputs by customer type'!W23</f>
        <v>401128.44876738428</v>
      </c>
      <c r="X81" s="123">
        <f>'Inputs by customer type'!X23</f>
        <v>0</v>
      </c>
      <c r="Y81" s="123">
        <f>'Inputs by customer type'!Y23</f>
        <v>0</v>
      </c>
      <c r="Z81" s="123">
        <f>'Inputs by customer type'!Z23</f>
        <v>0</v>
      </c>
      <c r="AA81" s="123">
        <f>'Inputs by customer type'!AA23</f>
        <v>0</v>
      </c>
      <c r="AB81" s="123">
        <f>'Inputs by customer type'!AB23</f>
        <v>62407.524160774294</v>
      </c>
      <c r="AC81" s="123">
        <f>'Inputs by customer type'!AC23</f>
        <v>0</v>
      </c>
      <c r="AD81" s="123">
        <f>'Inputs by customer type'!AD23</f>
        <v>0</v>
      </c>
      <c r="AE81" s="123">
        <f>'Inputs by customer type'!AE23</f>
        <v>0</v>
      </c>
      <c r="AF81" s="123">
        <f>'Inputs by customer type'!AF23</f>
        <v>0</v>
      </c>
      <c r="AG81" s="123">
        <f>'Inputs by customer type'!AG23</f>
        <v>25751.216289277676</v>
      </c>
      <c r="AH81" s="123">
        <f>'Inputs by customer type'!AH23</f>
        <v>0</v>
      </c>
      <c r="AI81" s="123">
        <f>'Inputs by customer type'!AI23</f>
        <v>0</v>
      </c>
      <c r="AJ81" s="123">
        <f>'Inputs by customer type'!AJ23</f>
        <v>0</v>
      </c>
      <c r="AK81" s="123">
        <f>'Inputs by customer type'!AK23</f>
        <v>0</v>
      </c>
      <c r="AL81" s="123">
        <f>'Inputs by customer type'!AL23</f>
        <v>0</v>
      </c>
      <c r="AM81" s="123">
        <f>'Inputs by customer type'!AM23</f>
        <v>0</v>
      </c>
      <c r="AN81" s="123">
        <f>'Inputs by customer type'!AN23</f>
        <v>0</v>
      </c>
      <c r="AO81" s="123">
        <f>'Inputs by customer type'!AO23</f>
        <v>361762.50157246564</v>
      </c>
      <c r="AP81" s="123">
        <f>'Inputs by customer type'!AP23</f>
        <v>0</v>
      </c>
      <c r="BH81" s="3"/>
    </row>
    <row r="82" spans="5:60" x14ac:dyDescent="0.25">
      <c r="F82" s="28" t="s">
        <v>508</v>
      </c>
      <c r="G82" s="28" t="s">
        <v>243</v>
      </c>
      <c r="J82" s="123">
        <f>'Inputs by customer type'!J32</f>
        <v>0</v>
      </c>
      <c r="K82" s="123">
        <f>'Inputs by customer type'!K32</f>
        <v>0</v>
      </c>
      <c r="L82" s="123">
        <f>'Inputs by customer type'!L32</f>
        <v>0</v>
      </c>
      <c r="M82" s="123">
        <f>'Inputs by customer type'!M32</f>
        <v>0</v>
      </c>
      <c r="N82" s="123">
        <f>'Inputs by customer type'!N32</f>
        <v>0</v>
      </c>
      <c r="O82" s="123">
        <f>'Inputs by customer type'!O32</f>
        <v>0</v>
      </c>
      <c r="P82" s="123">
        <f>'Inputs by customer type'!P32</f>
        <v>0</v>
      </c>
      <c r="Q82" s="123">
        <f>'Inputs by customer type'!Q32</f>
        <v>0</v>
      </c>
      <c r="R82" s="123">
        <f>'Inputs by customer type'!R32</f>
        <v>0</v>
      </c>
      <c r="S82" s="123">
        <f>'Inputs by customer type'!S32</f>
        <v>0</v>
      </c>
      <c r="T82" s="123">
        <f>'Inputs by customer type'!T32</f>
        <v>0</v>
      </c>
      <c r="U82" s="123">
        <f>'Inputs by customer type'!U32</f>
        <v>303.74096809783396</v>
      </c>
      <c r="V82" s="123">
        <f>'Inputs by customer type'!V32</f>
        <v>0</v>
      </c>
      <c r="W82" s="123">
        <f>'Inputs by customer type'!W32</f>
        <v>0</v>
      </c>
      <c r="X82" s="123">
        <f>'Inputs by customer type'!X32</f>
        <v>0</v>
      </c>
      <c r="Y82" s="123">
        <f>'Inputs by customer type'!Y32</f>
        <v>0</v>
      </c>
      <c r="Z82" s="123">
        <f>'Inputs by customer type'!Z32</f>
        <v>0</v>
      </c>
      <c r="AA82" s="123">
        <f>'Inputs by customer type'!AA32</f>
        <v>0</v>
      </c>
      <c r="AB82" s="123">
        <f>'Inputs by customer type'!AB32</f>
        <v>0</v>
      </c>
      <c r="AC82" s="123">
        <f>'Inputs by customer type'!AC32</f>
        <v>0</v>
      </c>
      <c r="AD82" s="123">
        <f>'Inputs by customer type'!AD32</f>
        <v>0</v>
      </c>
      <c r="AE82" s="123">
        <f>'Inputs by customer type'!AE32</f>
        <v>0</v>
      </c>
      <c r="AF82" s="123">
        <f>'Inputs by customer type'!AF32</f>
        <v>0</v>
      </c>
      <c r="AG82" s="123">
        <f>'Inputs by customer type'!AG32</f>
        <v>0</v>
      </c>
      <c r="AH82" s="123">
        <f>'Inputs by customer type'!AH32</f>
        <v>0</v>
      </c>
      <c r="AI82" s="123">
        <f>'Inputs by customer type'!AI32</f>
        <v>0</v>
      </c>
      <c r="AJ82" s="123">
        <f>'Inputs by customer type'!AJ32</f>
        <v>0</v>
      </c>
      <c r="AK82" s="123">
        <f>'Inputs by customer type'!AK32</f>
        <v>0</v>
      </c>
      <c r="AL82" s="123">
        <f>'Inputs by customer type'!AL32</f>
        <v>0</v>
      </c>
      <c r="AM82" s="123">
        <f>'Inputs by customer type'!AM32</f>
        <v>0</v>
      </c>
      <c r="AN82" s="123">
        <f>'Inputs by customer type'!AN32</f>
        <v>0</v>
      </c>
      <c r="AO82" s="123">
        <f>'Inputs by customer type'!AO32</f>
        <v>0</v>
      </c>
      <c r="AP82" s="123">
        <f>'Inputs by customer type'!AP32</f>
        <v>0</v>
      </c>
      <c r="BH82" s="3"/>
    </row>
    <row r="83" spans="5:60" x14ac:dyDescent="0.25">
      <c r="F83" s="28" t="s">
        <v>509</v>
      </c>
      <c r="G83" s="28" t="s">
        <v>243</v>
      </c>
      <c r="J83" s="123">
        <f>'Inputs by customer type'!J41</f>
        <v>0</v>
      </c>
      <c r="K83" s="123">
        <f>'Inputs by customer type'!K41</f>
        <v>0</v>
      </c>
      <c r="L83" s="123">
        <f>'Inputs by customer type'!L41</f>
        <v>0</v>
      </c>
      <c r="M83" s="123">
        <f>'Inputs by customer type'!M41</f>
        <v>0</v>
      </c>
      <c r="N83" s="123">
        <f>'Inputs by customer type'!N41</f>
        <v>0</v>
      </c>
      <c r="O83" s="123">
        <f>'Inputs by customer type'!O41</f>
        <v>0</v>
      </c>
      <c r="P83" s="123">
        <f>'Inputs by customer type'!P41</f>
        <v>0</v>
      </c>
      <c r="Q83" s="123">
        <f>'Inputs by customer type'!Q41</f>
        <v>0</v>
      </c>
      <c r="R83" s="123">
        <f>'Inputs by customer type'!R41</f>
        <v>0</v>
      </c>
      <c r="S83" s="123">
        <f>'Inputs by customer type'!S41</f>
        <v>0</v>
      </c>
      <c r="T83" s="123">
        <f>'Inputs by customer type'!T41</f>
        <v>0</v>
      </c>
      <c r="U83" s="123">
        <f>'Inputs by customer type'!U41</f>
        <v>516.84316448880031</v>
      </c>
      <c r="V83" s="123">
        <f>'Inputs by customer type'!V41</f>
        <v>266.38424524969162</v>
      </c>
      <c r="W83" s="123">
        <f>'Inputs by customer type'!W41</f>
        <v>0</v>
      </c>
      <c r="X83" s="123">
        <f>'Inputs by customer type'!X41</f>
        <v>0</v>
      </c>
      <c r="Y83" s="123">
        <f>'Inputs by customer type'!Y41</f>
        <v>0</v>
      </c>
      <c r="Z83" s="123">
        <f>'Inputs by customer type'!Z41</f>
        <v>0</v>
      </c>
      <c r="AA83" s="123">
        <f>'Inputs by customer type'!AA41</f>
        <v>0</v>
      </c>
      <c r="AB83" s="123">
        <f>'Inputs by customer type'!AB41</f>
        <v>0</v>
      </c>
      <c r="AC83" s="123">
        <f>'Inputs by customer type'!AC41</f>
        <v>0</v>
      </c>
      <c r="AD83" s="123">
        <f>'Inputs by customer type'!AD41</f>
        <v>0</v>
      </c>
      <c r="AE83" s="123">
        <f>'Inputs by customer type'!AE41</f>
        <v>0</v>
      </c>
      <c r="AF83" s="123">
        <f>'Inputs by customer type'!AF41</f>
        <v>0</v>
      </c>
      <c r="AG83" s="123">
        <f>'Inputs by customer type'!AG41</f>
        <v>0</v>
      </c>
      <c r="AH83" s="123">
        <f>'Inputs by customer type'!AH41</f>
        <v>0</v>
      </c>
      <c r="AI83" s="123">
        <f>'Inputs by customer type'!AI41</f>
        <v>0</v>
      </c>
      <c r="AJ83" s="123">
        <f>'Inputs by customer type'!AJ41</f>
        <v>0</v>
      </c>
      <c r="AK83" s="123">
        <f>'Inputs by customer type'!AK41</f>
        <v>0</v>
      </c>
      <c r="AL83" s="123">
        <f>'Inputs by customer type'!AL41</f>
        <v>0</v>
      </c>
      <c r="AM83" s="123">
        <f>'Inputs by customer type'!AM41</f>
        <v>0</v>
      </c>
      <c r="AN83" s="123">
        <f>'Inputs by customer type'!AN41</f>
        <v>0</v>
      </c>
      <c r="AO83" s="123">
        <f>'Inputs by customer type'!AO41</f>
        <v>0</v>
      </c>
      <c r="AP83" s="123">
        <f>'Inputs by customer type'!AP41</f>
        <v>0</v>
      </c>
      <c r="BH83" s="3"/>
    </row>
    <row r="84" spans="5:60" x14ac:dyDescent="0.25">
      <c r="F84" s="28" t="s">
        <v>510</v>
      </c>
      <c r="G84" s="28" t="s">
        <v>203</v>
      </c>
      <c r="J84" s="114">
        <f t="shared" ref="J84:AP84" si="14">IF(J$39, J$45, J$34)</f>
        <v>0.29399702125357685</v>
      </c>
      <c r="K84" s="114">
        <f t="shared" si="14"/>
        <v>0.29399702125357685</v>
      </c>
      <c r="L84" s="114">
        <f t="shared" si="14"/>
        <v>0.29399702125357685</v>
      </c>
      <c r="M84" s="114">
        <f t="shared" si="14"/>
        <v>0.29399702125357685</v>
      </c>
      <c r="N84" s="114">
        <f t="shared" si="14"/>
        <v>0.29399702125357685</v>
      </c>
      <c r="O84" s="114">
        <f t="shared" si="14"/>
        <v>0.29399702125357685</v>
      </c>
      <c r="P84" s="114">
        <f t="shared" si="14"/>
        <v>0.29399702125357685</v>
      </c>
      <c r="Q84" s="114">
        <f t="shared" si="14"/>
        <v>0</v>
      </c>
      <c r="R84" s="114">
        <f t="shared" si="14"/>
        <v>0</v>
      </c>
      <c r="S84" s="114">
        <f t="shared" si="14"/>
        <v>0.29399702125357685</v>
      </c>
      <c r="T84" s="114">
        <f t="shared" si="14"/>
        <v>0.29399702125357685</v>
      </c>
      <c r="U84" s="114">
        <f t="shared" si="14"/>
        <v>0.29399702125357685</v>
      </c>
      <c r="V84" s="114">
        <f t="shared" si="14"/>
        <v>0</v>
      </c>
      <c r="W84" s="114">
        <f t="shared" si="14"/>
        <v>0</v>
      </c>
      <c r="X84" s="114">
        <f t="shared" si="14"/>
        <v>0.29399702125357685</v>
      </c>
      <c r="Y84" s="114">
        <f t="shared" si="14"/>
        <v>0.29399702125357685</v>
      </c>
      <c r="Z84" s="114">
        <f t="shared" si="14"/>
        <v>0.29399702125357685</v>
      </c>
      <c r="AA84" s="114">
        <f t="shared" si="14"/>
        <v>0.29399702125357685</v>
      </c>
      <c r="AB84" s="114">
        <f t="shared" si="14"/>
        <v>0.29399702125357685</v>
      </c>
      <c r="AC84" s="114">
        <f t="shared" si="14"/>
        <v>0</v>
      </c>
      <c r="AD84" s="114">
        <f t="shared" si="14"/>
        <v>0</v>
      </c>
      <c r="AE84" s="114">
        <f t="shared" si="14"/>
        <v>0</v>
      </c>
      <c r="AF84" s="114">
        <f t="shared" si="14"/>
        <v>0</v>
      </c>
      <c r="AG84" s="114">
        <f t="shared" si="14"/>
        <v>0</v>
      </c>
      <c r="AH84" s="114">
        <f t="shared" si="14"/>
        <v>0</v>
      </c>
      <c r="AI84" s="114">
        <f t="shared" si="14"/>
        <v>0</v>
      </c>
      <c r="AJ84" s="114">
        <f t="shared" si="14"/>
        <v>0</v>
      </c>
      <c r="AK84" s="114">
        <f t="shared" si="14"/>
        <v>0</v>
      </c>
      <c r="AL84" s="114">
        <f t="shared" si="14"/>
        <v>0</v>
      </c>
      <c r="AM84" s="114">
        <f t="shared" si="14"/>
        <v>0</v>
      </c>
      <c r="AN84" s="114">
        <f t="shared" si="14"/>
        <v>0</v>
      </c>
      <c r="AO84" s="114">
        <f t="shared" si="14"/>
        <v>0</v>
      </c>
      <c r="AP84" s="114">
        <f t="shared" si="14"/>
        <v>0</v>
      </c>
      <c r="BH84" s="3"/>
    </row>
    <row r="85" spans="5:60" x14ac:dyDescent="0.25">
      <c r="F85" s="28" t="s">
        <v>511</v>
      </c>
      <c r="G85" s="28" t="s">
        <v>203</v>
      </c>
      <c r="J85" s="114">
        <f t="shared" ref="J85:AP85" si="15">IF(J$39, J$45, J$35)</f>
        <v>0.58159328142725919</v>
      </c>
      <c r="K85" s="114">
        <f t="shared" si="15"/>
        <v>0.58159328142725919</v>
      </c>
      <c r="L85" s="114">
        <f t="shared" si="15"/>
        <v>0.58159328142725919</v>
      </c>
      <c r="M85" s="114">
        <f t="shared" si="15"/>
        <v>0.58159328142725919</v>
      </c>
      <c r="N85" s="114">
        <f t="shared" si="15"/>
        <v>0.58159328142725919</v>
      </c>
      <c r="O85" s="114">
        <f t="shared" si="15"/>
        <v>0.58159328142725919</v>
      </c>
      <c r="P85" s="114">
        <f t="shared" si="15"/>
        <v>0.58159328142725919</v>
      </c>
      <c r="Q85" s="114">
        <f t="shared" si="15"/>
        <v>0</v>
      </c>
      <c r="R85" s="114">
        <f t="shared" si="15"/>
        <v>0</v>
      </c>
      <c r="S85" s="114">
        <f t="shared" si="15"/>
        <v>0.58159328142725919</v>
      </c>
      <c r="T85" s="114">
        <f t="shared" si="15"/>
        <v>0.58159328142725919</v>
      </c>
      <c r="U85" s="114">
        <f t="shared" si="15"/>
        <v>0.58159328142725919</v>
      </c>
      <c r="V85" s="114">
        <f t="shared" si="15"/>
        <v>0.39416189548233249</v>
      </c>
      <c r="W85" s="114">
        <f t="shared" si="15"/>
        <v>0.33724217358094977</v>
      </c>
      <c r="X85" s="114">
        <f t="shared" si="15"/>
        <v>0.58159328142725919</v>
      </c>
      <c r="Y85" s="114">
        <f t="shared" si="15"/>
        <v>0.58159328142725919</v>
      </c>
      <c r="Z85" s="114">
        <f t="shared" si="15"/>
        <v>0.58159328142725919</v>
      </c>
      <c r="AA85" s="114">
        <f t="shared" si="15"/>
        <v>0.58159328142725919</v>
      </c>
      <c r="AB85" s="114">
        <f t="shared" si="15"/>
        <v>0.58159328142725919</v>
      </c>
      <c r="AC85" s="114">
        <f t="shared" si="15"/>
        <v>0</v>
      </c>
      <c r="AD85" s="114">
        <f t="shared" si="15"/>
        <v>0</v>
      </c>
      <c r="AE85" s="114">
        <f t="shared" si="15"/>
        <v>0</v>
      </c>
      <c r="AF85" s="114">
        <f t="shared" si="15"/>
        <v>0</v>
      </c>
      <c r="AG85" s="114">
        <f t="shared" si="15"/>
        <v>0</v>
      </c>
      <c r="AH85" s="114">
        <f t="shared" si="15"/>
        <v>0</v>
      </c>
      <c r="AI85" s="114">
        <f t="shared" si="15"/>
        <v>0</v>
      </c>
      <c r="AJ85" s="114">
        <f t="shared" si="15"/>
        <v>0</v>
      </c>
      <c r="AK85" s="114">
        <f t="shared" si="15"/>
        <v>0</v>
      </c>
      <c r="AL85" s="114">
        <f t="shared" si="15"/>
        <v>0</v>
      </c>
      <c r="AM85" s="114">
        <f t="shared" si="15"/>
        <v>0</v>
      </c>
      <c r="AN85" s="114">
        <f t="shared" si="15"/>
        <v>0</v>
      </c>
      <c r="AO85" s="114">
        <f t="shared" si="15"/>
        <v>0</v>
      </c>
      <c r="AP85" s="114">
        <f t="shared" si="15"/>
        <v>0</v>
      </c>
      <c r="BH85" s="3"/>
    </row>
    <row r="86" spans="5:60" x14ac:dyDescent="0.25">
      <c r="F86" s="28" t="s">
        <v>512</v>
      </c>
      <c r="G86" s="28" t="s">
        <v>243</v>
      </c>
      <c r="J86" s="101">
        <f t="shared" ref="J86:AP86" si="16">J82 * (1 - J84)</f>
        <v>0</v>
      </c>
      <c r="K86" s="101">
        <f t="shared" si="16"/>
        <v>0</v>
      </c>
      <c r="L86" s="101">
        <f t="shared" si="16"/>
        <v>0</v>
      </c>
      <c r="M86" s="101">
        <f t="shared" si="16"/>
        <v>0</v>
      </c>
      <c r="N86" s="101">
        <f t="shared" si="16"/>
        <v>0</v>
      </c>
      <c r="O86" s="101">
        <f t="shared" si="16"/>
        <v>0</v>
      </c>
      <c r="P86" s="101">
        <f t="shared" si="16"/>
        <v>0</v>
      </c>
      <c r="Q86" s="101">
        <f t="shared" si="16"/>
        <v>0</v>
      </c>
      <c r="R86" s="101">
        <f t="shared" si="16"/>
        <v>0</v>
      </c>
      <c r="S86" s="101">
        <f t="shared" si="16"/>
        <v>0</v>
      </c>
      <c r="T86" s="101">
        <f t="shared" si="16"/>
        <v>0</v>
      </c>
      <c r="U86" s="101">
        <f t="shared" si="16"/>
        <v>214.44202824439307</v>
      </c>
      <c r="V86" s="101">
        <f t="shared" si="16"/>
        <v>0</v>
      </c>
      <c r="W86" s="101">
        <f t="shared" si="16"/>
        <v>0</v>
      </c>
      <c r="X86" s="101">
        <f t="shared" si="16"/>
        <v>0</v>
      </c>
      <c r="Y86" s="101">
        <f t="shared" si="16"/>
        <v>0</v>
      </c>
      <c r="Z86" s="101">
        <f t="shared" si="16"/>
        <v>0</v>
      </c>
      <c r="AA86" s="101">
        <f t="shared" si="16"/>
        <v>0</v>
      </c>
      <c r="AB86" s="101">
        <f t="shared" si="16"/>
        <v>0</v>
      </c>
      <c r="AC86" s="101">
        <f t="shared" si="16"/>
        <v>0</v>
      </c>
      <c r="AD86" s="101">
        <f t="shared" si="16"/>
        <v>0</v>
      </c>
      <c r="AE86" s="101">
        <f t="shared" si="16"/>
        <v>0</v>
      </c>
      <c r="AF86" s="101">
        <f t="shared" si="16"/>
        <v>0</v>
      </c>
      <c r="AG86" s="101">
        <f t="shared" si="16"/>
        <v>0</v>
      </c>
      <c r="AH86" s="101">
        <f t="shared" si="16"/>
        <v>0</v>
      </c>
      <c r="AI86" s="101">
        <f t="shared" si="16"/>
        <v>0</v>
      </c>
      <c r="AJ86" s="101">
        <f t="shared" si="16"/>
        <v>0</v>
      </c>
      <c r="AK86" s="101">
        <f t="shared" si="16"/>
        <v>0</v>
      </c>
      <c r="AL86" s="101">
        <f t="shared" si="16"/>
        <v>0</v>
      </c>
      <c r="AM86" s="101">
        <f t="shared" si="16"/>
        <v>0</v>
      </c>
      <c r="AN86" s="101">
        <f t="shared" si="16"/>
        <v>0</v>
      </c>
      <c r="AO86" s="101">
        <f t="shared" si="16"/>
        <v>0</v>
      </c>
      <c r="AP86" s="101">
        <f t="shared" si="16"/>
        <v>0</v>
      </c>
      <c r="BH86" s="3"/>
    </row>
    <row r="87" spans="5:60" x14ac:dyDescent="0.25">
      <c r="F87" s="67" t="s">
        <v>513</v>
      </c>
      <c r="G87" s="67" t="s">
        <v>243</v>
      </c>
      <c r="H87" s="37"/>
      <c r="I87" s="37"/>
      <c r="J87" s="103">
        <f t="shared" ref="J87:AP87" si="17">J83 * (1 - J85)</f>
        <v>0</v>
      </c>
      <c r="K87" s="103">
        <f t="shared" si="17"/>
        <v>0</v>
      </c>
      <c r="L87" s="103">
        <f t="shared" si="17"/>
        <v>0</v>
      </c>
      <c r="M87" s="103">
        <f t="shared" si="17"/>
        <v>0</v>
      </c>
      <c r="N87" s="103">
        <f t="shared" si="17"/>
        <v>0</v>
      </c>
      <c r="O87" s="103">
        <f t="shared" si="17"/>
        <v>0</v>
      </c>
      <c r="P87" s="103">
        <f t="shared" si="17"/>
        <v>0</v>
      </c>
      <c r="Q87" s="103">
        <f t="shared" si="17"/>
        <v>0</v>
      </c>
      <c r="R87" s="103">
        <f t="shared" si="17"/>
        <v>0</v>
      </c>
      <c r="S87" s="103">
        <f t="shared" si="17"/>
        <v>0</v>
      </c>
      <c r="T87" s="103">
        <f t="shared" si="17"/>
        <v>0</v>
      </c>
      <c r="U87" s="103">
        <f t="shared" si="17"/>
        <v>216.25065247051026</v>
      </c>
      <c r="V87" s="103">
        <f t="shared" si="17"/>
        <v>161.38572621544265</v>
      </c>
      <c r="W87" s="103">
        <f t="shared" si="17"/>
        <v>0</v>
      </c>
      <c r="X87" s="103">
        <f t="shared" si="17"/>
        <v>0</v>
      </c>
      <c r="Y87" s="103">
        <f t="shared" si="17"/>
        <v>0</v>
      </c>
      <c r="Z87" s="103">
        <f t="shared" si="17"/>
        <v>0</v>
      </c>
      <c r="AA87" s="103">
        <f t="shared" si="17"/>
        <v>0</v>
      </c>
      <c r="AB87" s="103">
        <f t="shared" si="17"/>
        <v>0</v>
      </c>
      <c r="AC87" s="103">
        <f t="shared" si="17"/>
        <v>0</v>
      </c>
      <c r="AD87" s="103">
        <f t="shared" si="17"/>
        <v>0</v>
      </c>
      <c r="AE87" s="103">
        <f t="shared" si="17"/>
        <v>0</v>
      </c>
      <c r="AF87" s="103">
        <f t="shared" si="17"/>
        <v>0</v>
      </c>
      <c r="AG87" s="103">
        <f t="shared" si="17"/>
        <v>0</v>
      </c>
      <c r="AH87" s="103">
        <f t="shared" si="17"/>
        <v>0</v>
      </c>
      <c r="AI87" s="103">
        <f t="shared" si="17"/>
        <v>0</v>
      </c>
      <c r="AJ87" s="103">
        <f t="shared" si="17"/>
        <v>0</v>
      </c>
      <c r="AK87" s="103">
        <f t="shared" si="17"/>
        <v>0</v>
      </c>
      <c r="AL87" s="103">
        <f t="shared" si="17"/>
        <v>0</v>
      </c>
      <c r="AM87" s="103">
        <f t="shared" si="17"/>
        <v>0</v>
      </c>
      <c r="AN87" s="103">
        <f t="shared" si="17"/>
        <v>0</v>
      </c>
      <c r="AO87" s="103">
        <f t="shared" si="17"/>
        <v>0</v>
      </c>
      <c r="AP87" s="103">
        <f t="shared" si="17"/>
        <v>0</v>
      </c>
      <c r="BH87" s="3"/>
    </row>
    <row r="88" spans="5:60" x14ac:dyDescent="0.25">
      <c r="F88" s="28" t="s">
        <v>514</v>
      </c>
      <c r="G88" s="28" t="s">
        <v>243</v>
      </c>
      <c r="J88" s="124">
        <f t="shared" ref="J88:AP88" si="18">J81 + J86 + J87</f>
        <v>0</v>
      </c>
      <c r="K88" s="124">
        <f t="shared" si="18"/>
        <v>0</v>
      </c>
      <c r="L88" s="124">
        <f t="shared" si="18"/>
        <v>0</v>
      </c>
      <c r="M88" s="124">
        <f t="shared" si="18"/>
        <v>0</v>
      </c>
      <c r="N88" s="124">
        <f t="shared" si="18"/>
        <v>0</v>
      </c>
      <c r="O88" s="124">
        <f t="shared" si="18"/>
        <v>0</v>
      </c>
      <c r="P88" s="124">
        <f t="shared" si="18"/>
        <v>0</v>
      </c>
      <c r="Q88" s="124">
        <f t="shared" si="18"/>
        <v>0</v>
      </c>
      <c r="R88" s="124">
        <f t="shared" si="18"/>
        <v>0</v>
      </c>
      <c r="S88" s="124">
        <f t="shared" si="18"/>
        <v>165.30614809900308</v>
      </c>
      <c r="T88" s="124">
        <f t="shared" si="18"/>
        <v>27199.510570379593</v>
      </c>
      <c r="U88" s="124">
        <f t="shared" si="18"/>
        <v>618006.62124219816</v>
      </c>
      <c r="V88" s="124">
        <f t="shared" si="18"/>
        <v>57152.779721852334</v>
      </c>
      <c r="W88" s="124">
        <f t="shared" si="18"/>
        <v>401128.44876738428</v>
      </c>
      <c r="X88" s="124">
        <f t="shared" si="18"/>
        <v>0</v>
      </c>
      <c r="Y88" s="124">
        <f t="shared" si="18"/>
        <v>0</v>
      </c>
      <c r="Z88" s="124">
        <f t="shared" si="18"/>
        <v>0</v>
      </c>
      <c r="AA88" s="124">
        <f t="shared" si="18"/>
        <v>0</v>
      </c>
      <c r="AB88" s="124">
        <f t="shared" si="18"/>
        <v>62407.524160774294</v>
      </c>
      <c r="AC88" s="124">
        <f t="shared" si="18"/>
        <v>0</v>
      </c>
      <c r="AD88" s="124">
        <f t="shared" si="18"/>
        <v>0</v>
      </c>
      <c r="AE88" s="124">
        <f t="shared" si="18"/>
        <v>0</v>
      </c>
      <c r="AF88" s="124">
        <f t="shared" si="18"/>
        <v>0</v>
      </c>
      <c r="AG88" s="124">
        <f t="shared" si="18"/>
        <v>25751.216289277676</v>
      </c>
      <c r="AH88" s="124">
        <f t="shared" si="18"/>
        <v>0</v>
      </c>
      <c r="AI88" s="124">
        <f t="shared" si="18"/>
        <v>0</v>
      </c>
      <c r="AJ88" s="124">
        <f t="shared" si="18"/>
        <v>0</v>
      </c>
      <c r="AK88" s="124">
        <f t="shared" si="18"/>
        <v>0</v>
      </c>
      <c r="AL88" s="124">
        <f t="shared" si="18"/>
        <v>0</v>
      </c>
      <c r="AM88" s="124">
        <f t="shared" si="18"/>
        <v>0</v>
      </c>
      <c r="AN88" s="124">
        <f t="shared" si="18"/>
        <v>0</v>
      </c>
      <c r="AO88" s="124">
        <f t="shared" si="18"/>
        <v>361762.50157246564</v>
      </c>
      <c r="AP88" s="124">
        <f t="shared" si="18"/>
        <v>0</v>
      </c>
      <c r="BH88" s="3"/>
    </row>
    <row r="89" spans="5:60" x14ac:dyDescent="0.25">
      <c r="E89" s="32"/>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BH89" s="3"/>
    </row>
    <row r="90" spans="5:60" x14ac:dyDescent="0.25">
      <c r="E90" s="32" t="s">
        <v>515</v>
      </c>
      <c r="I90" t="s">
        <v>190</v>
      </c>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F92" s="28" t="s">
        <v>514</v>
      </c>
      <c r="G92" s="28" t="s">
        <v>243</v>
      </c>
      <c r="J92" s="101">
        <f t="shared" ref="J92:AP92" si="19">J88 + J77 + J66</f>
        <v>2359360.6618815465</v>
      </c>
      <c r="K92" s="101">
        <f t="shared" si="19"/>
        <v>445623.8949172789</v>
      </c>
      <c r="L92" s="101">
        <f t="shared" si="19"/>
        <v>423055.87757845432</v>
      </c>
      <c r="M92" s="101">
        <f t="shared" si="19"/>
        <v>837309.17840270267</v>
      </c>
      <c r="N92" s="101">
        <f t="shared" si="19"/>
        <v>234469.26872934497</v>
      </c>
      <c r="O92" s="101">
        <f t="shared" si="19"/>
        <v>28141.504302703608</v>
      </c>
      <c r="P92" s="101">
        <f t="shared" si="19"/>
        <v>39955.591352060583</v>
      </c>
      <c r="Q92" s="101">
        <f t="shared" si="19"/>
        <v>0</v>
      </c>
      <c r="R92" s="101">
        <f t="shared" si="19"/>
        <v>818.16792580356218</v>
      </c>
      <c r="S92" s="101">
        <f t="shared" si="19"/>
        <v>356.06838873336295</v>
      </c>
      <c r="T92" s="101">
        <f t="shared" si="19"/>
        <v>74106.713753271164</v>
      </c>
      <c r="U92" s="101">
        <f t="shared" si="19"/>
        <v>1600194.5651365716</v>
      </c>
      <c r="V92" s="101">
        <f t="shared" si="19"/>
        <v>124193.96067864615</v>
      </c>
      <c r="W92" s="101">
        <f t="shared" si="19"/>
        <v>918353.08819176257</v>
      </c>
      <c r="X92" s="124">
        <f t="shared" si="19"/>
        <v>14143.024463568723</v>
      </c>
      <c r="Y92" s="124">
        <f t="shared" si="19"/>
        <v>17280.638083641774</v>
      </c>
      <c r="Z92" s="124">
        <f t="shared" si="19"/>
        <v>3520.726250029109</v>
      </c>
      <c r="AA92" s="124">
        <f t="shared" si="19"/>
        <v>44.247535426088803</v>
      </c>
      <c r="AB92" s="124">
        <f t="shared" si="19"/>
        <v>82860.929985677678</v>
      </c>
      <c r="AC92" s="101">
        <f t="shared" si="19"/>
        <v>6412.5597704205047</v>
      </c>
      <c r="AD92" s="101">
        <f t="shared" si="19"/>
        <v>0</v>
      </c>
      <c r="AE92" s="101">
        <f t="shared" si="19"/>
        <v>359281.93051380559</v>
      </c>
      <c r="AF92" s="101">
        <f t="shared" si="19"/>
        <v>0</v>
      </c>
      <c r="AG92" s="101">
        <f t="shared" si="19"/>
        <v>53320.666125091753</v>
      </c>
      <c r="AH92" s="101">
        <f t="shared" si="19"/>
        <v>0</v>
      </c>
      <c r="AI92" s="101">
        <f t="shared" si="19"/>
        <v>3513.2890000000002</v>
      </c>
      <c r="AJ92" s="101">
        <f t="shared" si="19"/>
        <v>0</v>
      </c>
      <c r="AK92" s="101">
        <f t="shared" si="19"/>
        <v>0</v>
      </c>
      <c r="AL92" s="101">
        <f t="shared" si="19"/>
        <v>0</v>
      </c>
      <c r="AM92" s="101">
        <f t="shared" si="19"/>
        <v>652626.70721495803</v>
      </c>
      <c r="AN92" s="101">
        <f t="shared" si="19"/>
        <v>0</v>
      </c>
      <c r="AO92" s="101">
        <f t="shared" si="19"/>
        <v>839751.05090054707</v>
      </c>
      <c r="AP92" s="101">
        <f t="shared" si="19"/>
        <v>0</v>
      </c>
      <c r="BH92" s="3"/>
    </row>
    <row r="93" spans="5:60" x14ac:dyDescent="0.25">
      <c r="E93" s="32"/>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c r="BH93" s="3"/>
    </row>
    <row r="94" spans="5:60" x14ac:dyDescent="0.25">
      <c r="E94" s="32" t="s">
        <v>248</v>
      </c>
      <c r="I94" t="s">
        <v>190</v>
      </c>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c r="AR94" t="s">
        <v>368</v>
      </c>
      <c r="BH94" s="3"/>
    </row>
    <row r="95" spans="5:60" x14ac:dyDescent="0.25">
      <c r="E95" s="32"/>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c r="BH95" s="3"/>
    </row>
    <row r="96" spans="5:60" x14ac:dyDescent="0.25">
      <c r="F96" s="28" t="s">
        <v>507</v>
      </c>
      <c r="G96" s="28" t="s">
        <v>248</v>
      </c>
      <c r="J96" s="123">
        <f>'Inputs by customer type'!J24</f>
        <v>644589.33333333326</v>
      </c>
      <c r="K96" s="123">
        <f>'Inputs by customer type'!K24</f>
        <v>62320.756400064245</v>
      </c>
      <c r="L96" s="123">
        <f>'Inputs by customer type'!L24</f>
        <v>74712.24696844838</v>
      </c>
      <c r="M96" s="123">
        <f>'Inputs by customer type'!M24</f>
        <v>61993.405337657059</v>
      </c>
      <c r="N96" s="123">
        <f>'Inputs by customer type'!N24</f>
        <v>10120.901457473723</v>
      </c>
      <c r="O96" s="123">
        <f>'Inputs by customer type'!O24</f>
        <v>2439.6302539687426</v>
      </c>
      <c r="P96" s="123">
        <f>'Inputs by customer type'!P24</f>
        <v>408.11128582133045</v>
      </c>
      <c r="Q96" s="123">
        <f>'Inputs by customer type'!Q24</f>
        <v>0</v>
      </c>
      <c r="R96" s="123">
        <f>'Inputs by customer type'!R24</f>
        <v>1</v>
      </c>
      <c r="S96" s="123">
        <f>'Inputs by customer type'!S24</f>
        <v>72.364170019668492</v>
      </c>
      <c r="T96" s="123">
        <f>'Inputs by customer type'!T24</f>
        <v>972.04369291698447</v>
      </c>
      <c r="U96" s="123">
        <f>'Inputs by customer type'!U24</f>
        <v>6687.6539205867348</v>
      </c>
      <c r="V96" s="123">
        <f>'Inputs by customer type'!V24</f>
        <v>89.749543719368091</v>
      </c>
      <c r="W96" s="123">
        <f>'Inputs by customer type'!W24</f>
        <v>723.15193655095402</v>
      </c>
      <c r="X96" s="123">
        <f>'Inputs by customer type'!X24</f>
        <v>261</v>
      </c>
      <c r="Y96" s="123">
        <f>'Inputs by customer type'!Y24</f>
        <v>2329.333333333333</v>
      </c>
      <c r="Z96" s="123">
        <f>'Inputs by customer type'!Z24</f>
        <v>1406</v>
      </c>
      <c r="AA96" s="123">
        <f>'Inputs by customer type'!AA24</f>
        <v>6</v>
      </c>
      <c r="AB96" s="123">
        <f>'Inputs by customer type'!AB24</f>
        <v>14</v>
      </c>
      <c r="AC96" s="123">
        <f>'Inputs by customer type'!AC24</f>
        <v>404.27777777777777</v>
      </c>
      <c r="AD96" s="123">
        <f>'Inputs by customer type'!AD24</f>
        <v>0</v>
      </c>
      <c r="AE96" s="123">
        <f>'Inputs by customer type'!AE24</f>
        <v>779.57731074699097</v>
      </c>
      <c r="AF96" s="123">
        <f>'Inputs by customer type'!AF24</f>
        <v>0</v>
      </c>
      <c r="AG96" s="123">
        <f>'Inputs by customer type'!AG24</f>
        <v>44.041666727513075</v>
      </c>
      <c r="AH96" s="123">
        <f>'Inputs by customer type'!AH24</f>
        <v>0</v>
      </c>
      <c r="AI96" s="123">
        <f>'Inputs by customer type'!AI24</f>
        <v>2</v>
      </c>
      <c r="AJ96" s="123">
        <f>'Inputs by customer type'!AJ24</f>
        <v>0</v>
      </c>
      <c r="AK96" s="123">
        <f>'Inputs by customer type'!AK24</f>
        <v>0</v>
      </c>
      <c r="AL96" s="123">
        <f>'Inputs by customer type'!AL24</f>
        <v>0</v>
      </c>
      <c r="AM96" s="123">
        <f>'Inputs by customer type'!AM24</f>
        <v>293</v>
      </c>
      <c r="AN96" s="123">
        <f>'Inputs by customer type'!AN24</f>
        <v>0</v>
      </c>
      <c r="AO96" s="123">
        <f>'Inputs by customer type'!AO24</f>
        <v>100</v>
      </c>
      <c r="AP96" s="123">
        <f>'Inputs by customer type'!AP24</f>
        <v>0</v>
      </c>
      <c r="BH96" s="3"/>
    </row>
    <row r="97" spans="5:60" x14ac:dyDescent="0.25">
      <c r="F97" s="28" t="s">
        <v>508</v>
      </c>
      <c r="G97" s="28" t="s">
        <v>248</v>
      </c>
      <c r="J97" s="123">
        <f>'Inputs by customer type'!J33</f>
        <v>2391.1231469765908</v>
      </c>
      <c r="K97" s="123">
        <f>'Inputs by customer type'!K33</f>
        <v>7</v>
      </c>
      <c r="L97" s="123">
        <f>'Inputs by customer type'!L33</f>
        <v>0</v>
      </c>
      <c r="M97" s="123">
        <f>'Inputs by customer type'!M33</f>
        <v>17</v>
      </c>
      <c r="N97" s="123">
        <f>'Inputs by customer type'!N33</f>
        <v>0</v>
      </c>
      <c r="O97" s="123">
        <f>'Inputs by customer type'!O33</f>
        <v>0</v>
      </c>
      <c r="P97" s="123">
        <f>'Inputs by customer type'!P33</f>
        <v>0</v>
      </c>
      <c r="Q97" s="123">
        <f>'Inputs by customer type'!Q33</f>
        <v>0</v>
      </c>
      <c r="R97" s="123">
        <f>'Inputs by customer type'!R33</f>
        <v>0</v>
      </c>
      <c r="S97" s="123">
        <f>'Inputs by customer type'!S33</f>
        <v>0</v>
      </c>
      <c r="T97" s="123">
        <f>'Inputs by customer type'!T33</f>
        <v>0</v>
      </c>
      <c r="U97" s="123">
        <f>'Inputs by customer type'!U33</f>
        <v>4.3333333333333339</v>
      </c>
      <c r="V97" s="123">
        <f>'Inputs by customer type'!V33</f>
        <v>0</v>
      </c>
      <c r="W97" s="123">
        <f>'Inputs by customer type'!W33</f>
        <v>0</v>
      </c>
      <c r="X97" s="123">
        <f>'Inputs by customer type'!X33</f>
        <v>0</v>
      </c>
      <c r="Y97" s="123">
        <f>'Inputs by customer type'!Y33</f>
        <v>0</v>
      </c>
      <c r="Z97" s="123">
        <f>'Inputs by customer type'!Z33</f>
        <v>0</v>
      </c>
      <c r="AA97" s="123">
        <f>'Inputs by customer type'!AA33</f>
        <v>0</v>
      </c>
      <c r="AB97" s="123">
        <f>'Inputs by customer type'!AB33</f>
        <v>0</v>
      </c>
      <c r="AC97" s="123">
        <f>'Inputs by customer type'!AC33</f>
        <v>0</v>
      </c>
      <c r="AD97" s="123">
        <f>'Inputs by customer type'!AD33</f>
        <v>0</v>
      </c>
      <c r="AE97" s="123">
        <f>'Inputs by customer type'!AE33</f>
        <v>0</v>
      </c>
      <c r="AF97" s="123">
        <f>'Inputs by customer type'!AF33</f>
        <v>0</v>
      </c>
      <c r="AG97" s="123">
        <f>'Inputs by customer type'!AG33</f>
        <v>0</v>
      </c>
      <c r="AH97" s="123">
        <f>'Inputs by customer type'!AH33</f>
        <v>0</v>
      </c>
      <c r="AI97" s="123">
        <f>'Inputs by customer type'!AI33</f>
        <v>0</v>
      </c>
      <c r="AJ97" s="123">
        <f>'Inputs by customer type'!AJ33</f>
        <v>0</v>
      </c>
      <c r="AK97" s="123">
        <f>'Inputs by customer type'!AK33</f>
        <v>0</v>
      </c>
      <c r="AL97" s="123">
        <f>'Inputs by customer type'!AL33</f>
        <v>0</v>
      </c>
      <c r="AM97" s="123">
        <f>'Inputs by customer type'!AM33</f>
        <v>0</v>
      </c>
      <c r="AN97" s="123">
        <f>'Inputs by customer type'!AN33</f>
        <v>0</v>
      </c>
      <c r="AO97" s="123">
        <f>'Inputs by customer type'!AO33</f>
        <v>0</v>
      </c>
      <c r="AP97" s="123">
        <f>'Inputs by customer type'!AP33</f>
        <v>0</v>
      </c>
      <c r="BH97" s="3"/>
    </row>
    <row r="98" spans="5:60" x14ac:dyDescent="0.25">
      <c r="F98" s="28" t="s">
        <v>509</v>
      </c>
      <c r="G98" s="28" t="s">
        <v>248</v>
      </c>
      <c r="J98" s="123">
        <f>'Inputs by customer type'!J42</f>
        <v>4183.7256135925154</v>
      </c>
      <c r="K98" s="123">
        <f>'Inputs by customer type'!K42</f>
        <v>54</v>
      </c>
      <c r="L98" s="123">
        <f>'Inputs by customer type'!L42</f>
        <v>0</v>
      </c>
      <c r="M98" s="123">
        <f>'Inputs by customer type'!M42</f>
        <v>48.315233102239723</v>
      </c>
      <c r="N98" s="123">
        <f>'Inputs by customer type'!N42</f>
        <v>0</v>
      </c>
      <c r="O98" s="123">
        <f>'Inputs by customer type'!O42</f>
        <v>0</v>
      </c>
      <c r="P98" s="123">
        <f>'Inputs by customer type'!P42</f>
        <v>0</v>
      </c>
      <c r="Q98" s="123">
        <f>'Inputs by customer type'!Q42</f>
        <v>0</v>
      </c>
      <c r="R98" s="123">
        <f>'Inputs by customer type'!R42</f>
        <v>0</v>
      </c>
      <c r="S98" s="123">
        <f>'Inputs by customer type'!S42</f>
        <v>0</v>
      </c>
      <c r="T98" s="123">
        <f>'Inputs by customer type'!T42</f>
        <v>0</v>
      </c>
      <c r="U98" s="123">
        <f>'Inputs by customer type'!U42</f>
        <v>6.0370370370370372</v>
      </c>
      <c r="V98" s="123">
        <f>'Inputs by customer type'!V42</f>
        <v>1</v>
      </c>
      <c r="W98" s="123">
        <f>'Inputs by customer type'!W42</f>
        <v>0</v>
      </c>
      <c r="X98" s="123">
        <f>'Inputs by customer type'!X42</f>
        <v>0</v>
      </c>
      <c r="Y98" s="123">
        <f>'Inputs by customer type'!Y42</f>
        <v>2</v>
      </c>
      <c r="Z98" s="123">
        <f>'Inputs by customer type'!Z42</f>
        <v>0</v>
      </c>
      <c r="AA98" s="123">
        <f>'Inputs by customer type'!AA42</f>
        <v>0</v>
      </c>
      <c r="AB98" s="123">
        <f>'Inputs by customer type'!AB42</f>
        <v>0</v>
      </c>
      <c r="AC98" s="123">
        <f>'Inputs by customer type'!AC42</f>
        <v>0</v>
      </c>
      <c r="AD98" s="123">
        <f>'Inputs by customer type'!AD42</f>
        <v>0</v>
      </c>
      <c r="AE98" s="123">
        <f>'Inputs by customer type'!AE42</f>
        <v>0</v>
      </c>
      <c r="AF98" s="123">
        <f>'Inputs by customer type'!AF42</f>
        <v>0</v>
      </c>
      <c r="AG98" s="123">
        <f>'Inputs by customer type'!AG42</f>
        <v>0</v>
      </c>
      <c r="AH98" s="123">
        <f>'Inputs by customer type'!AH42</f>
        <v>0</v>
      </c>
      <c r="AI98" s="123">
        <f>'Inputs by customer type'!AI42</f>
        <v>0</v>
      </c>
      <c r="AJ98" s="123">
        <f>'Inputs by customer type'!AJ42</f>
        <v>0</v>
      </c>
      <c r="AK98" s="123">
        <f>'Inputs by customer type'!AK42</f>
        <v>0</v>
      </c>
      <c r="AL98" s="123">
        <f>'Inputs by customer type'!AL42</f>
        <v>0</v>
      </c>
      <c r="AM98" s="123">
        <f>'Inputs by customer type'!AM42</f>
        <v>0</v>
      </c>
      <c r="AN98" s="123">
        <f>'Inputs by customer type'!AN42</f>
        <v>0</v>
      </c>
      <c r="AO98" s="123">
        <f>'Inputs by customer type'!AO42</f>
        <v>0</v>
      </c>
      <c r="AP98" s="123">
        <f>'Inputs by customer type'!AP42</f>
        <v>0</v>
      </c>
      <c r="BH98" s="3"/>
    </row>
    <row r="99" spans="5:60" x14ac:dyDescent="0.25">
      <c r="F99" s="28" t="s">
        <v>510</v>
      </c>
      <c r="G99" s="28" t="s">
        <v>203</v>
      </c>
      <c r="J99" s="114">
        <f t="shared" ref="J99:AP99" si="20">IF(J$40, J$46, J$34)</f>
        <v>0.29399702125357685</v>
      </c>
      <c r="K99" s="114">
        <f t="shared" si="20"/>
        <v>0.29399702125357685</v>
      </c>
      <c r="L99" s="114">
        <f t="shared" si="20"/>
        <v>0.29399702125357685</v>
      </c>
      <c r="M99" s="114">
        <f t="shared" si="20"/>
        <v>0.29399702125357685</v>
      </c>
      <c r="N99" s="114">
        <f t="shared" si="20"/>
        <v>0.29399702125357685</v>
      </c>
      <c r="O99" s="114">
        <f t="shared" si="20"/>
        <v>0.29399702125357685</v>
      </c>
      <c r="P99" s="114">
        <f t="shared" si="20"/>
        <v>0.29399702125357685</v>
      </c>
      <c r="Q99" s="114">
        <f t="shared" si="20"/>
        <v>0</v>
      </c>
      <c r="R99" s="114">
        <f t="shared" si="20"/>
        <v>0</v>
      </c>
      <c r="S99" s="114">
        <f t="shared" si="20"/>
        <v>0.29399702125357685</v>
      </c>
      <c r="T99" s="114">
        <f t="shared" si="20"/>
        <v>0.29399702125357685</v>
      </c>
      <c r="U99" s="114">
        <f t="shared" si="20"/>
        <v>0.29399702125357685</v>
      </c>
      <c r="V99" s="114">
        <f t="shared" si="20"/>
        <v>0</v>
      </c>
      <c r="W99" s="114">
        <f t="shared" si="20"/>
        <v>0</v>
      </c>
      <c r="X99" s="114">
        <f t="shared" si="20"/>
        <v>0.29399702125357685</v>
      </c>
      <c r="Y99" s="114">
        <f t="shared" si="20"/>
        <v>0.29399702125357685</v>
      </c>
      <c r="Z99" s="114">
        <f t="shared" si="20"/>
        <v>0.29399702125357685</v>
      </c>
      <c r="AA99" s="114">
        <f t="shared" si="20"/>
        <v>0.29399702125357685</v>
      </c>
      <c r="AB99" s="114">
        <f t="shared" si="20"/>
        <v>0.29399702125357685</v>
      </c>
      <c r="AC99" s="114">
        <f t="shared" si="20"/>
        <v>1</v>
      </c>
      <c r="AD99" s="114">
        <f t="shared" si="20"/>
        <v>1</v>
      </c>
      <c r="AE99" s="114">
        <f t="shared" si="20"/>
        <v>1</v>
      </c>
      <c r="AF99" s="114">
        <f t="shared" si="20"/>
        <v>1</v>
      </c>
      <c r="AG99" s="114">
        <f t="shared" si="20"/>
        <v>1</v>
      </c>
      <c r="AH99" s="114">
        <f t="shared" si="20"/>
        <v>1</v>
      </c>
      <c r="AI99" s="114">
        <f t="shared" si="20"/>
        <v>1</v>
      </c>
      <c r="AJ99" s="114">
        <f t="shared" si="20"/>
        <v>1</v>
      </c>
      <c r="AK99" s="114">
        <f t="shared" si="20"/>
        <v>1</v>
      </c>
      <c r="AL99" s="114">
        <f t="shared" si="20"/>
        <v>1</v>
      </c>
      <c r="AM99" s="114">
        <f t="shared" si="20"/>
        <v>1</v>
      </c>
      <c r="AN99" s="114">
        <f t="shared" si="20"/>
        <v>1</v>
      </c>
      <c r="AO99" s="114">
        <f t="shared" si="20"/>
        <v>1</v>
      </c>
      <c r="AP99" s="114">
        <f t="shared" si="20"/>
        <v>1</v>
      </c>
      <c r="BH99" s="3"/>
    </row>
    <row r="100" spans="5:60" x14ac:dyDescent="0.25">
      <c r="F100" s="28" t="s">
        <v>511</v>
      </c>
      <c r="G100" s="28" t="s">
        <v>203</v>
      </c>
      <c r="J100" s="114">
        <f t="shared" ref="J100:AP100" si="21">IF(J$40, J$46, J$35)</f>
        <v>0.58159328142725919</v>
      </c>
      <c r="K100" s="114">
        <f t="shared" si="21"/>
        <v>0.58159328142725919</v>
      </c>
      <c r="L100" s="114">
        <f t="shared" si="21"/>
        <v>0.58159328142725919</v>
      </c>
      <c r="M100" s="114">
        <f t="shared" si="21"/>
        <v>0.58159328142725919</v>
      </c>
      <c r="N100" s="114">
        <f t="shared" si="21"/>
        <v>0.58159328142725919</v>
      </c>
      <c r="O100" s="114">
        <f t="shared" si="21"/>
        <v>0.58159328142725919</v>
      </c>
      <c r="P100" s="114">
        <f t="shared" si="21"/>
        <v>0.58159328142725919</v>
      </c>
      <c r="Q100" s="114">
        <f t="shared" si="21"/>
        <v>0</v>
      </c>
      <c r="R100" s="114">
        <f t="shared" si="21"/>
        <v>0</v>
      </c>
      <c r="S100" s="114">
        <f t="shared" si="21"/>
        <v>0.58159328142725919</v>
      </c>
      <c r="T100" s="114">
        <f t="shared" si="21"/>
        <v>0.58159328142725919</v>
      </c>
      <c r="U100" s="114">
        <f t="shared" si="21"/>
        <v>0.58159328142725919</v>
      </c>
      <c r="V100" s="114">
        <f t="shared" si="21"/>
        <v>0.39416189548233249</v>
      </c>
      <c r="W100" s="114">
        <f t="shared" si="21"/>
        <v>0.33724217358094977</v>
      </c>
      <c r="X100" s="114">
        <f t="shared" si="21"/>
        <v>0.58159328142725919</v>
      </c>
      <c r="Y100" s="114">
        <f t="shared" si="21"/>
        <v>0.58159328142725919</v>
      </c>
      <c r="Z100" s="114">
        <f t="shared" si="21"/>
        <v>0.58159328142725919</v>
      </c>
      <c r="AA100" s="114">
        <f t="shared" si="21"/>
        <v>0.58159328142725919</v>
      </c>
      <c r="AB100" s="114">
        <f t="shared" si="21"/>
        <v>0.58159328142725919</v>
      </c>
      <c r="AC100" s="114">
        <f t="shared" si="21"/>
        <v>1</v>
      </c>
      <c r="AD100" s="114">
        <f t="shared" si="21"/>
        <v>1</v>
      </c>
      <c r="AE100" s="114">
        <f t="shared" si="21"/>
        <v>1</v>
      </c>
      <c r="AF100" s="114">
        <f t="shared" si="21"/>
        <v>1</v>
      </c>
      <c r="AG100" s="114">
        <f t="shared" si="21"/>
        <v>1</v>
      </c>
      <c r="AH100" s="114">
        <f t="shared" si="21"/>
        <v>1</v>
      </c>
      <c r="AI100" s="114">
        <f t="shared" si="21"/>
        <v>1</v>
      </c>
      <c r="AJ100" s="114">
        <f t="shared" si="21"/>
        <v>1</v>
      </c>
      <c r="AK100" s="114">
        <f t="shared" si="21"/>
        <v>1</v>
      </c>
      <c r="AL100" s="114">
        <f t="shared" si="21"/>
        <v>1</v>
      </c>
      <c r="AM100" s="114">
        <f t="shared" si="21"/>
        <v>1</v>
      </c>
      <c r="AN100" s="114">
        <f t="shared" si="21"/>
        <v>1</v>
      </c>
      <c r="AO100" s="114">
        <f t="shared" si="21"/>
        <v>1</v>
      </c>
      <c r="AP100" s="114">
        <f t="shared" si="21"/>
        <v>1</v>
      </c>
      <c r="BH100" s="3"/>
    </row>
    <row r="101" spans="5:60" x14ac:dyDescent="0.25">
      <c r="F101" s="28" t="s">
        <v>512</v>
      </c>
      <c r="G101" s="28" t="s">
        <v>248</v>
      </c>
      <c r="J101" s="101">
        <f t="shared" ref="J101:AP101" si="22">J97 * (1 - J99)</f>
        <v>1688.1400643149943</v>
      </c>
      <c r="K101" s="101">
        <f t="shared" si="22"/>
        <v>4.9420208512249619</v>
      </c>
      <c r="L101" s="101">
        <f t="shared" si="22"/>
        <v>0</v>
      </c>
      <c r="M101" s="101">
        <f t="shared" si="22"/>
        <v>12.002050638689193</v>
      </c>
      <c r="N101" s="101">
        <f t="shared" si="22"/>
        <v>0</v>
      </c>
      <c r="O101" s="101">
        <f t="shared" si="22"/>
        <v>0</v>
      </c>
      <c r="P101" s="101">
        <f t="shared" si="22"/>
        <v>0</v>
      </c>
      <c r="Q101" s="101">
        <f t="shared" si="22"/>
        <v>0</v>
      </c>
      <c r="R101" s="101">
        <f t="shared" si="22"/>
        <v>0</v>
      </c>
      <c r="S101" s="101">
        <f t="shared" si="22"/>
        <v>0</v>
      </c>
      <c r="T101" s="101">
        <f t="shared" si="22"/>
        <v>0</v>
      </c>
      <c r="U101" s="101">
        <f t="shared" si="22"/>
        <v>3.0593462412345009</v>
      </c>
      <c r="V101" s="101">
        <f t="shared" si="22"/>
        <v>0</v>
      </c>
      <c r="W101" s="101">
        <f t="shared" si="22"/>
        <v>0</v>
      </c>
      <c r="X101" s="101">
        <f t="shared" si="22"/>
        <v>0</v>
      </c>
      <c r="Y101" s="101">
        <f t="shared" si="22"/>
        <v>0</v>
      </c>
      <c r="Z101" s="101">
        <f t="shared" si="22"/>
        <v>0</v>
      </c>
      <c r="AA101" s="101">
        <f t="shared" si="22"/>
        <v>0</v>
      </c>
      <c r="AB101" s="101">
        <f t="shared" si="22"/>
        <v>0</v>
      </c>
      <c r="AC101" s="101">
        <f t="shared" si="22"/>
        <v>0</v>
      </c>
      <c r="AD101" s="101">
        <f t="shared" si="22"/>
        <v>0</v>
      </c>
      <c r="AE101" s="101">
        <f t="shared" si="22"/>
        <v>0</v>
      </c>
      <c r="AF101" s="101">
        <f t="shared" si="22"/>
        <v>0</v>
      </c>
      <c r="AG101" s="101">
        <f t="shared" si="22"/>
        <v>0</v>
      </c>
      <c r="AH101" s="101">
        <f t="shared" si="22"/>
        <v>0</v>
      </c>
      <c r="AI101" s="101">
        <f t="shared" si="22"/>
        <v>0</v>
      </c>
      <c r="AJ101" s="101">
        <f t="shared" si="22"/>
        <v>0</v>
      </c>
      <c r="AK101" s="101">
        <f t="shared" si="22"/>
        <v>0</v>
      </c>
      <c r="AL101" s="101">
        <f t="shared" si="22"/>
        <v>0</v>
      </c>
      <c r="AM101" s="101">
        <f t="shared" si="22"/>
        <v>0</v>
      </c>
      <c r="AN101" s="101">
        <f t="shared" si="22"/>
        <v>0</v>
      </c>
      <c r="AO101" s="101">
        <f t="shared" si="22"/>
        <v>0</v>
      </c>
      <c r="AP101" s="101">
        <f t="shared" si="22"/>
        <v>0</v>
      </c>
      <c r="BH101" s="3"/>
    </row>
    <row r="102" spans="5:60" x14ac:dyDescent="0.25">
      <c r="F102" s="67" t="s">
        <v>513</v>
      </c>
      <c r="G102" s="67" t="s">
        <v>248</v>
      </c>
      <c r="H102" s="37"/>
      <c r="I102" s="37"/>
      <c r="J102" s="103">
        <f t="shared" ref="J102:AP102" si="23">J98 * (1 - J100)</f>
        <v>1750.498905391971</v>
      </c>
      <c r="K102" s="103">
        <f t="shared" si="23"/>
        <v>22.593962802928004</v>
      </c>
      <c r="L102" s="103">
        <f t="shared" si="23"/>
        <v>0</v>
      </c>
      <c r="M102" s="103">
        <f t="shared" si="23"/>
        <v>20.215418139385186</v>
      </c>
      <c r="N102" s="103">
        <f t="shared" si="23"/>
        <v>0</v>
      </c>
      <c r="O102" s="103">
        <f t="shared" si="23"/>
        <v>0</v>
      </c>
      <c r="P102" s="103">
        <f t="shared" si="23"/>
        <v>0</v>
      </c>
      <c r="Q102" s="103">
        <f t="shared" si="23"/>
        <v>0</v>
      </c>
      <c r="R102" s="103">
        <f t="shared" si="23"/>
        <v>0</v>
      </c>
      <c r="S102" s="103">
        <f t="shared" si="23"/>
        <v>0</v>
      </c>
      <c r="T102" s="103">
        <f t="shared" si="23"/>
        <v>0</v>
      </c>
      <c r="U102" s="103">
        <f t="shared" si="23"/>
        <v>2.5259368565687685</v>
      </c>
      <c r="V102" s="103">
        <f t="shared" si="23"/>
        <v>0.60583810451766751</v>
      </c>
      <c r="W102" s="103">
        <f t="shared" si="23"/>
        <v>0</v>
      </c>
      <c r="X102" s="103">
        <f t="shared" si="23"/>
        <v>0</v>
      </c>
      <c r="Y102" s="103">
        <f t="shared" si="23"/>
        <v>0.83681343714548162</v>
      </c>
      <c r="Z102" s="103">
        <f t="shared" si="23"/>
        <v>0</v>
      </c>
      <c r="AA102" s="103">
        <f t="shared" si="23"/>
        <v>0</v>
      </c>
      <c r="AB102" s="103">
        <f t="shared" si="23"/>
        <v>0</v>
      </c>
      <c r="AC102" s="103">
        <f t="shared" si="23"/>
        <v>0</v>
      </c>
      <c r="AD102" s="103">
        <f t="shared" si="23"/>
        <v>0</v>
      </c>
      <c r="AE102" s="103">
        <f t="shared" si="23"/>
        <v>0</v>
      </c>
      <c r="AF102" s="103">
        <f t="shared" si="23"/>
        <v>0</v>
      </c>
      <c r="AG102" s="103">
        <f t="shared" si="23"/>
        <v>0</v>
      </c>
      <c r="AH102" s="103">
        <f t="shared" si="23"/>
        <v>0</v>
      </c>
      <c r="AI102" s="103">
        <f t="shared" si="23"/>
        <v>0</v>
      </c>
      <c r="AJ102" s="103">
        <f t="shared" si="23"/>
        <v>0</v>
      </c>
      <c r="AK102" s="103">
        <f t="shared" si="23"/>
        <v>0</v>
      </c>
      <c r="AL102" s="103">
        <f t="shared" si="23"/>
        <v>0</v>
      </c>
      <c r="AM102" s="103">
        <f t="shared" si="23"/>
        <v>0</v>
      </c>
      <c r="AN102" s="103">
        <f t="shared" si="23"/>
        <v>0</v>
      </c>
      <c r="AO102" s="103">
        <f t="shared" si="23"/>
        <v>0</v>
      </c>
      <c r="AP102" s="103">
        <f t="shared" si="23"/>
        <v>0</v>
      </c>
      <c r="BH102" s="3"/>
    </row>
    <row r="103" spans="5:60" x14ac:dyDescent="0.25">
      <c r="F103" s="28" t="s">
        <v>514</v>
      </c>
      <c r="G103" s="28" t="s">
        <v>248</v>
      </c>
      <c r="J103" s="124">
        <f t="shared" ref="J103:AP103" si="24">J96 + J101 + J102</f>
        <v>648027.97230304021</v>
      </c>
      <c r="K103" s="124">
        <f t="shared" si="24"/>
        <v>62348.292383718399</v>
      </c>
      <c r="L103" s="124">
        <f t="shared" si="24"/>
        <v>74712.24696844838</v>
      </c>
      <c r="M103" s="124">
        <f t="shared" si="24"/>
        <v>62025.622806435131</v>
      </c>
      <c r="N103" s="124">
        <f t="shared" si="24"/>
        <v>10120.901457473723</v>
      </c>
      <c r="O103" s="124">
        <f t="shared" si="24"/>
        <v>2439.6302539687426</v>
      </c>
      <c r="P103" s="124">
        <f t="shared" si="24"/>
        <v>408.11128582133045</v>
      </c>
      <c r="Q103" s="124">
        <f t="shared" si="24"/>
        <v>0</v>
      </c>
      <c r="R103" s="124">
        <f t="shared" si="24"/>
        <v>1</v>
      </c>
      <c r="S103" s="124">
        <f t="shared" si="24"/>
        <v>72.364170019668492</v>
      </c>
      <c r="T103" s="124">
        <f t="shared" si="24"/>
        <v>972.04369291698447</v>
      </c>
      <c r="U103" s="124">
        <f t="shared" si="24"/>
        <v>6693.2392036845376</v>
      </c>
      <c r="V103" s="124">
        <f t="shared" si="24"/>
        <v>90.355381823885764</v>
      </c>
      <c r="W103" s="124">
        <f t="shared" si="24"/>
        <v>723.15193655095402</v>
      </c>
      <c r="X103" s="124">
        <f t="shared" si="24"/>
        <v>261</v>
      </c>
      <c r="Y103" s="124">
        <f t="shared" si="24"/>
        <v>2330.1701467704784</v>
      </c>
      <c r="Z103" s="124">
        <f t="shared" si="24"/>
        <v>1406</v>
      </c>
      <c r="AA103" s="124">
        <f t="shared" si="24"/>
        <v>6</v>
      </c>
      <c r="AB103" s="124">
        <f t="shared" si="24"/>
        <v>14</v>
      </c>
      <c r="AC103" s="124">
        <f t="shared" si="24"/>
        <v>404.27777777777777</v>
      </c>
      <c r="AD103" s="124">
        <f t="shared" si="24"/>
        <v>0</v>
      </c>
      <c r="AE103" s="124">
        <f t="shared" si="24"/>
        <v>779.57731074699097</v>
      </c>
      <c r="AF103" s="124">
        <f t="shared" si="24"/>
        <v>0</v>
      </c>
      <c r="AG103" s="124">
        <f t="shared" si="24"/>
        <v>44.041666727513075</v>
      </c>
      <c r="AH103" s="124">
        <f t="shared" si="24"/>
        <v>0</v>
      </c>
      <c r="AI103" s="124">
        <f t="shared" si="24"/>
        <v>2</v>
      </c>
      <c r="AJ103" s="124">
        <f t="shared" si="24"/>
        <v>0</v>
      </c>
      <c r="AK103" s="124">
        <f t="shared" si="24"/>
        <v>0</v>
      </c>
      <c r="AL103" s="124">
        <f t="shared" si="24"/>
        <v>0</v>
      </c>
      <c r="AM103" s="124">
        <f t="shared" si="24"/>
        <v>293</v>
      </c>
      <c r="AN103" s="124">
        <f t="shared" si="24"/>
        <v>0</v>
      </c>
      <c r="AO103" s="124">
        <f t="shared" si="24"/>
        <v>100</v>
      </c>
      <c r="AP103" s="124">
        <f t="shared" si="24"/>
        <v>0</v>
      </c>
      <c r="BH103" s="3"/>
    </row>
    <row r="104" spans="5:60" x14ac:dyDescent="0.25">
      <c r="E104" s="32"/>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t="s">
        <v>300</v>
      </c>
      <c r="I105" t="s">
        <v>190</v>
      </c>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c r="AR105" t="s">
        <v>368</v>
      </c>
      <c r="BH105" s="3"/>
    </row>
    <row r="106" spans="5:60" x14ac:dyDescent="0.25">
      <c r="E106" s="32"/>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BH106" s="3"/>
    </row>
    <row r="107" spans="5:60" x14ac:dyDescent="0.25">
      <c r="F107" s="28" t="s">
        <v>507</v>
      </c>
      <c r="G107" s="28" t="s">
        <v>301</v>
      </c>
      <c r="J107" s="123">
        <f>'Inputs by customer type'!J25</f>
        <v>0</v>
      </c>
      <c r="K107" s="123">
        <f>'Inputs by customer type'!K25</f>
        <v>0</v>
      </c>
      <c r="L107" s="123">
        <f>'Inputs by customer type'!L25</f>
        <v>0</v>
      </c>
      <c r="M107" s="123">
        <f>'Inputs by customer type'!M25</f>
        <v>0</v>
      </c>
      <c r="N107" s="123">
        <f>'Inputs by customer type'!N25</f>
        <v>0</v>
      </c>
      <c r="O107" s="123">
        <f>'Inputs by customer type'!O25</f>
        <v>0</v>
      </c>
      <c r="P107" s="123">
        <f>'Inputs by customer type'!P25</f>
        <v>0</v>
      </c>
      <c r="Q107" s="123">
        <f>'Inputs by customer type'!Q25</f>
        <v>0</v>
      </c>
      <c r="R107" s="123">
        <f>'Inputs by customer type'!R25</f>
        <v>0</v>
      </c>
      <c r="S107" s="123">
        <f>'Inputs by customer type'!S25</f>
        <v>0</v>
      </c>
      <c r="T107" s="123">
        <f>'Inputs by customer type'!T25</f>
        <v>0</v>
      </c>
      <c r="U107" s="123">
        <f>'Inputs by customer type'!U25</f>
        <v>864032.64025708009</v>
      </c>
      <c r="V107" s="123">
        <f>'Inputs by customer type'!V25</f>
        <v>31725.680154948222</v>
      </c>
      <c r="W107" s="123">
        <f>'Inputs by customer type'!W25</f>
        <v>417431.11194524198</v>
      </c>
      <c r="X107" s="123">
        <f>'Inputs by customer type'!X25</f>
        <v>0</v>
      </c>
      <c r="Y107" s="123">
        <f>'Inputs by customer type'!Y25</f>
        <v>0</v>
      </c>
      <c r="Z107" s="123">
        <f>'Inputs by customer type'!Z25</f>
        <v>0</v>
      </c>
      <c r="AA107" s="123">
        <f>'Inputs by customer type'!AA25</f>
        <v>0</v>
      </c>
      <c r="AB107" s="123">
        <f>'Inputs by customer type'!AB25</f>
        <v>0</v>
      </c>
      <c r="AC107" s="123">
        <f>'Inputs by customer type'!AC25</f>
        <v>0</v>
      </c>
      <c r="AD107" s="123">
        <f>'Inputs by customer type'!AD25</f>
        <v>0</v>
      </c>
      <c r="AE107" s="123">
        <f>'Inputs by customer type'!AE25</f>
        <v>0</v>
      </c>
      <c r="AF107" s="123">
        <f>'Inputs by customer type'!AF25</f>
        <v>0</v>
      </c>
      <c r="AG107" s="123">
        <f>'Inputs by customer type'!AG25</f>
        <v>0</v>
      </c>
      <c r="AH107" s="123">
        <f>'Inputs by customer type'!AH25</f>
        <v>0</v>
      </c>
      <c r="AI107" s="123">
        <f>'Inputs by customer type'!AI25</f>
        <v>0</v>
      </c>
      <c r="AJ107" s="123">
        <f>'Inputs by customer type'!AJ25</f>
        <v>0</v>
      </c>
      <c r="AK107" s="123">
        <f>'Inputs by customer type'!AK25</f>
        <v>0</v>
      </c>
      <c r="AL107" s="123">
        <f>'Inputs by customer type'!AL25</f>
        <v>0</v>
      </c>
      <c r="AM107" s="123">
        <f>'Inputs by customer type'!AM25</f>
        <v>0</v>
      </c>
      <c r="AN107" s="123">
        <f>'Inputs by customer type'!AN25</f>
        <v>0</v>
      </c>
      <c r="AO107" s="123">
        <f>'Inputs by customer type'!AO25</f>
        <v>0</v>
      </c>
      <c r="AP107" s="123">
        <f>'Inputs by customer type'!AP25</f>
        <v>0</v>
      </c>
      <c r="BH107" s="3"/>
    </row>
    <row r="108" spans="5:60" x14ac:dyDescent="0.25">
      <c r="F108" s="28" t="s">
        <v>508</v>
      </c>
      <c r="G108" s="28" t="s">
        <v>301</v>
      </c>
      <c r="J108" s="123">
        <f>'Inputs by customer type'!J34</f>
        <v>0</v>
      </c>
      <c r="K108" s="123">
        <f>'Inputs by customer type'!K34</f>
        <v>0</v>
      </c>
      <c r="L108" s="123">
        <f>'Inputs by customer type'!L34</f>
        <v>0</v>
      </c>
      <c r="M108" s="123">
        <f>'Inputs by customer type'!M34</f>
        <v>0</v>
      </c>
      <c r="N108" s="123">
        <f>'Inputs by customer type'!N34</f>
        <v>0</v>
      </c>
      <c r="O108" s="123">
        <f>'Inputs by customer type'!O34</f>
        <v>0</v>
      </c>
      <c r="P108" s="123">
        <f>'Inputs by customer type'!P34</f>
        <v>0</v>
      </c>
      <c r="Q108" s="123">
        <f>'Inputs by customer type'!Q34</f>
        <v>0</v>
      </c>
      <c r="R108" s="123">
        <f>'Inputs by customer type'!R34</f>
        <v>0</v>
      </c>
      <c r="S108" s="123">
        <f>'Inputs by customer type'!S34</f>
        <v>0</v>
      </c>
      <c r="T108" s="123">
        <f>'Inputs by customer type'!T34</f>
        <v>0</v>
      </c>
      <c r="U108" s="123">
        <f>'Inputs by customer type'!U34</f>
        <v>716.73333333333312</v>
      </c>
      <c r="V108" s="123">
        <f>'Inputs by customer type'!V34</f>
        <v>0</v>
      </c>
      <c r="W108" s="123">
        <f>'Inputs by customer type'!W34</f>
        <v>0</v>
      </c>
      <c r="X108" s="123">
        <f>'Inputs by customer type'!X34</f>
        <v>0</v>
      </c>
      <c r="Y108" s="123">
        <f>'Inputs by customer type'!Y34</f>
        <v>0</v>
      </c>
      <c r="Z108" s="123">
        <f>'Inputs by customer type'!Z34</f>
        <v>0</v>
      </c>
      <c r="AA108" s="123">
        <f>'Inputs by customer type'!AA34</f>
        <v>0</v>
      </c>
      <c r="AB108" s="123">
        <f>'Inputs by customer type'!AB34</f>
        <v>0</v>
      </c>
      <c r="AC108" s="123">
        <f>'Inputs by customer type'!AC34</f>
        <v>0</v>
      </c>
      <c r="AD108" s="123">
        <f>'Inputs by customer type'!AD34</f>
        <v>0</v>
      </c>
      <c r="AE108" s="123">
        <f>'Inputs by customer type'!AE34</f>
        <v>0</v>
      </c>
      <c r="AF108" s="123">
        <f>'Inputs by customer type'!AF34</f>
        <v>0</v>
      </c>
      <c r="AG108" s="123">
        <f>'Inputs by customer type'!AG34</f>
        <v>0</v>
      </c>
      <c r="AH108" s="123">
        <f>'Inputs by customer type'!AH34</f>
        <v>0</v>
      </c>
      <c r="AI108" s="123">
        <f>'Inputs by customer type'!AI34</f>
        <v>0</v>
      </c>
      <c r="AJ108" s="123">
        <f>'Inputs by customer type'!AJ34</f>
        <v>0</v>
      </c>
      <c r="AK108" s="123">
        <f>'Inputs by customer type'!AK34</f>
        <v>0</v>
      </c>
      <c r="AL108" s="123">
        <f>'Inputs by customer type'!AL34</f>
        <v>0</v>
      </c>
      <c r="AM108" s="123">
        <f>'Inputs by customer type'!AM34</f>
        <v>0</v>
      </c>
      <c r="AN108" s="123">
        <f>'Inputs by customer type'!AN34</f>
        <v>0</v>
      </c>
      <c r="AO108" s="123">
        <f>'Inputs by customer type'!AO34</f>
        <v>0</v>
      </c>
      <c r="AP108" s="123">
        <f>'Inputs by customer type'!AP34</f>
        <v>0</v>
      </c>
      <c r="BH108" s="3"/>
    </row>
    <row r="109" spans="5:60" x14ac:dyDescent="0.25">
      <c r="F109" s="28" t="s">
        <v>509</v>
      </c>
      <c r="G109" s="28" t="s">
        <v>301</v>
      </c>
      <c r="J109" s="123">
        <f>'Inputs by customer type'!J43</f>
        <v>0</v>
      </c>
      <c r="K109" s="123">
        <f>'Inputs by customer type'!K43</f>
        <v>0</v>
      </c>
      <c r="L109" s="123">
        <f>'Inputs by customer type'!L43</f>
        <v>0</v>
      </c>
      <c r="M109" s="123">
        <f>'Inputs by customer type'!M43</f>
        <v>0</v>
      </c>
      <c r="N109" s="123">
        <f>'Inputs by customer type'!N43</f>
        <v>0</v>
      </c>
      <c r="O109" s="123">
        <f>'Inputs by customer type'!O43</f>
        <v>0</v>
      </c>
      <c r="P109" s="123">
        <f>'Inputs by customer type'!P43</f>
        <v>0</v>
      </c>
      <c r="Q109" s="123">
        <f>'Inputs by customer type'!Q43</f>
        <v>0</v>
      </c>
      <c r="R109" s="123">
        <f>'Inputs by customer type'!R43</f>
        <v>0</v>
      </c>
      <c r="S109" s="123">
        <f>'Inputs by customer type'!S43</f>
        <v>0</v>
      </c>
      <c r="T109" s="123">
        <f>'Inputs by customer type'!T43</f>
        <v>0</v>
      </c>
      <c r="U109" s="123">
        <f>'Inputs by customer type'!U43</f>
        <v>1598.0899470899474</v>
      </c>
      <c r="V109" s="123">
        <f>'Inputs by customer type'!V43</f>
        <v>228.00000000000003</v>
      </c>
      <c r="W109" s="123">
        <f>'Inputs by customer type'!W43</f>
        <v>0</v>
      </c>
      <c r="X109" s="123">
        <f>'Inputs by customer type'!X43</f>
        <v>0</v>
      </c>
      <c r="Y109" s="123">
        <f>'Inputs by customer type'!Y43</f>
        <v>0</v>
      </c>
      <c r="Z109" s="123">
        <f>'Inputs by customer type'!Z43</f>
        <v>0</v>
      </c>
      <c r="AA109" s="123">
        <f>'Inputs by customer type'!AA43</f>
        <v>0</v>
      </c>
      <c r="AB109" s="123">
        <f>'Inputs by customer type'!AB43</f>
        <v>0</v>
      </c>
      <c r="AC109" s="123">
        <f>'Inputs by customer type'!AC43</f>
        <v>0</v>
      </c>
      <c r="AD109" s="123">
        <f>'Inputs by customer type'!AD43</f>
        <v>0</v>
      </c>
      <c r="AE109" s="123">
        <f>'Inputs by customer type'!AE43</f>
        <v>0</v>
      </c>
      <c r="AF109" s="123">
        <f>'Inputs by customer type'!AF43</f>
        <v>0</v>
      </c>
      <c r="AG109" s="123">
        <f>'Inputs by customer type'!AG43</f>
        <v>0</v>
      </c>
      <c r="AH109" s="123">
        <f>'Inputs by customer type'!AH43</f>
        <v>0</v>
      </c>
      <c r="AI109" s="123">
        <f>'Inputs by customer type'!AI43</f>
        <v>0</v>
      </c>
      <c r="AJ109" s="123">
        <f>'Inputs by customer type'!AJ43</f>
        <v>0</v>
      </c>
      <c r="AK109" s="123">
        <f>'Inputs by customer type'!AK43</f>
        <v>0</v>
      </c>
      <c r="AL109" s="123">
        <f>'Inputs by customer type'!AL43</f>
        <v>0</v>
      </c>
      <c r="AM109" s="123">
        <f>'Inputs by customer type'!AM43</f>
        <v>0</v>
      </c>
      <c r="AN109" s="123">
        <f>'Inputs by customer type'!AN43</f>
        <v>0</v>
      </c>
      <c r="AO109" s="123">
        <f>'Inputs by customer type'!AO43</f>
        <v>0</v>
      </c>
      <c r="AP109" s="123">
        <f>'Inputs by customer type'!AP43</f>
        <v>0</v>
      </c>
      <c r="BH109" s="3"/>
    </row>
    <row r="110" spans="5:60" x14ac:dyDescent="0.25">
      <c r="F110" s="28" t="s">
        <v>510</v>
      </c>
      <c r="G110" s="28" t="s">
        <v>203</v>
      </c>
      <c r="J110" s="114">
        <f t="shared" ref="J110:AP110" si="25">IF(J$41, J$47, J$34)</f>
        <v>0.29399702125357685</v>
      </c>
      <c r="K110" s="114">
        <f t="shared" si="25"/>
        <v>0.29399702125357685</v>
      </c>
      <c r="L110" s="114">
        <f t="shared" si="25"/>
        <v>0.29399702125357685</v>
      </c>
      <c r="M110" s="114">
        <f t="shared" si="25"/>
        <v>0.29399702125357685</v>
      </c>
      <c r="N110" s="114">
        <f t="shared" si="25"/>
        <v>0.29399702125357685</v>
      </c>
      <c r="O110" s="114">
        <f t="shared" si="25"/>
        <v>0.29399702125357685</v>
      </c>
      <c r="P110" s="114">
        <f t="shared" si="25"/>
        <v>0.29399702125357685</v>
      </c>
      <c r="Q110" s="114">
        <f t="shared" si="25"/>
        <v>0</v>
      </c>
      <c r="R110" s="114">
        <f t="shared" si="25"/>
        <v>0</v>
      </c>
      <c r="S110" s="114">
        <f t="shared" si="25"/>
        <v>0.29399702125357685</v>
      </c>
      <c r="T110" s="114">
        <f t="shared" si="25"/>
        <v>0.29399702125357685</v>
      </c>
      <c r="U110" s="114">
        <f t="shared" si="25"/>
        <v>0.29399702125357685</v>
      </c>
      <c r="V110" s="114">
        <f t="shared" si="25"/>
        <v>0</v>
      </c>
      <c r="W110" s="114">
        <f t="shared" si="25"/>
        <v>0</v>
      </c>
      <c r="X110" s="114">
        <f t="shared" si="25"/>
        <v>0.29399702125357685</v>
      </c>
      <c r="Y110" s="114">
        <f t="shared" si="25"/>
        <v>0.29399702125357685</v>
      </c>
      <c r="Z110" s="114">
        <f t="shared" si="25"/>
        <v>0.29399702125357685</v>
      </c>
      <c r="AA110" s="114">
        <f t="shared" si="25"/>
        <v>0.29399702125357685</v>
      </c>
      <c r="AB110" s="114">
        <f t="shared" si="25"/>
        <v>0.29399702125357685</v>
      </c>
      <c r="AC110" s="114">
        <f t="shared" si="25"/>
        <v>0</v>
      </c>
      <c r="AD110" s="114">
        <f t="shared" si="25"/>
        <v>0</v>
      </c>
      <c r="AE110" s="114">
        <f t="shared" si="25"/>
        <v>0</v>
      </c>
      <c r="AF110" s="114">
        <f t="shared" si="25"/>
        <v>0</v>
      </c>
      <c r="AG110" s="114">
        <f t="shared" si="25"/>
        <v>0</v>
      </c>
      <c r="AH110" s="114">
        <f t="shared" si="25"/>
        <v>0</v>
      </c>
      <c r="AI110" s="114">
        <f t="shared" si="25"/>
        <v>0</v>
      </c>
      <c r="AJ110" s="114">
        <f t="shared" si="25"/>
        <v>0</v>
      </c>
      <c r="AK110" s="114">
        <f t="shared" si="25"/>
        <v>0</v>
      </c>
      <c r="AL110" s="114">
        <f t="shared" si="25"/>
        <v>0</v>
      </c>
      <c r="AM110" s="114">
        <f t="shared" si="25"/>
        <v>0</v>
      </c>
      <c r="AN110" s="114">
        <f t="shared" si="25"/>
        <v>0</v>
      </c>
      <c r="AO110" s="114">
        <f t="shared" si="25"/>
        <v>0</v>
      </c>
      <c r="AP110" s="114">
        <f t="shared" si="25"/>
        <v>0</v>
      </c>
      <c r="BH110" s="3"/>
    </row>
    <row r="111" spans="5:60" x14ac:dyDescent="0.25">
      <c r="F111" s="28" t="s">
        <v>511</v>
      </c>
      <c r="G111" s="28" t="s">
        <v>203</v>
      </c>
      <c r="J111" s="114">
        <f t="shared" ref="J111:AP111" si="26">IF(J$41, J$47, J$35)</f>
        <v>0.58159328142725919</v>
      </c>
      <c r="K111" s="114">
        <f t="shared" si="26"/>
        <v>0.58159328142725919</v>
      </c>
      <c r="L111" s="114">
        <f t="shared" si="26"/>
        <v>0.58159328142725919</v>
      </c>
      <c r="M111" s="114">
        <f t="shared" si="26"/>
        <v>0.58159328142725919</v>
      </c>
      <c r="N111" s="114">
        <f t="shared" si="26"/>
        <v>0.58159328142725919</v>
      </c>
      <c r="O111" s="114">
        <f t="shared" si="26"/>
        <v>0.58159328142725919</v>
      </c>
      <c r="P111" s="114">
        <f t="shared" si="26"/>
        <v>0.58159328142725919</v>
      </c>
      <c r="Q111" s="114">
        <f t="shared" si="26"/>
        <v>0</v>
      </c>
      <c r="R111" s="114">
        <f t="shared" si="26"/>
        <v>0</v>
      </c>
      <c r="S111" s="114">
        <f t="shared" si="26"/>
        <v>0.58159328142725919</v>
      </c>
      <c r="T111" s="114">
        <f t="shared" si="26"/>
        <v>0.58159328142725919</v>
      </c>
      <c r="U111" s="114">
        <f t="shared" si="26"/>
        <v>0.58159328142725919</v>
      </c>
      <c r="V111" s="114">
        <f t="shared" si="26"/>
        <v>0.39416189548233249</v>
      </c>
      <c r="W111" s="114">
        <f t="shared" si="26"/>
        <v>0.33724217358094977</v>
      </c>
      <c r="X111" s="114">
        <f t="shared" si="26"/>
        <v>0.58159328142725919</v>
      </c>
      <c r="Y111" s="114">
        <f t="shared" si="26"/>
        <v>0.58159328142725919</v>
      </c>
      <c r="Z111" s="114">
        <f t="shared" si="26"/>
        <v>0.58159328142725919</v>
      </c>
      <c r="AA111" s="114">
        <f t="shared" si="26"/>
        <v>0.58159328142725919</v>
      </c>
      <c r="AB111" s="114">
        <f t="shared" si="26"/>
        <v>0.58159328142725919</v>
      </c>
      <c r="AC111" s="114">
        <f t="shared" si="26"/>
        <v>0</v>
      </c>
      <c r="AD111" s="114">
        <f t="shared" si="26"/>
        <v>0</v>
      </c>
      <c r="AE111" s="114">
        <f t="shared" si="26"/>
        <v>0</v>
      </c>
      <c r="AF111" s="114">
        <f t="shared" si="26"/>
        <v>0</v>
      </c>
      <c r="AG111" s="114">
        <f t="shared" si="26"/>
        <v>0</v>
      </c>
      <c r="AH111" s="114">
        <f t="shared" si="26"/>
        <v>0</v>
      </c>
      <c r="AI111" s="114">
        <f t="shared" si="26"/>
        <v>0</v>
      </c>
      <c r="AJ111" s="114">
        <f t="shared" si="26"/>
        <v>0</v>
      </c>
      <c r="AK111" s="114">
        <f t="shared" si="26"/>
        <v>0</v>
      </c>
      <c r="AL111" s="114">
        <f t="shared" si="26"/>
        <v>0</v>
      </c>
      <c r="AM111" s="114">
        <f t="shared" si="26"/>
        <v>0</v>
      </c>
      <c r="AN111" s="114">
        <f t="shared" si="26"/>
        <v>0</v>
      </c>
      <c r="AO111" s="114">
        <f t="shared" si="26"/>
        <v>0</v>
      </c>
      <c r="AP111" s="114">
        <f t="shared" si="26"/>
        <v>0</v>
      </c>
      <c r="BH111" s="3"/>
    </row>
    <row r="112" spans="5:60" x14ac:dyDescent="0.25">
      <c r="F112" s="28" t="s">
        <v>512</v>
      </c>
      <c r="G112" s="28" t="s">
        <v>301</v>
      </c>
      <c r="J112" s="101">
        <f t="shared" ref="J112:AP112" si="27">J108 * (1 - J110)</f>
        <v>0</v>
      </c>
      <c r="K112" s="101">
        <f t="shared" si="27"/>
        <v>0</v>
      </c>
      <c r="L112" s="101">
        <f t="shared" si="27"/>
        <v>0</v>
      </c>
      <c r="M112" s="101">
        <f t="shared" si="27"/>
        <v>0</v>
      </c>
      <c r="N112" s="101">
        <f t="shared" si="27"/>
        <v>0</v>
      </c>
      <c r="O112" s="101">
        <f t="shared" si="27"/>
        <v>0</v>
      </c>
      <c r="P112" s="101">
        <f t="shared" si="27"/>
        <v>0</v>
      </c>
      <c r="Q112" s="101">
        <f t="shared" si="27"/>
        <v>0</v>
      </c>
      <c r="R112" s="101">
        <f t="shared" si="27"/>
        <v>0</v>
      </c>
      <c r="S112" s="101">
        <f t="shared" si="27"/>
        <v>0</v>
      </c>
      <c r="T112" s="101">
        <f t="shared" si="27"/>
        <v>0</v>
      </c>
      <c r="U112" s="101">
        <f t="shared" si="27"/>
        <v>506.01586830018618</v>
      </c>
      <c r="V112" s="101">
        <f t="shared" si="27"/>
        <v>0</v>
      </c>
      <c r="W112" s="101">
        <f t="shared" si="27"/>
        <v>0</v>
      </c>
      <c r="X112" s="101">
        <f t="shared" si="27"/>
        <v>0</v>
      </c>
      <c r="Y112" s="101">
        <f t="shared" si="27"/>
        <v>0</v>
      </c>
      <c r="Z112" s="101">
        <f t="shared" si="27"/>
        <v>0</v>
      </c>
      <c r="AA112" s="101">
        <f t="shared" si="27"/>
        <v>0</v>
      </c>
      <c r="AB112" s="101">
        <f t="shared" si="27"/>
        <v>0</v>
      </c>
      <c r="AC112" s="101">
        <f t="shared" si="27"/>
        <v>0</v>
      </c>
      <c r="AD112" s="101">
        <f t="shared" si="27"/>
        <v>0</v>
      </c>
      <c r="AE112" s="101">
        <f t="shared" si="27"/>
        <v>0</v>
      </c>
      <c r="AF112" s="101">
        <f t="shared" si="27"/>
        <v>0</v>
      </c>
      <c r="AG112" s="101">
        <f t="shared" si="27"/>
        <v>0</v>
      </c>
      <c r="AH112" s="101">
        <f t="shared" si="27"/>
        <v>0</v>
      </c>
      <c r="AI112" s="101">
        <f t="shared" si="27"/>
        <v>0</v>
      </c>
      <c r="AJ112" s="101">
        <f t="shared" si="27"/>
        <v>0</v>
      </c>
      <c r="AK112" s="101">
        <f t="shared" si="27"/>
        <v>0</v>
      </c>
      <c r="AL112" s="101">
        <f t="shared" si="27"/>
        <v>0</v>
      </c>
      <c r="AM112" s="101">
        <f t="shared" si="27"/>
        <v>0</v>
      </c>
      <c r="AN112" s="101">
        <f t="shared" si="27"/>
        <v>0</v>
      </c>
      <c r="AO112" s="101">
        <f t="shared" si="27"/>
        <v>0</v>
      </c>
      <c r="AP112" s="101">
        <f t="shared" si="27"/>
        <v>0</v>
      </c>
      <c r="BH112" s="3"/>
    </row>
    <row r="113" spans="5:60" x14ac:dyDescent="0.25">
      <c r="F113" s="67" t="s">
        <v>513</v>
      </c>
      <c r="G113" s="67" t="s">
        <v>301</v>
      </c>
      <c r="H113" s="37"/>
      <c r="I113" s="37"/>
      <c r="J113" s="103">
        <f t="shared" ref="J113:AP113" si="28">J109 * (1 - J111)</f>
        <v>0</v>
      </c>
      <c r="K113" s="103">
        <f t="shared" si="28"/>
        <v>0</v>
      </c>
      <c r="L113" s="103">
        <f t="shared" si="28"/>
        <v>0</v>
      </c>
      <c r="M113" s="103">
        <f t="shared" si="28"/>
        <v>0</v>
      </c>
      <c r="N113" s="103">
        <f t="shared" si="28"/>
        <v>0</v>
      </c>
      <c r="O113" s="103">
        <f t="shared" si="28"/>
        <v>0</v>
      </c>
      <c r="P113" s="103">
        <f t="shared" si="28"/>
        <v>0</v>
      </c>
      <c r="Q113" s="103">
        <f t="shared" si="28"/>
        <v>0</v>
      </c>
      <c r="R113" s="103">
        <f t="shared" si="28"/>
        <v>0</v>
      </c>
      <c r="S113" s="103">
        <f t="shared" si="28"/>
        <v>0</v>
      </c>
      <c r="T113" s="103">
        <f t="shared" si="28"/>
        <v>0</v>
      </c>
      <c r="U113" s="103">
        <f t="shared" si="28"/>
        <v>668.65157074598983</v>
      </c>
      <c r="V113" s="103">
        <f t="shared" si="28"/>
        <v>138.13108783002821</v>
      </c>
      <c r="W113" s="103">
        <f t="shared" si="28"/>
        <v>0</v>
      </c>
      <c r="X113" s="103">
        <f t="shared" si="28"/>
        <v>0</v>
      </c>
      <c r="Y113" s="103">
        <f t="shared" si="28"/>
        <v>0</v>
      </c>
      <c r="Z113" s="103">
        <f t="shared" si="28"/>
        <v>0</v>
      </c>
      <c r="AA113" s="103">
        <f t="shared" si="28"/>
        <v>0</v>
      </c>
      <c r="AB113" s="103">
        <f t="shared" si="28"/>
        <v>0</v>
      </c>
      <c r="AC113" s="103">
        <f t="shared" si="28"/>
        <v>0</v>
      </c>
      <c r="AD113" s="103">
        <f t="shared" si="28"/>
        <v>0</v>
      </c>
      <c r="AE113" s="103">
        <f t="shared" si="28"/>
        <v>0</v>
      </c>
      <c r="AF113" s="103">
        <f t="shared" si="28"/>
        <v>0</v>
      </c>
      <c r="AG113" s="103">
        <f t="shared" si="28"/>
        <v>0</v>
      </c>
      <c r="AH113" s="103">
        <f t="shared" si="28"/>
        <v>0</v>
      </c>
      <c r="AI113" s="103">
        <f t="shared" si="28"/>
        <v>0</v>
      </c>
      <c r="AJ113" s="103">
        <f t="shared" si="28"/>
        <v>0</v>
      </c>
      <c r="AK113" s="103">
        <f t="shared" si="28"/>
        <v>0</v>
      </c>
      <c r="AL113" s="103">
        <f t="shared" si="28"/>
        <v>0</v>
      </c>
      <c r="AM113" s="103">
        <f t="shared" si="28"/>
        <v>0</v>
      </c>
      <c r="AN113" s="103">
        <f t="shared" si="28"/>
        <v>0</v>
      </c>
      <c r="AO113" s="103">
        <f t="shared" si="28"/>
        <v>0</v>
      </c>
      <c r="AP113" s="103">
        <f t="shared" si="28"/>
        <v>0</v>
      </c>
      <c r="BH113" s="3"/>
    </row>
    <row r="114" spans="5:60" x14ac:dyDescent="0.25">
      <c r="F114" s="28" t="s">
        <v>514</v>
      </c>
      <c r="G114" s="28" t="s">
        <v>301</v>
      </c>
      <c r="J114" s="124">
        <f t="shared" ref="J114:AP114" si="29">J107 + J112 + J113</f>
        <v>0</v>
      </c>
      <c r="K114" s="124">
        <f t="shared" si="29"/>
        <v>0</v>
      </c>
      <c r="L114" s="124">
        <f t="shared" si="29"/>
        <v>0</v>
      </c>
      <c r="M114" s="124">
        <f t="shared" si="29"/>
        <v>0</v>
      </c>
      <c r="N114" s="124">
        <f t="shared" si="29"/>
        <v>0</v>
      </c>
      <c r="O114" s="124">
        <f t="shared" si="29"/>
        <v>0</v>
      </c>
      <c r="P114" s="124">
        <f t="shared" si="29"/>
        <v>0</v>
      </c>
      <c r="Q114" s="124">
        <f t="shared" si="29"/>
        <v>0</v>
      </c>
      <c r="R114" s="124">
        <f t="shared" si="29"/>
        <v>0</v>
      </c>
      <c r="S114" s="124">
        <f t="shared" si="29"/>
        <v>0</v>
      </c>
      <c r="T114" s="124">
        <f t="shared" si="29"/>
        <v>0</v>
      </c>
      <c r="U114" s="124">
        <f t="shared" si="29"/>
        <v>865207.30769612629</v>
      </c>
      <c r="V114" s="124">
        <f t="shared" si="29"/>
        <v>31863.811242778251</v>
      </c>
      <c r="W114" s="124">
        <f t="shared" si="29"/>
        <v>417431.11194524198</v>
      </c>
      <c r="X114" s="124">
        <f t="shared" si="29"/>
        <v>0</v>
      </c>
      <c r="Y114" s="124">
        <f t="shared" si="29"/>
        <v>0</v>
      </c>
      <c r="Z114" s="124">
        <f t="shared" si="29"/>
        <v>0</v>
      </c>
      <c r="AA114" s="124">
        <f t="shared" si="29"/>
        <v>0</v>
      </c>
      <c r="AB114" s="124">
        <f t="shared" si="29"/>
        <v>0</v>
      </c>
      <c r="AC114" s="124">
        <f t="shared" si="29"/>
        <v>0</v>
      </c>
      <c r="AD114" s="124">
        <f t="shared" si="29"/>
        <v>0</v>
      </c>
      <c r="AE114" s="124">
        <f t="shared" si="29"/>
        <v>0</v>
      </c>
      <c r="AF114" s="124">
        <f t="shared" si="29"/>
        <v>0</v>
      </c>
      <c r="AG114" s="124">
        <f t="shared" si="29"/>
        <v>0</v>
      </c>
      <c r="AH114" s="124">
        <f t="shared" si="29"/>
        <v>0</v>
      </c>
      <c r="AI114" s="124">
        <f t="shared" si="29"/>
        <v>0</v>
      </c>
      <c r="AJ114" s="124">
        <f t="shared" si="29"/>
        <v>0</v>
      </c>
      <c r="AK114" s="124">
        <f t="shared" si="29"/>
        <v>0</v>
      </c>
      <c r="AL114" s="124">
        <f t="shared" si="29"/>
        <v>0</v>
      </c>
      <c r="AM114" s="124">
        <f t="shared" si="29"/>
        <v>0</v>
      </c>
      <c r="AN114" s="124">
        <f t="shared" si="29"/>
        <v>0</v>
      </c>
      <c r="AO114" s="124">
        <f t="shared" si="29"/>
        <v>0</v>
      </c>
      <c r="AP114" s="124">
        <f t="shared" si="29"/>
        <v>0</v>
      </c>
      <c r="BH114" s="3"/>
    </row>
    <row r="115" spans="5:60" x14ac:dyDescent="0.25">
      <c r="E115" s="32"/>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t="s">
        <v>302</v>
      </c>
      <c r="I116" t="s">
        <v>190</v>
      </c>
      <c r="J116" s="92"/>
      <c r="K116" s="92"/>
      <c r="L116" s="92"/>
      <c r="M116" s="92"/>
      <c r="N116" s="92"/>
      <c r="O116" s="92"/>
      <c r="P116" s="92"/>
      <c r="Q116" s="92"/>
      <c r="R116" s="92"/>
      <c r="S116" s="92"/>
      <c r="T116" s="92"/>
      <c r="U116" s="92"/>
      <c r="V116" s="92"/>
      <c r="W116" s="92"/>
      <c r="X116" s="92"/>
      <c r="Y116" s="92"/>
      <c r="Z116" s="92"/>
      <c r="AA116" s="92"/>
      <c r="AB116" s="92"/>
      <c r="AC116" s="92"/>
      <c r="AD116" s="92"/>
      <c r="AE116" s="92"/>
      <c r="AF116" s="92"/>
      <c r="AG116" s="92"/>
      <c r="AH116" s="92"/>
      <c r="AI116" s="92"/>
      <c r="AJ116" s="92"/>
      <c r="AK116" s="92"/>
      <c r="AL116" s="92"/>
      <c r="AM116" s="92"/>
      <c r="AN116" s="92"/>
      <c r="AO116" s="92"/>
      <c r="AP116" s="92"/>
      <c r="AR116" t="s">
        <v>368</v>
      </c>
      <c r="BH116" s="3"/>
    </row>
    <row r="117" spans="5:60" x14ac:dyDescent="0.25">
      <c r="E117" s="32"/>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BH117" s="3"/>
    </row>
    <row r="118" spans="5:60" x14ac:dyDescent="0.25">
      <c r="F118" s="28" t="s">
        <v>507</v>
      </c>
      <c r="G118" s="28" t="s">
        <v>301</v>
      </c>
      <c r="J118" s="123">
        <f>'Inputs by customer type'!J26</f>
        <v>0</v>
      </c>
      <c r="K118" s="123">
        <f>'Inputs by customer type'!K26</f>
        <v>0</v>
      </c>
      <c r="L118" s="123">
        <f>'Inputs by customer type'!L26</f>
        <v>0</v>
      </c>
      <c r="M118" s="123">
        <f>'Inputs by customer type'!M26</f>
        <v>0</v>
      </c>
      <c r="N118" s="123">
        <f>'Inputs by customer type'!N26</f>
        <v>0</v>
      </c>
      <c r="O118" s="123">
        <f>'Inputs by customer type'!O26</f>
        <v>0</v>
      </c>
      <c r="P118" s="123">
        <f>'Inputs by customer type'!P26</f>
        <v>0</v>
      </c>
      <c r="Q118" s="123">
        <f>'Inputs by customer type'!Q26</f>
        <v>0</v>
      </c>
      <c r="R118" s="123">
        <f>'Inputs by customer type'!R26</f>
        <v>0</v>
      </c>
      <c r="S118" s="123">
        <f>'Inputs by customer type'!S26</f>
        <v>0</v>
      </c>
      <c r="T118" s="123">
        <f>'Inputs by customer type'!T26</f>
        <v>0</v>
      </c>
      <c r="U118" s="123">
        <f>'Inputs by customer type'!U26</f>
        <v>19860.688270861865</v>
      </c>
      <c r="V118" s="123">
        <f>'Inputs by customer type'!V26</f>
        <v>1241.120857125464</v>
      </c>
      <c r="W118" s="123">
        <f>'Inputs by customer type'!W26</f>
        <v>11113.625162499586</v>
      </c>
      <c r="X118" s="123">
        <f>'Inputs by customer type'!X26</f>
        <v>0</v>
      </c>
      <c r="Y118" s="123">
        <f>'Inputs by customer type'!Y26</f>
        <v>0</v>
      </c>
      <c r="Z118" s="123">
        <f>'Inputs by customer type'!Z26</f>
        <v>0</v>
      </c>
      <c r="AA118" s="123">
        <f>'Inputs by customer type'!AA26</f>
        <v>0</v>
      </c>
      <c r="AB118" s="123">
        <f>'Inputs by customer type'!AB26</f>
        <v>0</v>
      </c>
      <c r="AC118" s="123">
        <f>'Inputs by customer type'!AC26</f>
        <v>0</v>
      </c>
      <c r="AD118" s="123">
        <f>'Inputs by customer type'!AD26</f>
        <v>0</v>
      </c>
      <c r="AE118" s="123">
        <f>'Inputs by customer type'!AE26</f>
        <v>0</v>
      </c>
      <c r="AF118" s="123">
        <f>'Inputs by customer type'!AF26</f>
        <v>0</v>
      </c>
      <c r="AG118" s="123">
        <f>'Inputs by customer type'!AG26</f>
        <v>0</v>
      </c>
      <c r="AH118" s="123">
        <f>'Inputs by customer type'!AH26</f>
        <v>0</v>
      </c>
      <c r="AI118" s="123">
        <f>'Inputs by customer type'!AI26</f>
        <v>0</v>
      </c>
      <c r="AJ118" s="123">
        <f>'Inputs by customer type'!AJ26</f>
        <v>0</v>
      </c>
      <c r="AK118" s="123">
        <f>'Inputs by customer type'!AK26</f>
        <v>0</v>
      </c>
      <c r="AL118" s="123">
        <f>'Inputs by customer type'!AL26</f>
        <v>0</v>
      </c>
      <c r="AM118" s="123">
        <f>'Inputs by customer type'!AM26</f>
        <v>0</v>
      </c>
      <c r="AN118" s="123">
        <f>'Inputs by customer type'!AN26</f>
        <v>0</v>
      </c>
      <c r="AO118" s="123">
        <f>'Inputs by customer type'!AO26</f>
        <v>0</v>
      </c>
      <c r="AP118" s="123">
        <f>'Inputs by customer type'!AP26</f>
        <v>0</v>
      </c>
      <c r="BH118" s="3"/>
    </row>
    <row r="119" spans="5:60" x14ac:dyDescent="0.25">
      <c r="F119" s="28" t="s">
        <v>508</v>
      </c>
      <c r="G119" s="28" t="s">
        <v>301</v>
      </c>
      <c r="J119" s="123">
        <f>'Inputs by customer type'!J35</f>
        <v>0</v>
      </c>
      <c r="K119" s="123">
        <f>'Inputs by customer type'!K35</f>
        <v>0</v>
      </c>
      <c r="L119" s="123">
        <f>'Inputs by customer type'!L35</f>
        <v>0</v>
      </c>
      <c r="M119" s="123">
        <f>'Inputs by customer type'!M35</f>
        <v>0</v>
      </c>
      <c r="N119" s="123">
        <f>'Inputs by customer type'!N35</f>
        <v>0</v>
      </c>
      <c r="O119" s="123">
        <f>'Inputs by customer type'!O35</f>
        <v>0</v>
      </c>
      <c r="P119" s="123">
        <f>'Inputs by customer type'!P35</f>
        <v>0</v>
      </c>
      <c r="Q119" s="123">
        <f>'Inputs by customer type'!Q35</f>
        <v>0</v>
      </c>
      <c r="R119" s="123">
        <f>'Inputs by customer type'!R35</f>
        <v>0</v>
      </c>
      <c r="S119" s="123">
        <f>'Inputs by customer type'!S35</f>
        <v>0</v>
      </c>
      <c r="T119" s="123">
        <f>'Inputs by customer type'!T35</f>
        <v>0</v>
      </c>
      <c r="U119" s="123">
        <f>'Inputs by customer type'!U35</f>
        <v>0</v>
      </c>
      <c r="V119" s="123">
        <f>'Inputs by customer type'!V35</f>
        <v>0</v>
      </c>
      <c r="W119" s="123">
        <f>'Inputs by customer type'!W35</f>
        <v>0</v>
      </c>
      <c r="X119" s="123">
        <f>'Inputs by customer type'!X35</f>
        <v>0</v>
      </c>
      <c r="Y119" s="123">
        <f>'Inputs by customer type'!Y35</f>
        <v>0</v>
      </c>
      <c r="Z119" s="123">
        <f>'Inputs by customer type'!Z35</f>
        <v>0</v>
      </c>
      <c r="AA119" s="123">
        <f>'Inputs by customer type'!AA35</f>
        <v>0</v>
      </c>
      <c r="AB119" s="123">
        <f>'Inputs by customer type'!AB35</f>
        <v>0</v>
      </c>
      <c r="AC119" s="123">
        <f>'Inputs by customer type'!AC35</f>
        <v>0</v>
      </c>
      <c r="AD119" s="123">
        <f>'Inputs by customer type'!AD35</f>
        <v>0</v>
      </c>
      <c r="AE119" s="123">
        <f>'Inputs by customer type'!AE35</f>
        <v>0</v>
      </c>
      <c r="AF119" s="123">
        <f>'Inputs by customer type'!AF35</f>
        <v>0</v>
      </c>
      <c r="AG119" s="123">
        <f>'Inputs by customer type'!AG35</f>
        <v>0</v>
      </c>
      <c r="AH119" s="123">
        <f>'Inputs by customer type'!AH35</f>
        <v>0</v>
      </c>
      <c r="AI119" s="123">
        <f>'Inputs by customer type'!AI35</f>
        <v>0</v>
      </c>
      <c r="AJ119" s="123">
        <f>'Inputs by customer type'!AJ35</f>
        <v>0</v>
      </c>
      <c r="AK119" s="123">
        <f>'Inputs by customer type'!AK35</f>
        <v>0</v>
      </c>
      <c r="AL119" s="123">
        <f>'Inputs by customer type'!AL35</f>
        <v>0</v>
      </c>
      <c r="AM119" s="123">
        <f>'Inputs by customer type'!AM35</f>
        <v>0</v>
      </c>
      <c r="AN119" s="123">
        <f>'Inputs by customer type'!AN35</f>
        <v>0</v>
      </c>
      <c r="AO119" s="123">
        <f>'Inputs by customer type'!AO35</f>
        <v>0</v>
      </c>
      <c r="AP119" s="123">
        <f>'Inputs by customer type'!AP35</f>
        <v>0</v>
      </c>
      <c r="BH119" s="3"/>
    </row>
    <row r="120" spans="5:60" x14ac:dyDescent="0.25">
      <c r="F120" s="28" t="s">
        <v>509</v>
      </c>
      <c r="G120" s="28" t="s">
        <v>301</v>
      </c>
      <c r="J120" s="123">
        <f>'Inputs by customer type'!J44</f>
        <v>0</v>
      </c>
      <c r="K120" s="123">
        <f>'Inputs by customer type'!K44</f>
        <v>0</v>
      </c>
      <c r="L120" s="123">
        <f>'Inputs by customer type'!L44</f>
        <v>0</v>
      </c>
      <c r="M120" s="123">
        <f>'Inputs by customer type'!M44</f>
        <v>0</v>
      </c>
      <c r="N120" s="123">
        <f>'Inputs by customer type'!N44</f>
        <v>0</v>
      </c>
      <c r="O120" s="123">
        <f>'Inputs by customer type'!O44</f>
        <v>0</v>
      </c>
      <c r="P120" s="123">
        <f>'Inputs by customer type'!P44</f>
        <v>0</v>
      </c>
      <c r="Q120" s="123">
        <f>'Inputs by customer type'!Q44</f>
        <v>0</v>
      </c>
      <c r="R120" s="123">
        <f>'Inputs by customer type'!R44</f>
        <v>0</v>
      </c>
      <c r="S120" s="123">
        <f>'Inputs by customer type'!S44</f>
        <v>0</v>
      </c>
      <c r="T120" s="123">
        <f>'Inputs by customer type'!T44</f>
        <v>0</v>
      </c>
      <c r="U120" s="123">
        <f>'Inputs by customer type'!U44</f>
        <v>0</v>
      </c>
      <c r="V120" s="123">
        <f>'Inputs by customer type'!V44</f>
        <v>0</v>
      </c>
      <c r="W120" s="123">
        <f>'Inputs by customer type'!W44</f>
        <v>0</v>
      </c>
      <c r="X120" s="123">
        <f>'Inputs by customer type'!X44</f>
        <v>0</v>
      </c>
      <c r="Y120" s="123">
        <f>'Inputs by customer type'!Y44</f>
        <v>0</v>
      </c>
      <c r="Z120" s="123">
        <f>'Inputs by customer type'!Z44</f>
        <v>0</v>
      </c>
      <c r="AA120" s="123">
        <f>'Inputs by customer type'!AA44</f>
        <v>0</v>
      </c>
      <c r="AB120" s="123">
        <f>'Inputs by customer type'!AB44</f>
        <v>0</v>
      </c>
      <c r="AC120" s="123">
        <f>'Inputs by customer type'!AC44</f>
        <v>0</v>
      </c>
      <c r="AD120" s="123">
        <f>'Inputs by customer type'!AD44</f>
        <v>0</v>
      </c>
      <c r="AE120" s="123">
        <f>'Inputs by customer type'!AE44</f>
        <v>0</v>
      </c>
      <c r="AF120" s="123">
        <f>'Inputs by customer type'!AF44</f>
        <v>0</v>
      </c>
      <c r="AG120" s="123">
        <f>'Inputs by customer type'!AG44</f>
        <v>0</v>
      </c>
      <c r="AH120" s="123">
        <f>'Inputs by customer type'!AH44</f>
        <v>0</v>
      </c>
      <c r="AI120" s="123">
        <f>'Inputs by customer type'!AI44</f>
        <v>0</v>
      </c>
      <c r="AJ120" s="123">
        <f>'Inputs by customer type'!AJ44</f>
        <v>0</v>
      </c>
      <c r="AK120" s="123">
        <f>'Inputs by customer type'!AK44</f>
        <v>0</v>
      </c>
      <c r="AL120" s="123">
        <f>'Inputs by customer type'!AL44</f>
        <v>0</v>
      </c>
      <c r="AM120" s="123">
        <f>'Inputs by customer type'!AM44</f>
        <v>0</v>
      </c>
      <c r="AN120" s="123">
        <f>'Inputs by customer type'!AN44</f>
        <v>0</v>
      </c>
      <c r="AO120" s="123">
        <f>'Inputs by customer type'!AO44</f>
        <v>0</v>
      </c>
      <c r="AP120" s="123">
        <f>'Inputs by customer type'!AP44</f>
        <v>0</v>
      </c>
      <c r="BH120" s="3"/>
    </row>
    <row r="121" spans="5:60" x14ac:dyDescent="0.25">
      <c r="F121" s="28" t="s">
        <v>510</v>
      </c>
      <c r="G121" s="28" t="s">
        <v>203</v>
      </c>
      <c r="J121" s="114">
        <f t="shared" ref="J121:AP121" si="30">IF(J$42, J$48, J$34)</f>
        <v>0.29399702125357685</v>
      </c>
      <c r="K121" s="114">
        <f t="shared" si="30"/>
        <v>0.29399702125357685</v>
      </c>
      <c r="L121" s="114">
        <f t="shared" si="30"/>
        <v>0.29399702125357685</v>
      </c>
      <c r="M121" s="114">
        <f t="shared" si="30"/>
        <v>0.29399702125357685</v>
      </c>
      <c r="N121" s="114">
        <f t="shared" si="30"/>
        <v>0.29399702125357685</v>
      </c>
      <c r="O121" s="114">
        <f t="shared" si="30"/>
        <v>0.29399702125357685</v>
      </c>
      <c r="P121" s="114">
        <f t="shared" si="30"/>
        <v>0.29399702125357685</v>
      </c>
      <c r="Q121" s="114">
        <f t="shared" si="30"/>
        <v>0</v>
      </c>
      <c r="R121" s="114">
        <f t="shared" si="30"/>
        <v>0</v>
      </c>
      <c r="S121" s="114">
        <f t="shared" si="30"/>
        <v>0.29399702125357685</v>
      </c>
      <c r="T121" s="114">
        <f t="shared" si="30"/>
        <v>0.29399702125357685</v>
      </c>
      <c r="U121" s="114">
        <f t="shared" si="30"/>
        <v>0.29399702125357685</v>
      </c>
      <c r="V121" s="114">
        <f t="shared" si="30"/>
        <v>0</v>
      </c>
      <c r="W121" s="114">
        <f t="shared" si="30"/>
        <v>0</v>
      </c>
      <c r="X121" s="114">
        <f t="shared" si="30"/>
        <v>0.29399702125357685</v>
      </c>
      <c r="Y121" s="114">
        <f t="shared" si="30"/>
        <v>0.29399702125357685</v>
      </c>
      <c r="Z121" s="114">
        <f t="shared" si="30"/>
        <v>0.29399702125357685</v>
      </c>
      <c r="AA121" s="114">
        <f t="shared" si="30"/>
        <v>0.29399702125357685</v>
      </c>
      <c r="AB121" s="114">
        <f t="shared" si="30"/>
        <v>0.29399702125357685</v>
      </c>
      <c r="AC121" s="114">
        <f t="shared" si="30"/>
        <v>0</v>
      </c>
      <c r="AD121" s="114">
        <f t="shared" si="30"/>
        <v>0</v>
      </c>
      <c r="AE121" s="114">
        <f t="shared" si="30"/>
        <v>0</v>
      </c>
      <c r="AF121" s="114">
        <f t="shared" si="30"/>
        <v>0</v>
      </c>
      <c r="AG121" s="114">
        <f t="shared" si="30"/>
        <v>0</v>
      </c>
      <c r="AH121" s="114">
        <f t="shared" si="30"/>
        <v>0</v>
      </c>
      <c r="AI121" s="114">
        <f t="shared" si="30"/>
        <v>0</v>
      </c>
      <c r="AJ121" s="114">
        <f t="shared" si="30"/>
        <v>0</v>
      </c>
      <c r="AK121" s="114">
        <f t="shared" si="30"/>
        <v>0</v>
      </c>
      <c r="AL121" s="114">
        <f t="shared" si="30"/>
        <v>0</v>
      </c>
      <c r="AM121" s="114">
        <f t="shared" si="30"/>
        <v>0</v>
      </c>
      <c r="AN121" s="114">
        <f t="shared" si="30"/>
        <v>0</v>
      </c>
      <c r="AO121" s="114">
        <f t="shared" si="30"/>
        <v>0</v>
      </c>
      <c r="AP121" s="114">
        <f t="shared" si="30"/>
        <v>0</v>
      </c>
      <c r="BH121" s="3"/>
    </row>
    <row r="122" spans="5:60" x14ac:dyDescent="0.25">
      <c r="F122" s="28" t="s">
        <v>511</v>
      </c>
      <c r="G122" s="28" t="s">
        <v>203</v>
      </c>
      <c r="J122" s="114">
        <f t="shared" ref="J122:AP122" si="31">IF(J$42, J$48, J$35)</f>
        <v>0.58159328142725919</v>
      </c>
      <c r="K122" s="114">
        <f t="shared" si="31"/>
        <v>0.58159328142725919</v>
      </c>
      <c r="L122" s="114">
        <f t="shared" si="31"/>
        <v>0.58159328142725919</v>
      </c>
      <c r="M122" s="114">
        <f t="shared" si="31"/>
        <v>0.58159328142725919</v>
      </c>
      <c r="N122" s="114">
        <f t="shared" si="31"/>
        <v>0.58159328142725919</v>
      </c>
      <c r="O122" s="114">
        <f t="shared" si="31"/>
        <v>0.58159328142725919</v>
      </c>
      <c r="P122" s="114">
        <f t="shared" si="31"/>
        <v>0.58159328142725919</v>
      </c>
      <c r="Q122" s="114">
        <f t="shared" si="31"/>
        <v>0</v>
      </c>
      <c r="R122" s="114">
        <f t="shared" si="31"/>
        <v>0</v>
      </c>
      <c r="S122" s="114">
        <f t="shared" si="31"/>
        <v>0.58159328142725919</v>
      </c>
      <c r="T122" s="114">
        <f t="shared" si="31"/>
        <v>0.58159328142725919</v>
      </c>
      <c r="U122" s="114">
        <f t="shared" si="31"/>
        <v>0.58159328142725919</v>
      </c>
      <c r="V122" s="114">
        <f t="shared" si="31"/>
        <v>0.39416189548233249</v>
      </c>
      <c r="W122" s="114">
        <f t="shared" si="31"/>
        <v>0.33724217358094977</v>
      </c>
      <c r="X122" s="114">
        <f t="shared" si="31"/>
        <v>0.58159328142725919</v>
      </c>
      <c r="Y122" s="114">
        <f t="shared" si="31"/>
        <v>0.58159328142725919</v>
      </c>
      <c r="Z122" s="114">
        <f t="shared" si="31"/>
        <v>0.58159328142725919</v>
      </c>
      <c r="AA122" s="114">
        <f t="shared" si="31"/>
        <v>0.58159328142725919</v>
      </c>
      <c r="AB122" s="114">
        <f t="shared" si="31"/>
        <v>0.58159328142725919</v>
      </c>
      <c r="AC122" s="114">
        <f t="shared" si="31"/>
        <v>0</v>
      </c>
      <c r="AD122" s="114">
        <f t="shared" si="31"/>
        <v>0</v>
      </c>
      <c r="AE122" s="114">
        <f t="shared" si="31"/>
        <v>0</v>
      </c>
      <c r="AF122" s="114">
        <f t="shared" si="31"/>
        <v>0</v>
      </c>
      <c r="AG122" s="114">
        <f t="shared" si="31"/>
        <v>0</v>
      </c>
      <c r="AH122" s="114">
        <f t="shared" si="31"/>
        <v>0</v>
      </c>
      <c r="AI122" s="114">
        <f t="shared" si="31"/>
        <v>0</v>
      </c>
      <c r="AJ122" s="114">
        <f t="shared" si="31"/>
        <v>0</v>
      </c>
      <c r="AK122" s="114">
        <f t="shared" si="31"/>
        <v>0</v>
      </c>
      <c r="AL122" s="114">
        <f t="shared" si="31"/>
        <v>0</v>
      </c>
      <c r="AM122" s="114">
        <f t="shared" si="31"/>
        <v>0</v>
      </c>
      <c r="AN122" s="114">
        <f t="shared" si="31"/>
        <v>0</v>
      </c>
      <c r="AO122" s="114">
        <f t="shared" si="31"/>
        <v>0</v>
      </c>
      <c r="AP122" s="114">
        <f t="shared" si="31"/>
        <v>0</v>
      </c>
      <c r="BH122" s="3"/>
    </row>
    <row r="123" spans="5:60" x14ac:dyDescent="0.25">
      <c r="F123" s="28" t="s">
        <v>512</v>
      </c>
      <c r="G123" s="28" t="s">
        <v>301</v>
      </c>
      <c r="J123" s="101">
        <f t="shared" ref="J123:AP123" si="32">J119 * (1 - J121)</f>
        <v>0</v>
      </c>
      <c r="K123" s="101">
        <f t="shared" si="32"/>
        <v>0</v>
      </c>
      <c r="L123" s="101">
        <f t="shared" si="32"/>
        <v>0</v>
      </c>
      <c r="M123" s="101">
        <f t="shared" si="32"/>
        <v>0</v>
      </c>
      <c r="N123" s="101">
        <f t="shared" si="32"/>
        <v>0</v>
      </c>
      <c r="O123" s="101">
        <f t="shared" si="32"/>
        <v>0</v>
      </c>
      <c r="P123" s="101">
        <f t="shared" si="32"/>
        <v>0</v>
      </c>
      <c r="Q123" s="101">
        <f t="shared" si="32"/>
        <v>0</v>
      </c>
      <c r="R123" s="101">
        <f t="shared" si="32"/>
        <v>0</v>
      </c>
      <c r="S123" s="101">
        <f t="shared" si="32"/>
        <v>0</v>
      </c>
      <c r="T123" s="101">
        <f t="shared" si="32"/>
        <v>0</v>
      </c>
      <c r="U123" s="101">
        <f t="shared" si="32"/>
        <v>0</v>
      </c>
      <c r="V123" s="101">
        <f t="shared" si="32"/>
        <v>0</v>
      </c>
      <c r="W123" s="101">
        <f t="shared" si="32"/>
        <v>0</v>
      </c>
      <c r="X123" s="101">
        <f t="shared" si="32"/>
        <v>0</v>
      </c>
      <c r="Y123" s="101">
        <f t="shared" si="32"/>
        <v>0</v>
      </c>
      <c r="Z123" s="101">
        <f t="shared" si="32"/>
        <v>0</v>
      </c>
      <c r="AA123" s="101">
        <f t="shared" si="32"/>
        <v>0</v>
      </c>
      <c r="AB123" s="101">
        <f t="shared" si="32"/>
        <v>0</v>
      </c>
      <c r="AC123" s="101">
        <f t="shared" si="32"/>
        <v>0</v>
      </c>
      <c r="AD123" s="101">
        <f t="shared" si="32"/>
        <v>0</v>
      </c>
      <c r="AE123" s="101">
        <f t="shared" si="32"/>
        <v>0</v>
      </c>
      <c r="AF123" s="101">
        <f t="shared" si="32"/>
        <v>0</v>
      </c>
      <c r="AG123" s="101">
        <f t="shared" si="32"/>
        <v>0</v>
      </c>
      <c r="AH123" s="101">
        <f t="shared" si="32"/>
        <v>0</v>
      </c>
      <c r="AI123" s="101">
        <f t="shared" si="32"/>
        <v>0</v>
      </c>
      <c r="AJ123" s="101">
        <f t="shared" si="32"/>
        <v>0</v>
      </c>
      <c r="AK123" s="101">
        <f t="shared" si="32"/>
        <v>0</v>
      </c>
      <c r="AL123" s="101">
        <f t="shared" si="32"/>
        <v>0</v>
      </c>
      <c r="AM123" s="101">
        <f t="shared" si="32"/>
        <v>0</v>
      </c>
      <c r="AN123" s="101">
        <f t="shared" si="32"/>
        <v>0</v>
      </c>
      <c r="AO123" s="101">
        <f t="shared" si="32"/>
        <v>0</v>
      </c>
      <c r="AP123" s="101">
        <f t="shared" si="32"/>
        <v>0</v>
      </c>
      <c r="BH123" s="3"/>
    </row>
    <row r="124" spans="5:60" x14ac:dyDescent="0.25">
      <c r="F124" s="67" t="s">
        <v>513</v>
      </c>
      <c r="G124" s="67" t="s">
        <v>301</v>
      </c>
      <c r="H124" s="37"/>
      <c r="I124" s="37"/>
      <c r="J124" s="103">
        <f t="shared" ref="J124:AP124" si="33">J120 * (1 - J122)</f>
        <v>0</v>
      </c>
      <c r="K124" s="103">
        <f t="shared" si="33"/>
        <v>0</v>
      </c>
      <c r="L124" s="103">
        <f t="shared" si="33"/>
        <v>0</v>
      </c>
      <c r="M124" s="103">
        <f t="shared" si="33"/>
        <v>0</v>
      </c>
      <c r="N124" s="103">
        <f t="shared" si="33"/>
        <v>0</v>
      </c>
      <c r="O124" s="103">
        <f t="shared" si="33"/>
        <v>0</v>
      </c>
      <c r="P124" s="103">
        <f t="shared" si="33"/>
        <v>0</v>
      </c>
      <c r="Q124" s="103">
        <f t="shared" si="33"/>
        <v>0</v>
      </c>
      <c r="R124" s="103">
        <f t="shared" si="33"/>
        <v>0</v>
      </c>
      <c r="S124" s="103">
        <f t="shared" si="33"/>
        <v>0</v>
      </c>
      <c r="T124" s="103">
        <f t="shared" si="33"/>
        <v>0</v>
      </c>
      <c r="U124" s="103">
        <f t="shared" si="33"/>
        <v>0</v>
      </c>
      <c r="V124" s="103">
        <f t="shared" si="33"/>
        <v>0</v>
      </c>
      <c r="W124" s="103">
        <f t="shared" si="33"/>
        <v>0</v>
      </c>
      <c r="X124" s="103">
        <f t="shared" si="33"/>
        <v>0</v>
      </c>
      <c r="Y124" s="103">
        <f t="shared" si="33"/>
        <v>0</v>
      </c>
      <c r="Z124" s="103">
        <f t="shared" si="33"/>
        <v>0</v>
      </c>
      <c r="AA124" s="103">
        <f t="shared" si="33"/>
        <v>0</v>
      </c>
      <c r="AB124" s="103">
        <f t="shared" si="33"/>
        <v>0</v>
      </c>
      <c r="AC124" s="103">
        <f t="shared" si="33"/>
        <v>0</v>
      </c>
      <c r="AD124" s="103">
        <f t="shared" si="33"/>
        <v>0</v>
      </c>
      <c r="AE124" s="103">
        <f t="shared" si="33"/>
        <v>0</v>
      </c>
      <c r="AF124" s="103">
        <f t="shared" si="33"/>
        <v>0</v>
      </c>
      <c r="AG124" s="103">
        <f t="shared" si="33"/>
        <v>0</v>
      </c>
      <c r="AH124" s="103">
        <f t="shared" si="33"/>
        <v>0</v>
      </c>
      <c r="AI124" s="103">
        <f t="shared" si="33"/>
        <v>0</v>
      </c>
      <c r="AJ124" s="103">
        <f t="shared" si="33"/>
        <v>0</v>
      </c>
      <c r="AK124" s="103">
        <f t="shared" si="33"/>
        <v>0</v>
      </c>
      <c r="AL124" s="103">
        <f t="shared" si="33"/>
        <v>0</v>
      </c>
      <c r="AM124" s="103">
        <f t="shared" si="33"/>
        <v>0</v>
      </c>
      <c r="AN124" s="103">
        <f t="shared" si="33"/>
        <v>0</v>
      </c>
      <c r="AO124" s="103">
        <f t="shared" si="33"/>
        <v>0</v>
      </c>
      <c r="AP124" s="103">
        <f t="shared" si="33"/>
        <v>0</v>
      </c>
      <c r="BH124" s="3"/>
    </row>
    <row r="125" spans="5:60" x14ac:dyDescent="0.25">
      <c r="F125" s="28" t="s">
        <v>514</v>
      </c>
      <c r="G125" s="28" t="s">
        <v>301</v>
      </c>
      <c r="J125" s="124">
        <f t="shared" ref="J125:AP125" si="34">J118 + J123 + J124</f>
        <v>0</v>
      </c>
      <c r="K125" s="124">
        <f t="shared" si="34"/>
        <v>0</v>
      </c>
      <c r="L125" s="124">
        <f t="shared" si="34"/>
        <v>0</v>
      </c>
      <c r="M125" s="124">
        <f t="shared" si="34"/>
        <v>0</v>
      </c>
      <c r="N125" s="124">
        <f t="shared" si="34"/>
        <v>0</v>
      </c>
      <c r="O125" s="124">
        <f t="shared" si="34"/>
        <v>0</v>
      </c>
      <c r="P125" s="124">
        <f t="shared" si="34"/>
        <v>0</v>
      </c>
      <c r="Q125" s="124">
        <f t="shared" si="34"/>
        <v>0</v>
      </c>
      <c r="R125" s="124">
        <f t="shared" si="34"/>
        <v>0</v>
      </c>
      <c r="S125" s="124">
        <f t="shared" si="34"/>
        <v>0</v>
      </c>
      <c r="T125" s="124">
        <f t="shared" si="34"/>
        <v>0</v>
      </c>
      <c r="U125" s="124">
        <f t="shared" si="34"/>
        <v>19860.688270861865</v>
      </c>
      <c r="V125" s="124">
        <f t="shared" si="34"/>
        <v>1241.120857125464</v>
      </c>
      <c r="W125" s="124">
        <f t="shared" si="34"/>
        <v>11113.625162499586</v>
      </c>
      <c r="X125" s="124">
        <f t="shared" si="34"/>
        <v>0</v>
      </c>
      <c r="Y125" s="124">
        <f t="shared" si="34"/>
        <v>0</v>
      </c>
      <c r="Z125" s="124">
        <f t="shared" si="34"/>
        <v>0</v>
      </c>
      <c r="AA125" s="124">
        <f t="shared" si="34"/>
        <v>0</v>
      </c>
      <c r="AB125" s="124">
        <f t="shared" si="34"/>
        <v>0</v>
      </c>
      <c r="AC125" s="124">
        <f t="shared" si="34"/>
        <v>0</v>
      </c>
      <c r="AD125" s="124">
        <f t="shared" si="34"/>
        <v>0</v>
      </c>
      <c r="AE125" s="124">
        <f t="shared" si="34"/>
        <v>0</v>
      </c>
      <c r="AF125" s="124">
        <f t="shared" si="34"/>
        <v>0</v>
      </c>
      <c r="AG125" s="124">
        <f t="shared" si="34"/>
        <v>0</v>
      </c>
      <c r="AH125" s="124">
        <f t="shared" si="34"/>
        <v>0</v>
      </c>
      <c r="AI125" s="124">
        <f t="shared" si="34"/>
        <v>0</v>
      </c>
      <c r="AJ125" s="124">
        <f t="shared" si="34"/>
        <v>0</v>
      </c>
      <c r="AK125" s="124">
        <f t="shared" si="34"/>
        <v>0</v>
      </c>
      <c r="AL125" s="124">
        <f t="shared" si="34"/>
        <v>0</v>
      </c>
      <c r="AM125" s="124">
        <f t="shared" si="34"/>
        <v>0</v>
      </c>
      <c r="AN125" s="124">
        <f t="shared" si="34"/>
        <v>0</v>
      </c>
      <c r="AO125" s="124">
        <f t="shared" si="34"/>
        <v>0</v>
      </c>
      <c r="AP125" s="124">
        <f t="shared" si="34"/>
        <v>0</v>
      </c>
      <c r="BH125" s="3"/>
    </row>
    <row r="126" spans="5:60" x14ac:dyDescent="0.25">
      <c r="E126" s="32"/>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32" t="s">
        <v>303</v>
      </c>
      <c r="I127" t="s">
        <v>190</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AR127" t="s">
        <v>368</v>
      </c>
      <c r="BH127" s="3"/>
    </row>
    <row r="128" spans="5:60" x14ac:dyDescent="0.25">
      <c r="E128" s="32"/>
      <c r="J128" s="92"/>
      <c r="K128" s="92"/>
      <c r="L128" s="92"/>
      <c r="M128" s="92"/>
      <c r="N128" s="92"/>
      <c r="O128" s="92"/>
      <c r="P128" s="92"/>
      <c r="Q128" s="92"/>
      <c r="R128" s="92"/>
      <c r="S128" s="92"/>
      <c r="T128" s="92"/>
      <c r="U128" s="92"/>
      <c r="V128" s="92"/>
      <c r="W128" s="92"/>
      <c r="X128" s="92"/>
      <c r="Y128" s="92"/>
      <c r="Z128" s="92"/>
      <c r="AA128" s="92"/>
      <c r="AB128" s="92"/>
      <c r="AC128" s="92"/>
      <c r="AD128" s="92"/>
      <c r="AE128" s="92"/>
      <c r="AF128" s="92"/>
      <c r="AG128" s="92"/>
      <c r="AH128" s="92"/>
      <c r="AI128" s="92"/>
      <c r="AJ128" s="92"/>
      <c r="AK128" s="92"/>
      <c r="AL128" s="92"/>
      <c r="AM128" s="92"/>
      <c r="AN128" s="92"/>
      <c r="AO128" s="92"/>
      <c r="AP128" s="92"/>
      <c r="BH128" s="3"/>
    </row>
    <row r="129" spans="2:60" x14ac:dyDescent="0.25">
      <c r="F129" s="28" t="s">
        <v>507</v>
      </c>
      <c r="G129" s="28" t="s">
        <v>304</v>
      </c>
      <c r="J129" s="123">
        <f>'Inputs by customer type'!J27</f>
        <v>0</v>
      </c>
      <c r="K129" s="123">
        <f>'Inputs by customer type'!K27</f>
        <v>0</v>
      </c>
      <c r="L129" s="123">
        <f>'Inputs by customer type'!L27</f>
        <v>0</v>
      </c>
      <c r="M129" s="123">
        <f>'Inputs by customer type'!M27</f>
        <v>0</v>
      </c>
      <c r="N129" s="123">
        <f>'Inputs by customer type'!N27</f>
        <v>0</v>
      </c>
      <c r="O129" s="123">
        <f>'Inputs by customer type'!O27</f>
        <v>0</v>
      </c>
      <c r="P129" s="123">
        <f>'Inputs by customer type'!P27</f>
        <v>0</v>
      </c>
      <c r="Q129" s="123">
        <f>'Inputs by customer type'!Q27</f>
        <v>0</v>
      </c>
      <c r="R129" s="123">
        <f>'Inputs by customer type'!R27</f>
        <v>0</v>
      </c>
      <c r="S129" s="123">
        <f>'Inputs by customer type'!S27</f>
        <v>0</v>
      </c>
      <c r="T129" s="123">
        <f>'Inputs by customer type'!T27</f>
        <v>0</v>
      </c>
      <c r="U129" s="123">
        <f>'Inputs by customer type'!U27</f>
        <v>135320.58640173872</v>
      </c>
      <c r="V129" s="123">
        <f>'Inputs by customer type'!V27</f>
        <v>8352.9120220057539</v>
      </c>
      <c r="W129" s="123">
        <f>'Inputs by customer type'!W27</f>
        <v>159557.90273842067</v>
      </c>
      <c r="X129" s="123">
        <f>'Inputs by customer type'!X27</f>
        <v>0</v>
      </c>
      <c r="Y129" s="123">
        <f>'Inputs by customer type'!Y27</f>
        <v>0</v>
      </c>
      <c r="Z129" s="123">
        <f>'Inputs by customer type'!Z27</f>
        <v>0</v>
      </c>
      <c r="AA129" s="123">
        <f>'Inputs by customer type'!AA27</f>
        <v>0</v>
      </c>
      <c r="AB129" s="123">
        <f>'Inputs by customer type'!AB27</f>
        <v>0</v>
      </c>
      <c r="AC129" s="123">
        <f>'Inputs by customer type'!AC27</f>
        <v>0</v>
      </c>
      <c r="AD129" s="123">
        <f>'Inputs by customer type'!AD27</f>
        <v>0</v>
      </c>
      <c r="AE129" s="123">
        <f>'Inputs by customer type'!AE27</f>
        <v>12047.748992658477</v>
      </c>
      <c r="AF129" s="123">
        <f>'Inputs by customer type'!AF27</f>
        <v>0</v>
      </c>
      <c r="AG129" s="123">
        <f>'Inputs by customer type'!AG27</f>
        <v>1323.8326474736825</v>
      </c>
      <c r="AH129" s="123">
        <f>'Inputs by customer type'!AH27</f>
        <v>0</v>
      </c>
      <c r="AI129" s="123">
        <f>'Inputs by customer type'!AI27</f>
        <v>0</v>
      </c>
      <c r="AJ129" s="123">
        <f>'Inputs by customer type'!AJ27</f>
        <v>0</v>
      </c>
      <c r="AK129" s="123">
        <f>'Inputs by customer type'!AK27</f>
        <v>0</v>
      </c>
      <c r="AL129" s="123">
        <f>'Inputs by customer type'!AL27</f>
        <v>0</v>
      </c>
      <c r="AM129" s="123">
        <f>'Inputs by customer type'!AM27</f>
        <v>25810.491778498552</v>
      </c>
      <c r="AN129" s="123">
        <f>'Inputs by customer type'!AN27</f>
        <v>0</v>
      </c>
      <c r="AO129" s="123">
        <f>'Inputs by customer type'!AO27</f>
        <v>6845.2281192707514</v>
      </c>
      <c r="AP129" s="123">
        <f>'Inputs by customer type'!AP27</f>
        <v>0</v>
      </c>
      <c r="BH129" s="3"/>
    </row>
    <row r="130" spans="2:60" x14ac:dyDescent="0.25">
      <c r="F130" s="28" t="s">
        <v>508</v>
      </c>
      <c r="G130" s="28" t="s">
        <v>304</v>
      </c>
      <c r="J130" s="123">
        <f>'Inputs by customer type'!J36</f>
        <v>0</v>
      </c>
      <c r="K130" s="123">
        <f>'Inputs by customer type'!K36</f>
        <v>0</v>
      </c>
      <c r="L130" s="123">
        <f>'Inputs by customer type'!L36</f>
        <v>0</v>
      </c>
      <c r="M130" s="123">
        <f>'Inputs by customer type'!M36</f>
        <v>0</v>
      </c>
      <c r="N130" s="123">
        <f>'Inputs by customer type'!N36</f>
        <v>0</v>
      </c>
      <c r="O130" s="123">
        <f>'Inputs by customer type'!O36</f>
        <v>0</v>
      </c>
      <c r="P130" s="123">
        <f>'Inputs by customer type'!P36</f>
        <v>0</v>
      </c>
      <c r="Q130" s="123">
        <f>'Inputs by customer type'!Q36</f>
        <v>0</v>
      </c>
      <c r="R130" s="123">
        <f>'Inputs by customer type'!R36</f>
        <v>0</v>
      </c>
      <c r="S130" s="123">
        <f>'Inputs by customer type'!S36</f>
        <v>0</v>
      </c>
      <c r="T130" s="123">
        <f>'Inputs by customer type'!T36</f>
        <v>0</v>
      </c>
      <c r="U130" s="123">
        <f>'Inputs by customer type'!U36</f>
        <v>22.668209269518417</v>
      </c>
      <c r="V130" s="123">
        <f>'Inputs by customer type'!V36</f>
        <v>0</v>
      </c>
      <c r="W130" s="123">
        <f>'Inputs by customer type'!W36</f>
        <v>0</v>
      </c>
      <c r="X130" s="123">
        <f>'Inputs by customer type'!X36</f>
        <v>0</v>
      </c>
      <c r="Y130" s="123">
        <f>'Inputs by customer type'!Y36</f>
        <v>0</v>
      </c>
      <c r="Z130" s="123">
        <f>'Inputs by customer type'!Z36</f>
        <v>0</v>
      </c>
      <c r="AA130" s="123">
        <f>'Inputs by customer type'!AA36</f>
        <v>0</v>
      </c>
      <c r="AB130" s="123">
        <f>'Inputs by customer type'!AB36</f>
        <v>0</v>
      </c>
      <c r="AC130" s="123">
        <f>'Inputs by customer type'!AC36</f>
        <v>0</v>
      </c>
      <c r="AD130" s="123">
        <f>'Inputs by customer type'!AD36</f>
        <v>0</v>
      </c>
      <c r="AE130" s="123">
        <f>'Inputs by customer type'!AE36</f>
        <v>0</v>
      </c>
      <c r="AF130" s="123">
        <f>'Inputs by customer type'!AF36</f>
        <v>0</v>
      </c>
      <c r="AG130" s="123">
        <f>'Inputs by customer type'!AG36</f>
        <v>0</v>
      </c>
      <c r="AH130" s="123">
        <f>'Inputs by customer type'!AH36</f>
        <v>0</v>
      </c>
      <c r="AI130" s="123">
        <f>'Inputs by customer type'!AI36</f>
        <v>0</v>
      </c>
      <c r="AJ130" s="123">
        <f>'Inputs by customer type'!AJ36</f>
        <v>0</v>
      </c>
      <c r="AK130" s="123">
        <f>'Inputs by customer type'!AK36</f>
        <v>0</v>
      </c>
      <c r="AL130" s="123">
        <f>'Inputs by customer type'!AL36</f>
        <v>0</v>
      </c>
      <c r="AM130" s="123">
        <f>'Inputs by customer type'!AM36</f>
        <v>0</v>
      </c>
      <c r="AN130" s="123">
        <f>'Inputs by customer type'!AN36</f>
        <v>0</v>
      </c>
      <c r="AO130" s="123">
        <f>'Inputs by customer type'!AO36</f>
        <v>0</v>
      </c>
      <c r="AP130" s="123">
        <f>'Inputs by customer type'!AP36</f>
        <v>0</v>
      </c>
      <c r="BH130" s="3"/>
    </row>
    <row r="131" spans="2:60" x14ac:dyDescent="0.25">
      <c r="F131" s="28" t="s">
        <v>509</v>
      </c>
      <c r="G131" s="28" t="s">
        <v>304</v>
      </c>
      <c r="J131" s="123">
        <f>'Inputs by customer type'!J45</f>
        <v>0</v>
      </c>
      <c r="K131" s="123">
        <f>'Inputs by customer type'!K45</f>
        <v>0</v>
      </c>
      <c r="L131" s="123">
        <f>'Inputs by customer type'!L45</f>
        <v>0</v>
      </c>
      <c r="M131" s="123">
        <f>'Inputs by customer type'!M45</f>
        <v>0</v>
      </c>
      <c r="N131" s="123">
        <f>'Inputs by customer type'!N45</f>
        <v>0</v>
      </c>
      <c r="O131" s="123">
        <f>'Inputs by customer type'!O45</f>
        <v>0</v>
      </c>
      <c r="P131" s="123">
        <f>'Inputs by customer type'!P45</f>
        <v>0</v>
      </c>
      <c r="Q131" s="123">
        <f>'Inputs by customer type'!Q45</f>
        <v>0</v>
      </c>
      <c r="R131" s="123">
        <f>'Inputs by customer type'!R45</f>
        <v>0</v>
      </c>
      <c r="S131" s="123">
        <f>'Inputs by customer type'!S45</f>
        <v>0</v>
      </c>
      <c r="T131" s="123">
        <f>'Inputs by customer type'!T45</f>
        <v>0</v>
      </c>
      <c r="U131" s="123">
        <f>'Inputs by customer type'!U45</f>
        <v>88.821499249387699</v>
      </c>
      <c r="V131" s="123">
        <f>'Inputs by customer type'!V45</f>
        <v>0</v>
      </c>
      <c r="W131" s="123">
        <f>'Inputs by customer type'!W45</f>
        <v>0</v>
      </c>
      <c r="X131" s="123">
        <f>'Inputs by customer type'!X45</f>
        <v>0</v>
      </c>
      <c r="Y131" s="123">
        <f>'Inputs by customer type'!Y45</f>
        <v>0</v>
      </c>
      <c r="Z131" s="123">
        <f>'Inputs by customer type'!Z45</f>
        <v>0</v>
      </c>
      <c r="AA131" s="123">
        <f>'Inputs by customer type'!AA45</f>
        <v>0</v>
      </c>
      <c r="AB131" s="123">
        <f>'Inputs by customer type'!AB45</f>
        <v>0</v>
      </c>
      <c r="AC131" s="123">
        <f>'Inputs by customer type'!AC45</f>
        <v>0</v>
      </c>
      <c r="AD131" s="123">
        <f>'Inputs by customer type'!AD45</f>
        <v>0</v>
      </c>
      <c r="AE131" s="123">
        <f>'Inputs by customer type'!AE45</f>
        <v>0</v>
      </c>
      <c r="AF131" s="123">
        <f>'Inputs by customer type'!AF45</f>
        <v>0</v>
      </c>
      <c r="AG131" s="123">
        <f>'Inputs by customer type'!AG45</f>
        <v>0</v>
      </c>
      <c r="AH131" s="123">
        <f>'Inputs by customer type'!AH45</f>
        <v>0</v>
      </c>
      <c r="AI131" s="123">
        <f>'Inputs by customer type'!AI45</f>
        <v>0</v>
      </c>
      <c r="AJ131" s="123">
        <f>'Inputs by customer type'!AJ45</f>
        <v>0</v>
      </c>
      <c r="AK131" s="123">
        <f>'Inputs by customer type'!AK45</f>
        <v>0</v>
      </c>
      <c r="AL131" s="123">
        <f>'Inputs by customer type'!AL45</f>
        <v>0</v>
      </c>
      <c r="AM131" s="123">
        <f>'Inputs by customer type'!AM45</f>
        <v>0</v>
      </c>
      <c r="AN131" s="123">
        <f>'Inputs by customer type'!AN45</f>
        <v>0</v>
      </c>
      <c r="AO131" s="123">
        <f>'Inputs by customer type'!AO45</f>
        <v>0</v>
      </c>
      <c r="AP131" s="123">
        <f>'Inputs by customer type'!AP45</f>
        <v>0</v>
      </c>
      <c r="BH131" s="3"/>
    </row>
    <row r="132" spans="2:60" x14ac:dyDescent="0.25">
      <c r="F132" s="28" t="s">
        <v>510</v>
      </c>
      <c r="G132" s="28" t="s">
        <v>203</v>
      </c>
      <c r="J132" s="114">
        <f t="shared" ref="J132:AP132" si="35">IF(J$43, J$49, J$34)</f>
        <v>0.29399702125357685</v>
      </c>
      <c r="K132" s="114">
        <f t="shared" si="35"/>
        <v>0.29399702125357685</v>
      </c>
      <c r="L132" s="114">
        <f t="shared" si="35"/>
        <v>0.29399702125357685</v>
      </c>
      <c r="M132" s="114">
        <f t="shared" si="35"/>
        <v>0.29399702125357685</v>
      </c>
      <c r="N132" s="114">
        <f t="shared" si="35"/>
        <v>0.29399702125357685</v>
      </c>
      <c r="O132" s="114">
        <f t="shared" si="35"/>
        <v>0.29399702125357685</v>
      </c>
      <c r="P132" s="114">
        <f t="shared" si="35"/>
        <v>0.29399702125357685</v>
      </c>
      <c r="Q132" s="114">
        <f t="shared" si="35"/>
        <v>0</v>
      </c>
      <c r="R132" s="114">
        <f t="shared" si="35"/>
        <v>0</v>
      </c>
      <c r="S132" s="114">
        <f t="shared" si="35"/>
        <v>0.29399702125357685</v>
      </c>
      <c r="T132" s="114">
        <f t="shared" si="35"/>
        <v>0.29399702125357685</v>
      </c>
      <c r="U132" s="114">
        <f t="shared" si="35"/>
        <v>0.29399702125357685</v>
      </c>
      <c r="V132" s="114">
        <f t="shared" si="35"/>
        <v>0</v>
      </c>
      <c r="W132" s="114">
        <f t="shared" si="35"/>
        <v>0</v>
      </c>
      <c r="X132" s="114">
        <f t="shared" si="35"/>
        <v>0.29399702125357685</v>
      </c>
      <c r="Y132" s="114">
        <f t="shared" si="35"/>
        <v>0.29399702125357685</v>
      </c>
      <c r="Z132" s="114">
        <f t="shared" si="35"/>
        <v>0.29399702125357685</v>
      </c>
      <c r="AA132" s="114">
        <f t="shared" si="35"/>
        <v>0.29399702125357685</v>
      </c>
      <c r="AB132" s="114">
        <f t="shared" si="35"/>
        <v>0.29399702125357685</v>
      </c>
      <c r="AC132" s="114">
        <f t="shared" si="35"/>
        <v>0</v>
      </c>
      <c r="AD132" s="114">
        <f t="shared" si="35"/>
        <v>0</v>
      </c>
      <c r="AE132" s="114">
        <f t="shared" si="35"/>
        <v>0</v>
      </c>
      <c r="AF132" s="114">
        <f t="shared" si="35"/>
        <v>0</v>
      </c>
      <c r="AG132" s="114">
        <f t="shared" si="35"/>
        <v>0</v>
      </c>
      <c r="AH132" s="114">
        <f t="shared" si="35"/>
        <v>0</v>
      </c>
      <c r="AI132" s="114">
        <f t="shared" si="35"/>
        <v>0</v>
      </c>
      <c r="AJ132" s="114">
        <f t="shared" si="35"/>
        <v>0</v>
      </c>
      <c r="AK132" s="114">
        <f t="shared" si="35"/>
        <v>0</v>
      </c>
      <c r="AL132" s="114">
        <f t="shared" si="35"/>
        <v>0</v>
      </c>
      <c r="AM132" s="114">
        <f t="shared" si="35"/>
        <v>0</v>
      </c>
      <c r="AN132" s="114">
        <f t="shared" si="35"/>
        <v>0</v>
      </c>
      <c r="AO132" s="114">
        <f t="shared" si="35"/>
        <v>0</v>
      </c>
      <c r="AP132" s="114">
        <f t="shared" si="35"/>
        <v>0</v>
      </c>
      <c r="BH132" s="3"/>
    </row>
    <row r="133" spans="2:60" x14ac:dyDescent="0.25">
      <c r="F133" s="28" t="s">
        <v>511</v>
      </c>
      <c r="G133" s="28" t="s">
        <v>203</v>
      </c>
      <c r="J133" s="114">
        <f t="shared" ref="J133:AP133" si="36">IF(J$43, J$49, J$35)</f>
        <v>0.58159328142725919</v>
      </c>
      <c r="K133" s="114">
        <f t="shared" si="36"/>
        <v>0.58159328142725919</v>
      </c>
      <c r="L133" s="114">
        <f t="shared" si="36"/>
        <v>0.58159328142725919</v>
      </c>
      <c r="M133" s="114">
        <f t="shared" si="36"/>
        <v>0.58159328142725919</v>
      </c>
      <c r="N133" s="114">
        <f t="shared" si="36"/>
        <v>0.58159328142725919</v>
      </c>
      <c r="O133" s="114">
        <f t="shared" si="36"/>
        <v>0.58159328142725919</v>
      </c>
      <c r="P133" s="114">
        <f t="shared" si="36"/>
        <v>0.58159328142725919</v>
      </c>
      <c r="Q133" s="114">
        <f t="shared" si="36"/>
        <v>0</v>
      </c>
      <c r="R133" s="114">
        <f t="shared" si="36"/>
        <v>0</v>
      </c>
      <c r="S133" s="114">
        <f t="shared" si="36"/>
        <v>0.58159328142725919</v>
      </c>
      <c r="T133" s="114">
        <f t="shared" si="36"/>
        <v>0.58159328142725919</v>
      </c>
      <c r="U133" s="114">
        <f t="shared" si="36"/>
        <v>0.58159328142725919</v>
      </c>
      <c r="V133" s="114">
        <f t="shared" si="36"/>
        <v>0.39416189548233249</v>
      </c>
      <c r="W133" s="114">
        <f t="shared" si="36"/>
        <v>0.33724217358094977</v>
      </c>
      <c r="X133" s="114">
        <f t="shared" si="36"/>
        <v>0.58159328142725919</v>
      </c>
      <c r="Y133" s="114">
        <f t="shared" si="36"/>
        <v>0.58159328142725919</v>
      </c>
      <c r="Z133" s="114">
        <f t="shared" si="36"/>
        <v>0.58159328142725919</v>
      </c>
      <c r="AA133" s="114">
        <f t="shared" si="36"/>
        <v>0.58159328142725919</v>
      </c>
      <c r="AB133" s="114">
        <f t="shared" si="36"/>
        <v>0.58159328142725919</v>
      </c>
      <c r="AC133" s="114">
        <f t="shared" si="36"/>
        <v>0</v>
      </c>
      <c r="AD133" s="114">
        <f t="shared" si="36"/>
        <v>0</v>
      </c>
      <c r="AE133" s="114">
        <f t="shared" si="36"/>
        <v>0</v>
      </c>
      <c r="AF133" s="114">
        <f t="shared" si="36"/>
        <v>0</v>
      </c>
      <c r="AG133" s="114">
        <f t="shared" si="36"/>
        <v>0</v>
      </c>
      <c r="AH133" s="114">
        <f t="shared" si="36"/>
        <v>0</v>
      </c>
      <c r="AI133" s="114">
        <f t="shared" si="36"/>
        <v>0</v>
      </c>
      <c r="AJ133" s="114">
        <f t="shared" si="36"/>
        <v>0</v>
      </c>
      <c r="AK133" s="114">
        <f t="shared" si="36"/>
        <v>0</v>
      </c>
      <c r="AL133" s="114">
        <f t="shared" si="36"/>
        <v>0</v>
      </c>
      <c r="AM133" s="114">
        <f t="shared" si="36"/>
        <v>0</v>
      </c>
      <c r="AN133" s="114">
        <f t="shared" si="36"/>
        <v>0</v>
      </c>
      <c r="AO133" s="114">
        <f t="shared" si="36"/>
        <v>0</v>
      </c>
      <c r="AP133" s="114">
        <f t="shared" si="36"/>
        <v>0</v>
      </c>
      <c r="BH133" s="3"/>
    </row>
    <row r="134" spans="2:60" x14ac:dyDescent="0.25">
      <c r="F134" s="28" t="s">
        <v>512</v>
      </c>
      <c r="G134" s="28" t="s">
        <v>304</v>
      </c>
      <c r="J134" s="101">
        <f t="shared" ref="J134:AP134" si="37">J130 * (1 - J132)</f>
        <v>0</v>
      </c>
      <c r="K134" s="101">
        <f t="shared" si="37"/>
        <v>0</v>
      </c>
      <c r="L134" s="101">
        <f t="shared" si="37"/>
        <v>0</v>
      </c>
      <c r="M134" s="101">
        <f t="shared" si="37"/>
        <v>0</v>
      </c>
      <c r="N134" s="101">
        <f t="shared" si="37"/>
        <v>0</v>
      </c>
      <c r="O134" s="101">
        <f t="shared" si="37"/>
        <v>0</v>
      </c>
      <c r="P134" s="101">
        <f t="shared" si="37"/>
        <v>0</v>
      </c>
      <c r="Q134" s="101">
        <f t="shared" si="37"/>
        <v>0</v>
      </c>
      <c r="R134" s="101">
        <f t="shared" si="37"/>
        <v>0</v>
      </c>
      <c r="S134" s="101">
        <f t="shared" si="37"/>
        <v>0</v>
      </c>
      <c r="T134" s="101">
        <f t="shared" si="37"/>
        <v>0</v>
      </c>
      <c r="U134" s="101">
        <f t="shared" si="37"/>
        <v>16.003823267127284</v>
      </c>
      <c r="V134" s="101">
        <f t="shared" si="37"/>
        <v>0</v>
      </c>
      <c r="W134" s="101">
        <f t="shared" si="37"/>
        <v>0</v>
      </c>
      <c r="X134" s="101">
        <f t="shared" si="37"/>
        <v>0</v>
      </c>
      <c r="Y134" s="101">
        <f t="shared" si="37"/>
        <v>0</v>
      </c>
      <c r="Z134" s="101">
        <f t="shared" si="37"/>
        <v>0</v>
      </c>
      <c r="AA134" s="101">
        <f t="shared" si="37"/>
        <v>0</v>
      </c>
      <c r="AB134" s="101">
        <f t="shared" si="37"/>
        <v>0</v>
      </c>
      <c r="AC134" s="101">
        <f t="shared" si="37"/>
        <v>0</v>
      </c>
      <c r="AD134" s="101">
        <f t="shared" si="37"/>
        <v>0</v>
      </c>
      <c r="AE134" s="101">
        <f t="shared" si="37"/>
        <v>0</v>
      </c>
      <c r="AF134" s="101">
        <f t="shared" si="37"/>
        <v>0</v>
      </c>
      <c r="AG134" s="101">
        <f t="shared" si="37"/>
        <v>0</v>
      </c>
      <c r="AH134" s="101">
        <f t="shared" si="37"/>
        <v>0</v>
      </c>
      <c r="AI134" s="101">
        <f t="shared" si="37"/>
        <v>0</v>
      </c>
      <c r="AJ134" s="101">
        <f t="shared" si="37"/>
        <v>0</v>
      </c>
      <c r="AK134" s="101">
        <f t="shared" si="37"/>
        <v>0</v>
      </c>
      <c r="AL134" s="101">
        <f t="shared" si="37"/>
        <v>0</v>
      </c>
      <c r="AM134" s="101">
        <f t="shared" si="37"/>
        <v>0</v>
      </c>
      <c r="AN134" s="101">
        <f t="shared" si="37"/>
        <v>0</v>
      </c>
      <c r="AO134" s="101">
        <f t="shared" si="37"/>
        <v>0</v>
      </c>
      <c r="AP134" s="101">
        <f t="shared" si="37"/>
        <v>0</v>
      </c>
      <c r="BH134" s="3"/>
    </row>
    <row r="135" spans="2:60" x14ac:dyDescent="0.25">
      <c r="F135" s="67" t="s">
        <v>513</v>
      </c>
      <c r="G135" s="67" t="s">
        <v>304</v>
      </c>
      <c r="H135" s="37"/>
      <c r="I135" s="37"/>
      <c r="J135" s="103">
        <f t="shared" ref="J135:AP135" si="38">J131 * (1 - J133)</f>
        <v>0</v>
      </c>
      <c r="K135" s="103">
        <f t="shared" si="38"/>
        <v>0</v>
      </c>
      <c r="L135" s="103">
        <f t="shared" si="38"/>
        <v>0</v>
      </c>
      <c r="M135" s="103">
        <f t="shared" si="38"/>
        <v>0</v>
      </c>
      <c r="N135" s="103">
        <f t="shared" si="38"/>
        <v>0</v>
      </c>
      <c r="O135" s="103">
        <f t="shared" si="38"/>
        <v>0</v>
      </c>
      <c r="P135" s="103">
        <f t="shared" si="38"/>
        <v>0</v>
      </c>
      <c r="Q135" s="103">
        <f t="shared" si="38"/>
        <v>0</v>
      </c>
      <c r="R135" s="103">
        <f t="shared" si="38"/>
        <v>0</v>
      </c>
      <c r="S135" s="103">
        <f t="shared" si="38"/>
        <v>0</v>
      </c>
      <c r="T135" s="103">
        <f t="shared" si="38"/>
        <v>0</v>
      </c>
      <c r="U135" s="103">
        <f t="shared" si="38"/>
        <v>37.163512039647465</v>
      </c>
      <c r="V135" s="103">
        <f t="shared" si="38"/>
        <v>0</v>
      </c>
      <c r="W135" s="103">
        <f t="shared" si="38"/>
        <v>0</v>
      </c>
      <c r="X135" s="103">
        <f t="shared" si="38"/>
        <v>0</v>
      </c>
      <c r="Y135" s="103">
        <f t="shared" si="38"/>
        <v>0</v>
      </c>
      <c r="Z135" s="103">
        <f t="shared" si="38"/>
        <v>0</v>
      </c>
      <c r="AA135" s="103">
        <f t="shared" si="38"/>
        <v>0</v>
      </c>
      <c r="AB135" s="103">
        <f t="shared" si="38"/>
        <v>0</v>
      </c>
      <c r="AC135" s="103">
        <f t="shared" si="38"/>
        <v>0</v>
      </c>
      <c r="AD135" s="103">
        <f t="shared" si="38"/>
        <v>0</v>
      </c>
      <c r="AE135" s="103">
        <f t="shared" si="38"/>
        <v>0</v>
      </c>
      <c r="AF135" s="103">
        <f t="shared" si="38"/>
        <v>0</v>
      </c>
      <c r="AG135" s="103">
        <f t="shared" si="38"/>
        <v>0</v>
      </c>
      <c r="AH135" s="103">
        <f t="shared" si="38"/>
        <v>0</v>
      </c>
      <c r="AI135" s="103">
        <f t="shared" si="38"/>
        <v>0</v>
      </c>
      <c r="AJ135" s="103">
        <f t="shared" si="38"/>
        <v>0</v>
      </c>
      <c r="AK135" s="103">
        <f t="shared" si="38"/>
        <v>0</v>
      </c>
      <c r="AL135" s="103">
        <f t="shared" si="38"/>
        <v>0</v>
      </c>
      <c r="AM135" s="103">
        <f t="shared" si="38"/>
        <v>0</v>
      </c>
      <c r="AN135" s="103">
        <f t="shared" si="38"/>
        <v>0</v>
      </c>
      <c r="AO135" s="103">
        <f t="shared" si="38"/>
        <v>0</v>
      </c>
      <c r="AP135" s="103">
        <f t="shared" si="38"/>
        <v>0</v>
      </c>
      <c r="BH135" s="3"/>
    </row>
    <row r="136" spans="2:60" x14ac:dyDescent="0.25">
      <c r="F136" s="28" t="s">
        <v>514</v>
      </c>
      <c r="G136" s="28" t="s">
        <v>304</v>
      </c>
      <c r="J136" s="124">
        <f t="shared" ref="J136:AP136" si="39">J129 + J134 + J135</f>
        <v>0</v>
      </c>
      <c r="K136" s="124">
        <f t="shared" si="39"/>
        <v>0</v>
      </c>
      <c r="L136" s="124">
        <f t="shared" si="39"/>
        <v>0</v>
      </c>
      <c r="M136" s="124">
        <f t="shared" si="39"/>
        <v>0</v>
      </c>
      <c r="N136" s="124">
        <f t="shared" si="39"/>
        <v>0</v>
      </c>
      <c r="O136" s="124">
        <f t="shared" si="39"/>
        <v>0</v>
      </c>
      <c r="P136" s="124">
        <f t="shared" si="39"/>
        <v>0</v>
      </c>
      <c r="Q136" s="124">
        <f t="shared" si="39"/>
        <v>0</v>
      </c>
      <c r="R136" s="124">
        <f t="shared" si="39"/>
        <v>0</v>
      </c>
      <c r="S136" s="124">
        <f t="shared" si="39"/>
        <v>0</v>
      </c>
      <c r="T136" s="124">
        <f t="shared" si="39"/>
        <v>0</v>
      </c>
      <c r="U136" s="124">
        <f t="shared" si="39"/>
        <v>135373.75373704548</v>
      </c>
      <c r="V136" s="124">
        <f t="shared" si="39"/>
        <v>8352.9120220057539</v>
      </c>
      <c r="W136" s="124">
        <f t="shared" si="39"/>
        <v>159557.90273842067</v>
      </c>
      <c r="X136" s="124">
        <f t="shared" si="39"/>
        <v>0</v>
      </c>
      <c r="Y136" s="124">
        <f t="shared" si="39"/>
        <v>0</v>
      </c>
      <c r="Z136" s="124">
        <f t="shared" si="39"/>
        <v>0</v>
      </c>
      <c r="AA136" s="124">
        <f t="shared" si="39"/>
        <v>0</v>
      </c>
      <c r="AB136" s="124">
        <f t="shared" si="39"/>
        <v>0</v>
      </c>
      <c r="AC136" s="124">
        <f t="shared" si="39"/>
        <v>0</v>
      </c>
      <c r="AD136" s="124">
        <f t="shared" si="39"/>
        <v>0</v>
      </c>
      <c r="AE136" s="124">
        <f t="shared" si="39"/>
        <v>12047.748992658477</v>
      </c>
      <c r="AF136" s="124">
        <f t="shared" si="39"/>
        <v>0</v>
      </c>
      <c r="AG136" s="124">
        <f t="shared" si="39"/>
        <v>1323.8326474736825</v>
      </c>
      <c r="AH136" s="124">
        <f t="shared" si="39"/>
        <v>0</v>
      </c>
      <c r="AI136" s="124">
        <f t="shared" si="39"/>
        <v>0</v>
      </c>
      <c r="AJ136" s="124">
        <f t="shared" si="39"/>
        <v>0</v>
      </c>
      <c r="AK136" s="124">
        <f t="shared" si="39"/>
        <v>0</v>
      </c>
      <c r="AL136" s="124">
        <f t="shared" si="39"/>
        <v>0</v>
      </c>
      <c r="AM136" s="124">
        <f t="shared" si="39"/>
        <v>25810.491778498552</v>
      </c>
      <c r="AN136" s="124">
        <f t="shared" si="39"/>
        <v>0</v>
      </c>
      <c r="AO136" s="124">
        <f t="shared" si="39"/>
        <v>6845.2281192707514</v>
      </c>
      <c r="AP136" s="124">
        <f t="shared" si="39"/>
        <v>0</v>
      </c>
      <c r="BH136" s="3"/>
    </row>
    <row r="137" spans="2:60" x14ac:dyDescent="0.25">
      <c r="D137" s="32"/>
      <c r="L137" s="63"/>
      <c r="M137" s="63"/>
      <c r="BH137" s="3"/>
    </row>
    <row r="138" spans="2:60" x14ac:dyDescent="0.25">
      <c r="B138" s="30" t="s">
        <v>280</v>
      </c>
      <c r="C138" s="30"/>
      <c r="D138" s="30"/>
      <c r="E138" s="30"/>
      <c r="F138" s="30"/>
      <c r="G138" s="30"/>
      <c r="H138" s="30"/>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T138" s="30"/>
      <c r="AU138" s="30"/>
      <c r="AV138" s="30"/>
      <c r="AW138" s="30"/>
      <c r="AX138" s="30"/>
      <c r="AY138" s="30"/>
      <c r="AZ138" s="30"/>
      <c r="BA138" s="30"/>
      <c r="BB138" s="30"/>
      <c r="BC138" s="30"/>
      <c r="BD138" s="30"/>
      <c r="BE138" s="30"/>
      <c r="BF138" s="30"/>
      <c r="BH138" s="30"/>
    </row>
    <row r="140" spans="2:60" x14ac:dyDescent="0.25">
      <c r="E140" t="s">
        <v>281</v>
      </c>
      <c r="G140" s="6" t="s">
        <v>56</v>
      </c>
      <c r="H140" s="26">
        <f t="array" ref="H140">SUM(IF(ISERROR(H22:AP137), 1))</f>
        <v>0</v>
      </c>
    </row>
    <row r="142" spans="2:60" x14ac:dyDescent="0.25">
      <c r="B142" s="30" t="s">
        <v>107</v>
      </c>
      <c r="C142" s="30"/>
      <c r="D142" s="30"/>
      <c r="E142" s="30"/>
      <c r="F142" s="30"/>
      <c r="G142" s="30"/>
      <c r="H142" s="30"/>
      <c r="I142" s="30"/>
      <c r="J142" s="30"/>
      <c r="K142" s="30"/>
      <c r="L142" s="30"/>
      <c r="M142" s="30"/>
      <c r="N142" s="30"/>
      <c r="O142" s="30"/>
      <c r="P142" s="30"/>
      <c r="Q142" s="30"/>
      <c r="R142" s="30"/>
      <c r="S142" s="30"/>
      <c r="T142" s="30"/>
      <c r="U142" s="30"/>
      <c r="V142" s="30"/>
      <c r="W142" s="30"/>
      <c r="X142" s="30"/>
      <c r="Y142" s="30"/>
      <c r="Z142" s="30"/>
      <c r="AA142" s="30"/>
      <c r="AB142" s="30"/>
      <c r="AC142" s="30"/>
      <c r="AD142" s="30"/>
      <c r="AE142" s="30"/>
      <c r="AF142" s="30"/>
      <c r="AG142" s="30"/>
      <c r="AH142" s="30"/>
      <c r="AI142" s="30"/>
      <c r="AJ142" s="30"/>
      <c r="AK142" s="30"/>
      <c r="AL142" s="30"/>
      <c r="AM142" s="30"/>
      <c r="AN142" s="30"/>
      <c r="AO142" s="30"/>
      <c r="AP142" s="30"/>
      <c r="AQ142" s="30"/>
      <c r="AR142" s="30"/>
      <c r="AT142" s="30"/>
      <c r="AU142" s="30"/>
      <c r="AV142" s="30"/>
      <c r="AW142" s="30"/>
      <c r="AX142" s="30"/>
      <c r="AY142" s="30"/>
      <c r="AZ142" s="30"/>
      <c r="BA142" s="30"/>
      <c r="BB142" s="30"/>
      <c r="BC142" s="30"/>
      <c r="BD142" s="30"/>
      <c r="BE142" s="30"/>
      <c r="BF142" s="30"/>
      <c r="BH142" s="30"/>
    </row>
  </sheetData>
  <sheetProtection sheet="1" objects="1" formatCells="0" formatColumns="0" formatRows="0" sort="0" autoFilter="0"/>
  <conditionalFormatting sqref="H140">
    <cfRule type="cellIs" dxfId="45" priority="2" operator="greaterThan">
      <formula>0</formula>
    </cfRule>
  </conditionalFormatting>
  <conditionalFormatting sqref="A4:XFD4">
    <cfRule type="expression" dxfId="44"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tabColor theme="4" tint="0.59999389629810485"/>
    <pageSetUpPr fitToPage="1"/>
  </sheetPr>
  <dimension ref="A1:KA545"/>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87" width="24.5703125" hidden="1" customWidth="1"/>
    <col min="288" max="16384" width="8.85546875" hidden="1"/>
  </cols>
  <sheetData>
    <row r="1" spans="1:44" s="1" customFormat="1" x14ac:dyDescent="0.25">
      <c r="A1" s="1" t="str">
        <f ca="1">MID(CELL("filename",A1),FIND("]",CELL("filename",A1))+1,255)</f>
        <v>Pseudo-load coefficients</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H543 &amp; IF(H543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0" t="s">
        <v>146</v>
      </c>
      <c r="H5" s="117" t="s">
        <v>147</v>
      </c>
      <c r="I5" s="14"/>
      <c r="J5" s="117" t="s">
        <v>148</v>
      </c>
      <c r="K5" s="117" t="s">
        <v>149</v>
      </c>
      <c r="L5" s="117" t="s">
        <v>150</v>
      </c>
      <c r="M5" s="117" t="s">
        <v>151</v>
      </c>
      <c r="N5" s="117" t="s">
        <v>152</v>
      </c>
      <c r="O5" s="117" t="s">
        <v>153</v>
      </c>
      <c r="P5" s="117" t="s">
        <v>154</v>
      </c>
      <c r="Q5" s="117" t="s">
        <v>155</v>
      </c>
      <c r="R5" s="117" t="s">
        <v>156</v>
      </c>
      <c r="S5" s="117" t="s">
        <v>157</v>
      </c>
      <c r="T5" s="117" t="s">
        <v>158</v>
      </c>
      <c r="U5" s="117" t="s">
        <v>159</v>
      </c>
      <c r="V5" s="117" t="s">
        <v>160</v>
      </c>
      <c r="W5" s="117" t="s">
        <v>161</v>
      </c>
      <c r="X5" s="117" t="s">
        <v>162</v>
      </c>
      <c r="Y5" s="117" t="s">
        <v>163</v>
      </c>
      <c r="Z5" s="117" t="s">
        <v>164</v>
      </c>
      <c r="AA5" s="117" t="s">
        <v>165</v>
      </c>
      <c r="AB5" s="117" t="s">
        <v>166</v>
      </c>
      <c r="AC5" s="117" t="s">
        <v>167</v>
      </c>
      <c r="AD5" s="117" t="s">
        <v>168</v>
      </c>
      <c r="AE5" s="117" t="s">
        <v>169</v>
      </c>
      <c r="AF5" s="117" t="s">
        <v>170</v>
      </c>
      <c r="AG5" s="117" t="s">
        <v>171</v>
      </c>
      <c r="AH5" s="117" t="s">
        <v>172</v>
      </c>
      <c r="AI5" s="117" t="s">
        <v>173</v>
      </c>
      <c r="AJ5" s="117" t="s">
        <v>174</v>
      </c>
      <c r="AK5" s="117" t="s">
        <v>175</v>
      </c>
      <c r="AL5" s="117" t="s">
        <v>176</v>
      </c>
      <c r="AM5" s="117" t="s">
        <v>177</v>
      </c>
      <c r="AN5" s="117" t="s">
        <v>178</v>
      </c>
      <c r="AO5" s="117" t="s">
        <v>179</v>
      </c>
      <c r="AP5" s="117" t="s">
        <v>180</v>
      </c>
      <c r="AR5" s="60" t="s">
        <v>181</v>
      </c>
    </row>
    <row r="7" spans="1:44" x14ac:dyDescent="0.25">
      <c r="B7" s="107" t="s">
        <v>11</v>
      </c>
      <c r="C7" s="108"/>
      <c r="D7" s="107"/>
      <c r="E7" s="107"/>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row>
    <row r="9" spans="1:44" x14ac:dyDescent="0.25">
      <c r="C9" s="29" t="s">
        <v>516</v>
      </c>
    </row>
    <row r="10" spans="1:44" x14ac:dyDescent="0.25">
      <c r="C10" s="150" t="s">
        <v>517</v>
      </c>
    </row>
    <row r="11" spans="1:44" x14ac:dyDescent="0.25">
      <c r="C11" s="29" t="s">
        <v>518</v>
      </c>
    </row>
    <row r="12" spans="1:44" x14ac:dyDescent="0.25">
      <c r="C12" s="29" t="s">
        <v>519</v>
      </c>
    </row>
    <row r="13" spans="1:44" x14ac:dyDescent="0.25">
      <c r="C13" s="29" t="s">
        <v>520</v>
      </c>
    </row>
    <row r="15" spans="1:44" x14ac:dyDescent="0.25">
      <c r="B15" s="107" t="s">
        <v>521</v>
      </c>
      <c r="C15" s="108"/>
      <c r="D15" s="107"/>
      <c r="E15" s="107"/>
      <c r="F15" s="108"/>
      <c r="G15" s="108"/>
      <c r="H15" s="108"/>
      <c r="I15" s="108"/>
      <c r="J15" s="108"/>
      <c r="K15" s="108"/>
      <c r="L15" s="108"/>
      <c r="M15" s="108"/>
      <c r="N15" s="108"/>
      <c r="O15" s="108"/>
      <c r="P15" s="108"/>
      <c r="Q15" s="108"/>
      <c r="R15" s="108"/>
      <c r="S15" s="108"/>
      <c r="T15" s="108"/>
      <c r="U15" s="108"/>
      <c r="V15" s="108"/>
      <c r="W15" s="108"/>
      <c r="X15" s="108"/>
      <c r="Y15" s="108"/>
      <c r="Z15" s="108"/>
      <c r="AA15" s="108"/>
      <c r="AB15" s="108"/>
      <c r="AC15" s="108"/>
      <c r="AD15" s="108"/>
      <c r="AE15" s="108"/>
      <c r="AF15" s="108"/>
      <c r="AG15" s="108"/>
      <c r="AH15" s="108"/>
      <c r="AI15" s="108"/>
      <c r="AJ15" s="108"/>
      <c r="AK15" s="108"/>
      <c r="AL15" s="108"/>
      <c r="AM15" s="108"/>
      <c r="AN15" s="108"/>
      <c r="AO15" s="108"/>
      <c r="AP15" s="108"/>
      <c r="AQ15" s="108"/>
      <c r="AR15" s="108"/>
    </row>
    <row r="16" spans="1:44" x14ac:dyDescent="0.25">
      <c r="I16" t="s">
        <v>190</v>
      </c>
      <c r="AR16" t="s">
        <v>522</v>
      </c>
    </row>
    <row r="17" spans="3:44" x14ac:dyDescent="0.25">
      <c r="C17" s="29" t="s">
        <v>523</v>
      </c>
    </row>
    <row r="18" spans="3:44" x14ac:dyDescent="0.25">
      <c r="C18" s="29" t="s">
        <v>524</v>
      </c>
    </row>
    <row r="19" spans="3:44" x14ac:dyDescent="0.25">
      <c r="C19" s="29" t="s">
        <v>525</v>
      </c>
    </row>
    <row r="21" spans="3:44" x14ac:dyDescent="0.25">
      <c r="C21" s="31" t="str">
        <f ca="1">INDEX('Version control'!$H$34:$H$56,MATCH($A$1,'Version control'!$F$34:$F$56,0),1)&amp;"-A: Flags and hours in timebands"</f>
        <v>Section 105-A: Flags and hours in timebands</v>
      </c>
      <c r="D21" s="31"/>
      <c r="E21" s="31"/>
      <c r="F21" s="31"/>
      <c r="G21" s="31"/>
      <c r="H21" s="31"/>
      <c r="I21" s="31"/>
      <c r="J21" s="31"/>
      <c r="K21" s="31"/>
      <c r="L21" s="31"/>
      <c r="M21" s="31"/>
      <c r="N21" s="31"/>
      <c r="O21" s="31"/>
      <c r="P21" s="31"/>
      <c r="Q21" s="31"/>
      <c r="R21" s="31"/>
      <c r="S21" s="31"/>
      <c r="T21" s="31"/>
      <c r="U21" s="31"/>
      <c r="V21" s="31"/>
      <c r="W21" s="31"/>
      <c r="X21" s="31"/>
      <c r="Y21" s="31"/>
      <c r="Z21" s="31"/>
      <c r="AA21" s="31"/>
      <c r="AB21" s="31"/>
      <c r="AC21" s="31"/>
      <c r="AD21" s="31"/>
      <c r="AE21" s="31"/>
      <c r="AF21" s="31"/>
      <c r="AG21" s="31"/>
      <c r="AH21" s="31"/>
      <c r="AI21" s="31"/>
      <c r="AJ21" s="31"/>
      <c r="AK21" s="31"/>
      <c r="AL21" s="31"/>
      <c r="AM21" s="31"/>
      <c r="AN21" s="31"/>
      <c r="AO21" s="31"/>
      <c r="AP21" s="31"/>
      <c r="AQ21" s="31"/>
      <c r="AR21" s="31"/>
    </row>
    <row r="23" spans="3:44" x14ac:dyDescent="0.25">
      <c r="E23" s="32" t="s">
        <v>526</v>
      </c>
    </row>
    <row r="24" spans="3:44" x14ac:dyDescent="0.25">
      <c r="F24" s="64" t="s">
        <v>527</v>
      </c>
      <c r="G24" s="64" t="s">
        <v>528</v>
      </c>
      <c r="H24" s="23"/>
      <c r="I24" s="23"/>
      <c r="J24" s="151" t="b">
        <f>'Fixed inputs'!J132</f>
        <v>0</v>
      </c>
      <c r="K24" s="151" t="b">
        <f>'Fixed inputs'!K132</f>
        <v>0</v>
      </c>
      <c r="L24" s="151" t="b">
        <f>'Fixed inputs'!L132</f>
        <v>0</v>
      </c>
      <c r="M24" s="151" t="b">
        <f>'Fixed inputs'!M132</f>
        <v>0</v>
      </c>
      <c r="N24" s="151" t="b">
        <f>'Fixed inputs'!N132</f>
        <v>0</v>
      </c>
      <c r="O24" s="151" t="b">
        <f>'Fixed inputs'!O132</f>
        <v>0</v>
      </c>
      <c r="P24" s="151" t="b">
        <f>'Fixed inputs'!P132</f>
        <v>0</v>
      </c>
      <c r="Q24" s="151" t="b">
        <f>'Fixed inputs'!Q132</f>
        <v>0</v>
      </c>
      <c r="R24" s="151" t="b">
        <f>'Fixed inputs'!R132</f>
        <v>0</v>
      </c>
      <c r="S24" s="151" t="b">
        <f>'Fixed inputs'!S132</f>
        <v>0</v>
      </c>
      <c r="T24" s="151" t="b">
        <f>'Fixed inputs'!T132</f>
        <v>0</v>
      </c>
      <c r="U24" s="151" t="b">
        <f>'Fixed inputs'!U132</f>
        <v>0</v>
      </c>
      <c r="V24" s="151" t="b">
        <f>'Fixed inputs'!V132</f>
        <v>0</v>
      </c>
      <c r="W24" s="151" t="b">
        <f>'Fixed inputs'!W132</f>
        <v>0</v>
      </c>
      <c r="X24" s="151" t="b">
        <f>'Fixed inputs'!X132</f>
        <v>1</v>
      </c>
      <c r="Y24" s="151" t="b">
        <f>'Fixed inputs'!Y132</f>
        <v>1</v>
      </c>
      <c r="Z24" s="151" t="b">
        <f>'Fixed inputs'!Z132</f>
        <v>1</v>
      </c>
      <c r="AA24" s="151" t="b">
        <f>'Fixed inputs'!AA132</f>
        <v>1</v>
      </c>
      <c r="AB24" s="151" t="b">
        <f>'Fixed inputs'!AB132</f>
        <v>1</v>
      </c>
      <c r="AC24" s="151" t="b">
        <f>'Fixed inputs'!AC132</f>
        <v>0</v>
      </c>
      <c r="AD24" s="151" t="b">
        <f>'Fixed inputs'!AD132</f>
        <v>0</v>
      </c>
      <c r="AE24" s="151" t="b">
        <f>'Fixed inputs'!AE132</f>
        <v>0</v>
      </c>
      <c r="AF24" s="151" t="b">
        <f>'Fixed inputs'!AF132</f>
        <v>0</v>
      </c>
      <c r="AG24" s="151" t="b">
        <f>'Fixed inputs'!AG132</f>
        <v>0</v>
      </c>
      <c r="AH24" s="151" t="b">
        <f>'Fixed inputs'!AH132</f>
        <v>0</v>
      </c>
      <c r="AI24" s="151" t="b">
        <f>'Fixed inputs'!AI132</f>
        <v>0</v>
      </c>
      <c r="AJ24" s="151" t="b">
        <f>'Fixed inputs'!AJ132</f>
        <v>0</v>
      </c>
      <c r="AK24" s="151" t="b">
        <f>'Fixed inputs'!AK132</f>
        <v>0</v>
      </c>
      <c r="AL24" s="151" t="b">
        <f>'Fixed inputs'!AL132</f>
        <v>0</v>
      </c>
      <c r="AM24" s="151" t="b">
        <f>'Fixed inputs'!AM132</f>
        <v>0</v>
      </c>
      <c r="AN24" s="151" t="b">
        <f>'Fixed inputs'!AN132</f>
        <v>0</v>
      </c>
      <c r="AO24" s="151" t="b">
        <f>'Fixed inputs'!AO132</f>
        <v>0</v>
      </c>
      <c r="AP24" s="151" t="b">
        <f>'Fixed inputs'!AP132</f>
        <v>0</v>
      </c>
    </row>
    <row r="25" spans="3:44" x14ac:dyDescent="0.25">
      <c r="F25" s="37" t="s">
        <v>529</v>
      </c>
      <c r="G25" s="67" t="s">
        <v>528</v>
      </c>
      <c r="H25" s="37"/>
      <c r="I25" s="37"/>
      <c r="J25" s="152" t="b">
        <f>'Fixed inputs'!J127</f>
        <v>0</v>
      </c>
      <c r="K25" s="152" t="b">
        <f>'Fixed inputs'!K127</f>
        <v>0</v>
      </c>
      <c r="L25" s="152" t="b">
        <f>'Fixed inputs'!L127</f>
        <v>0</v>
      </c>
      <c r="M25" s="152" t="b">
        <f>'Fixed inputs'!M127</f>
        <v>0</v>
      </c>
      <c r="N25" s="152" t="b">
        <f>'Fixed inputs'!N127</f>
        <v>0</v>
      </c>
      <c r="O25" s="152" t="b">
        <f>'Fixed inputs'!O127</f>
        <v>0</v>
      </c>
      <c r="P25" s="152" t="b">
        <f>'Fixed inputs'!P127</f>
        <v>0</v>
      </c>
      <c r="Q25" s="152" t="b">
        <f>'Fixed inputs'!Q127</f>
        <v>0</v>
      </c>
      <c r="R25" s="152" t="b">
        <f>'Fixed inputs'!R127</f>
        <v>0</v>
      </c>
      <c r="S25" s="152" t="b">
        <f>'Fixed inputs'!S127</f>
        <v>0</v>
      </c>
      <c r="T25" s="152" t="b">
        <f>'Fixed inputs'!T127</f>
        <v>0</v>
      </c>
      <c r="U25" s="152" t="b">
        <f>'Fixed inputs'!U127</f>
        <v>0</v>
      </c>
      <c r="V25" s="152" t="b">
        <f>'Fixed inputs'!V127</f>
        <v>0</v>
      </c>
      <c r="W25" s="152" t="b">
        <f>'Fixed inputs'!W127</f>
        <v>0</v>
      </c>
      <c r="X25" s="152" t="b">
        <f>'Fixed inputs'!X127</f>
        <v>0</v>
      </c>
      <c r="Y25" s="152" t="b">
        <f>'Fixed inputs'!Y127</f>
        <v>0</v>
      </c>
      <c r="Z25" s="152" t="b">
        <f>'Fixed inputs'!Z127</f>
        <v>0</v>
      </c>
      <c r="AA25" s="152" t="b">
        <f>'Fixed inputs'!AA127</f>
        <v>0</v>
      </c>
      <c r="AB25" s="152" t="b">
        <f>'Fixed inputs'!AB127</f>
        <v>0</v>
      </c>
      <c r="AC25" s="152" t="b">
        <f>'Fixed inputs'!AC127</f>
        <v>1</v>
      </c>
      <c r="AD25" s="152" t="b">
        <f>'Fixed inputs'!AD127</f>
        <v>1</v>
      </c>
      <c r="AE25" s="152" t="b">
        <f>'Fixed inputs'!AE127</f>
        <v>1</v>
      </c>
      <c r="AF25" s="152" t="b">
        <f>'Fixed inputs'!AF127</f>
        <v>1</v>
      </c>
      <c r="AG25" s="152" t="b">
        <f>'Fixed inputs'!AG127</f>
        <v>0</v>
      </c>
      <c r="AH25" s="152" t="b">
        <f>'Fixed inputs'!AH127</f>
        <v>0</v>
      </c>
      <c r="AI25" s="152" t="b">
        <f>'Fixed inputs'!AI127</f>
        <v>1</v>
      </c>
      <c r="AJ25" s="152" t="b">
        <f>'Fixed inputs'!AJ127</f>
        <v>1</v>
      </c>
      <c r="AK25" s="152" t="b">
        <f>'Fixed inputs'!AK127</f>
        <v>0</v>
      </c>
      <c r="AL25" s="152" t="b">
        <f>'Fixed inputs'!AL127</f>
        <v>0</v>
      </c>
      <c r="AM25" s="152" t="b">
        <f>'Fixed inputs'!AM127</f>
        <v>1</v>
      </c>
      <c r="AN25" s="152" t="b">
        <f>'Fixed inputs'!AN127</f>
        <v>1</v>
      </c>
      <c r="AO25" s="152" t="b">
        <f>'Fixed inputs'!AO127</f>
        <v>0</v>
      </c>
      <c r="AP25" s="152" t="b">
        <f>'Fixed inputs'!AP127</f>
        <v>0</v>
      </c>
      <c r="AR25" t="s">
        <v>530</v>
      </c>
    </row>
    <row r="27" spans="3:44" x14ac:dyDescent="0.25">
      <c r="E27" s="32" t="s">
        <v>531</v>
      </c>
      <c r="I27" t="s">
        <v>190</v>
      </c>
      <c r="AR27" t="s">
        <v>532</v>
      </c>
    </row>
    <row r="28" spans="3:44" x14ac:dyDescent="0.25">
      <c r="E28" s="29" t="s">
        <v>533</v>
      </c>
      <c r="F28" s="29"/>
    </row>
    <row r="29" spans="3:44" x14ac:dyDescent="0.25">
      <c r="F29" s="64" t="s">
        <v>534</v>
      </c>
      <c r="G29" s="64" t="s">
        <v>183</v>
      </c>
      <c r="H29" s="153"/>
      <c r="I29" s="153"/>
      <c r="J29" s="127">
        <f>IF(J$24, 'General inputs'!$H16, 'General inputs'!$H21)</f>
        <v>783</v>
      </c>
      <c r="K29" s="127">
        <f>IF(K$24, 'General inputs'!$H16, 'General inputs'!$H21)</f>
        <v>783</v>
      </c>
      <c r="L29" s="127">
        <f>IF(L$24, 'General inputs'!$H16, 'General inputs'!$H21)</f>
        <v>783</v>
      </c>
      <c r="M29" s="127">
        <f>IF(M$24, 'General inputs'!$H16, 'General inputs'!$H21)</f>
        <v>783</v>
      </c>
      <c r="N29" s="127">
        <f>IF(N$24, 'General inputs'!$H16, 'General inputs'!$H21)</f>
        <v>783</v>
      </c>
      <c r="O29" s="127">
        <f>IF(O$24, 'General inputs'!$H16, 'General inputs'!$H21)</f>
        <v>783</v>
      </c>
      <c r="P29" s="127">
        <f>IF(P$24, 'General inputs'!$H16, 'General inputs'!$H21)</f>
        <v>783</v>
      </c>
      <c r="Q29" s="127">
        <f>IF(Q$24, 'General inputs'!$H16, 'General inputs'!$H21)</f>
        <v>783</v>
      </c>
      <c r="R29" s="127">
        <f>IF(R$24, 'General inputs'!$H16, 'General inputs'!$H21)</f>
        <v>783</v>
      </c>
      <c r="S29" s="127">
        <f>IF(S$24, 'General inputs'!$H16, 'General inputs'!$H21)</f>
        <v>783</v>
      </c>
      <c r="T29" s="127">
        <f>IF(T$24, 'General inputs'!$H16, 'General inputs'!$H21)</f>
        <v>783</v>
      </c>
      <c r="U29" s="127">
        <f>IF(U$24, 'General inputs'!$H16, 'General inputs'!$H21)</f>
        <v>783</v>
      </c>
      <c r="V29" s="127">
        <f>IF(V$24, 'General inputs'!$H16, 'General inputs'!$H21)</f>
        <v>783</v>
      </c>
      <c r="W29" s="127">
        <f>IF(W$24, 'General inputs'!$H16, 'General inputs'!$H21)</f>
        <v>783</v>
      </c>
      <c r="X29" s="127">
        <f>IF(X$24, 'General inputs'!$H16, 'General inputs'!$H21)</f>
        <v>255</v>
      </c>
      <c r="Y29" s="127">
        <f>IF(Y$24, 'General inputs'!$H16, 'General inputs'!$H21)</f>
        <v>255</v>
      </c>
      <c r="Z29" s="127">
        <f>IF(Z$24, 'General inputs'!$H16, 'General inputs'!$H21)</f>
        <v>255</v>
      </c>
      <c r="AA29" s="127">
        <f>IF(AA$24, 'General inputs'!$H16, 'General inputs'!$H21)</f>
        <v>255</v>
      </c>
      <c r="AB29" s="127">
        <f>IF(AB$24, 'General inputs'!$H16, 'General inputs'!$H21)</f>
        <v>255</v>
      </c>
      <c r="AC29" s="127">
        <f>IF(AC$24, 'General inputs'!$H16, 'General inputs'!$H21)</f>
        <v>783</v>
      </c>
      <c r="AD29" s="127">
        <f>IF(AD$24, 'General inputs'!$H16, 'General inputs'!$H21)</f>
        <v>783</v>
      </c>
      <c r="AE29" s="127">
        <f>IF(AE$24, 'General inputs'!$H16, 'General inputs'!$H21)</f>
        <v>783</v>
      </c>
      <c r="AF29" s="127">
        <f>IF(AF$24, 'General inputs'!$H16, 'General inputs'!$H21)</f>
        <v>783</v>
      </c>
      <c r="AG29" s="127">
        <f>IF(AG$24, 'General inputs'!$H16, 'General inputs'!$H21)</f>
        <v>783</v>
      </c>
      <c r="AH29" s="127">
        <f>IF(AH$24, 'General inputs'!$H16, 'General inputs'!$H21)</f>
        <v>783</v>
      </c>
      <c r="AI29" s="127">
        <f>IF(AI$24, 'General inputs'!$H16, 'General inputs'!$H21)</f>
        <v>783</v>
      </c>
      <c r="AJ29" s="127">
        <f>IF(AJ$24, 'General inputs'!$H16, 'General inputs'!$H21)</f>
        <v>783</v>
      </c>
      <c r="AK29" s="127">
        <f>IF(AK$24, 'General inputs'!$H16, 'General inputs'!$H21)</f>
        <v>783</v>
      </c>
      <c r="AL29" s="127">
        <f>IF(AL$24, 'General inputs'!$H16, 'General inputs'!$H21)</f>
        <v>783</v>
      </c>
      <c r="AM29" s="127">
        <f>IF(AM$24, 'General inputs'!$H16, 'General inputs'!$H21)</f>
        <v>783</v>
      </c>
      <c r="AN29" s="127">
        <f>IF(AN$24, 'General inputs'!$H16, 'General inputs'!$H21)</f>
        <v>783</v>
      </c>
      <c r="AO29" s="127">
        <f>IF(AO$24, 'General inputs'!$H16, 'General inputs'!$H21)</f>
        <v>783</v>
      </c>
      <c r="AP29" s="127">
        <f>IF(AP$24, 'General inputs'!$H16, 'General inputs'!$H21)</f>
        <v>783</v>
      </c>
    </row>
    <row r="30" spans="3:44" x14ac:dyDescent="0.25">
      <c r="F30" s="28" t="s">
        <v>535</v>
      </c>
      <c r="G30" t="s">
        <v>183</v>
      </c>
      <c r="H30" s="154"/>
      <c r="I30" s="154"/>
      <c r="J30" s="123">
        <f>IF(J$24, 'General inputs'!$H17, 'General inputs'!$H22)</f>
        <v>3703</v>
      </c>
      <c r="K30" s="123">
        <f>IF(K$24, 'General inputs'!$H17, 'General inputs'!$H22)</f>
        <v>3703</v>
      </c>
      <c r="L30" s="123">
        <f>IF(L$24, 'General inputs'!$H17, 'General inputs'!$H22)</f>
        <v>3703</v>
      </c>
      <c r="M30" s="123">
        <f>IF(M$24, 'General inputs'!$H17, 'General inputs'!$H22)</f>
        <v>3703</v>
      </c>
      <c r="N30" s="123">
        <f>IF(N$24, 'General inputs'!$H17, 'General inputs'!$H22)</f>
        <v>3703</v>
      </c>
      <c r="O30" s="123">
        <f>IF(O$24, 'General inputs'!$H17, 'General inputs'!$H22)</f>
        <v>3703</v>
      </c>
      <c r="P30" s="123">
        <f>IF(P$24, 'General inputs'!$H17, 'General inputs'!$H22)</f>
        <v>3703</v>
      </c>
      <c r="Q30" s="123">
        <f>IF(Q$24, 'General inputs'!$H17, 'General inputs'!$H22)</f>
        <v>3703</v>
      </c>
      <c r="R30" s="123">
        <f>IF(R$24, 'General inputs'!$H17, 'General inputs'!$H22)</f>
        <v>3703</v>
      </c>
      <c r="S30" s="123">
        <f>IF(S$24, 'General inputs'!$H17, 'General inputs'!$H22)</f>
        <v>3703</v>
      </c>
      <c r="T30" s="123">
        <f>IF(T$24, 'General inputs'!$H17, 'General inputs'!$H22)</f>
        <v>3703</v>
      </c>
      <c r="U30" s="123">
        <f>IF(U$24, 'General inputs'!$H17, 'General inputs'!$H22)</f>
        <v>3703</v>
      </c>
      <c r="V30" s="123">
        <f>IF(V$24, 'General inputs'!$H17, 'General inputs'!$H22)</f>
        <v>3703</v>
      </c>
      <c r="W30" s="123">
        <f>IF(W$24, 'General inputs'!$H17, 'General inputs'!$H22)</f>
        <v>3703</v>
      </c>
      <c r="X30" s="123">
        <f>IF(X$24, 'General inputs'!$H17, 'General inputs'!$H22)</f>
        <v>4231</v>
      </c>
      <c r="Y30" s="123">
        <f>IF(Y$24, 'General inputs'!$H17, 'General inputs'!$H22)</f>
        <v>4231</v>
      </c>
      <c r="Z30" s="123">
        <f>IF(Z$24, 'General inputs'!$H17, 'General inputs'!$H22)</f>
        <v>4231</v>
      </c>
      <c r="AA30" s="123">
        <f>IF(AA$24, 'General inputs'!$H17, 'General inputs'!$H22)</f>
        <v>4231</v>
      </c>
      <c r="AB30" s="123">
        <f>IF(AB$24, 'General inputs'!$H17, 'General inputs'!$H22)</f>
        <v>4231</v>
      </c>
      <c r="AC30" s="123">
        <f>IF(AC$24, 'General inputs'!$H17, 'General inputs'!$H22)</f>
        <v>3703</v>
      </c>
      <c r="AD30" s="123">
        <f>IF(AD$24, 'General inputs'!$H17, 'General inputs'!$H22)</f>
        <v>3703</v>
      </c>
      <c r="AE30" s="123">
        <f>IF(AE$24, 'General inputs'!$H17, 'General inputs'!$H22)</f>
        <v>3703</v>
      </c>
      <c r="AF30" s="123">
        <f>IF(AF$24, 'General inputs'!$H17, 'General inputs'!$H22)</f>
        <v>3703</v>
      </c>
      <c r="AG30" s="123">
        <f>IF(AG$24, 'General inputs'!$H17, 'General inputs'!$H22)</f>
        <v>3703</v>
      </c>
      <c r="AH30" s="123">
        <f>IF(AH$24, 'General inputs'!$H17, 'General inputs'!$H22)</f>
        <v>3703</v>
      </c>
      <c r="AI30" s="123">
        <f>IF(AI$24, 'General inputs'!$H17, 'General inputs'!$H22)</f>
        <v>3703</v>
      </c>
      <c r="AJ30" s="123">
        <f>IF(AJ$24, 'General inputs'!$H17, 'General inputs'!$H22)</f>
        <v>3703</v>
      </c>
      <c r="AK30" s="123">
        <f>IF(AK$24, 'General inputs'!$H17, 'General inputs'!$H22)</f>
        <v>3703</v>
      </c>
      <c r="AL30" s="123">
        <f>IF(AL$24, 'General inputs'!$H17, 'General inputs'!$H22)</f>
        <v>3703</v>
      </c>
      <c r="AM30" s="123">
        <f>IF(AM$24, 'General inputs'!$H17, 'General inputs'!$H22)</f>
        <v>3703</v>
      </c>
      <c r="AN30" s="123">
        <f>IF(AN$24, 'General inputs'!$H17, 'General inputs'!$H22)</f>
        <v>3703</v>
      </c>
      <c r="AO30" s="123">
        <f>IF(AO$24, 'General inputs'!$H17, 'General inputs'!$H22)</f>
        <v>3703</v>
      </c>
      <c r="AP30" s="123">
        <f>IF(AP$24, 'General inputs'!$H17, 'General inputs'!$H22)</f>
        <v>3703</v>
      </c>
    </row>
    <row r="31" spans="3:44" x14ac:dyDescent="0.25">
      <c r="F31" s="67" t="s">
        <v>313</v>
      </c>
      <c r="G31" s="37" t="s">
        <v>183</v>
      </c>
      <c r="H31" s="155"/>
      <c r="I31" s="155"/>
      <c r="J31" s="128">
        <f>IF(J$24, 'General inputs'!$H18, 'General inputs'!$H23)</f>
        <v>4274</v>
      </c>
      <c r="K31" s="128">
        <f>IF(K$24, 'General inputs'!$H18, 'General inputs'!$H23)</f>
        <v>4274</v>
      </c>
      <c r="L31" s="128">
        <f>IF(L$24, 'General inputs'!$H18, 'General inputs'!$H23)</f>
        <v>4274</v>
      </c>
      <c r="M31" s="128">
        <f>IF(M$24, 'General inputs'!$H18, 'General inputs'!$H23)</f>
        <v>4274</v>
      </c>
      <c r="N31" s="128">
        <f>IF(N$24, 'General inputs'!$H18, 'General inputs'!$H23)</f>
        <v>4274</v>
      </c>
      <c r="O31" s="128">
        <f>IF(O$24, 'General inputs'!$H18, 'General inputs'!$H23)</f>
        <v>4274</v>
      </c>
      <c r="P31" s="128">
        <f>IF(P$24, 'General inputs'!$H18, 'General inputs'!$H23)</f>
        <v>4274</v>
      </c>
      <c r="Q31" s="128">
        <f>IF(Q$24, 'General inputs'!$H18, 'General inputs'!$H23)</f>
        <v>4274</v>
      </c>
      <c r="R31" s="128">
        <f>IF(R$24, 'General inputs'!$H18, 'General inputs'!$H23)</f>
        <v>4274</v>
      </c>
      <c r="S31" s="128">
        <f>IF(S$24, 'General inputs'!$H18, 'General inputs'!$H23)</f>
        <v>4274</v>
      </c>
      <c r="T31" s="128">
        <f>IF(T$24, 'General inputs'!$H18, 'General inputs'!$H23)</f>
        <v>4274</v>
      </c>
      <c r="U31" s="128">
        <f>IF(U$24, 'General inputs'!$H18, 'General inputs'!$H23)</f>
        <v>4274</v>
      </c>
      <c r="V31" s="128">
        <f>IF(V$24, 'General inputs'!$H18, 'General inputs'!$H23)</f>
        <v>4274</v>
      </c>
      <c r="W31" s="128">
        <f>IF(W$24, 'General inputs'!$H18, 'General inputs'!$H23)</f>
        <v>4274</v>
      </c>
      <c r="X31" s="128">
        <f>IF(X$24, 'General inputs'!$H18, 'General inputs'!$H23)</f>
        <v>4274</v>
      </c>
      <c r="Y31" s="128">
        <f>IF(Y$24, 'General inputs'!$H18, 'General inputs'!$H23)</f>
        <v>4274</v>
      </c>
      <c r="Z31" s="128">
        <f>IF(Z$24, 'General inputs'!$H18, 'General inputs'!$H23)</f>
        <v>4274</v>
      </c>
      <c r="AA31" s="128">
        <f>IF(AA$24, 'General inputs'!$H18, 'General inputs'!$H23)</f>
        <v>4274</v>
      </c>
      <c r="AB31" s="128">
        <f>IF(AB$24, 'General inputs'!$H18, 'General inputs'!$H23)</f>
        <v>4274</v>
      </c>
      <c r="AC31" s="128">
        <f>IF(AC$24, 'General inputs'!$H18, 'General inputs'!$H23)</f>
        <v>4274</v>
      </c>
      <c r="AD31" s="128">
        <f>IF(AD$24, 'General inputs'!$H18, 'General inputs'!$H23)</f>
        <v>4274</v>
      </c>
      <c r="AE31" s="128">
        <f>IF(AE$24, 'General inputs'!$H18, 'General inputs'!$H23)</f>
        <v>4274</v>
      </c>
      <c r="AF31" s="128">
        <f>IF(AF$24, 'General inputs'!$H18, 'General inputs'!$H23)</f>
        <v>4274</v>
      </c>
      <c r="AG31" s="128">
        <f>IF(AG$24, 'General inputs'!$H18, 'General inputs'!$H23)</f>
        <v>4274</v>
      </c>
      <c r="AH31" s="128">
        <f>IF(AH$24, 'General inputs'!$H18, 'General inputs'!$H23)</f>
        <v>4274</v>
      </c>
      <c r="AI31" s="128">
        <f>IF(AI$24, 'General inputs'!$H18, 'General inputs'!$H23)</f>
        <v>4274</v>
      </c>
      <c r="AJ31" s="128">
        <f>IF(AJ$24, 'General inputs'!$H18, 'General inputs'!$H23)</f>
        <v>4274</v>
      </c>
      <c r="AK31" s="128">
        <f>IF(AK$24, 'General inputs'!$H18, 'General inputs'!$H23)</f>
        <v>4274</v>
      </c>
      <c r="AL31" s="128">
        <f>IF(AL$24, 'General inputs'!$H18, 'General inputs'!$H23)</f>
        <v>4274</v>
      </c>
      <c r="AM31" s="128">
        <f>IF(AM$24, 'General inputs'!$H18, 'General inputs'!$H23)</f>
        <v>4274</v>
      </c>
      <c r="AN31" s="128">
        <f>IF(AN$24, 'General inputs'!$H18, 'General inputs'!$H23)</f>
        <v>4274</v>
      </c>
      <c r="AO31" s="128">
        <f>IF(AO$24, 'General inputs'!$H18, 'General inputs'!$H23)</f>
        <v>4274</v>
      </c>
      <c r="AP31" s="128">
        <f>IF(AP$24, 'General inputs'!$H18, 'General inputs'!$H23)</f>
        <v>4274</v>
      </c>
    </row>
    <row r="32" spans="3:44" x14ac:dyDescent="0.25">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3:44" x14ac:dyDescent="0.25">
      <c r="C33" s="31" t="str">
        <f ca="1">INDEX('Version control'!$H$34:$H$56,MATCH($A$1,'Version control'!$F$34:$F$56,0),1)&amp;"-B: Average load by timeband"</f>
        <v>Section 105-B: Average load by timeband</v>
      </c>
      <c r="D33" s="31"/>
      <c r="E33" s="31"/>
      <c r="F33" s="31"/>
      <c r="G33" s="31"/>
      <c r="H33" s="31"/>
      <c r="I33" s="31"/>
      <c r="J33" s="93"/>
      <c r="K33" s="93"/>
      <c r="L33" s="93"/>
      <c r="M33" s="93"/>
      <c r="N33" s="93"/>
      <c r="O33" s="93"/>
      <c r="P33" s="93"/>
      <c r="Q33" s="93"/>
      <c r="R33" s="93"/>
      <c r="S33" s="93"/>
      <c r="T33" s="93"/>
      <c r="U33" s="93"/>
      <c r="V33" s="93"/>
      <c r="W33" s="93"/>
      <c r="X33" s="93"/>
      <c r="Y33" s="93"/>
      <c r="Z33" s="93"/>
      <c r="AA33" s="93"/>
      <c r="AB33" s="93"/>
      <c r="AC33" s="93"/>
      <c r="AD33" s="93"/>
      <c r="AE33" s="93"/>
      <c r="AF33" s="93"/>
      <c r="AG33" s="93"/>
      <c r="AH33" s="93"/>
      <c r="AI33" s="93"/>
      <c r="AJ33" s="93"/>
      <c r="AK33" s="93"/>
      <c r="AL33" s="93"/>
      <c r="AM33" s="93"/>
      <c r="AN33" s="93"/>
      <c r="AO33" s="93"/>
      <c r="AP33" s="93"/>
      <c r="AQ33" s="31"/>
      <c r="AR33" s="31"/>
    </row>
    <row r="34" spans="3:44" x14ac:dyDescent="0.25">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3:44" x14ac:dyDescent="0.25">
      <c r="E35" s="32" t="s">
        <v>536</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3:44" x14ac:dyDescent="0.25">
      <c r="F36" s="64" t="s">
        <v>192</v>
      </c>
      <c r="G36" s="64" t="s">
        <v>243</v>
      </c>
      <c r="H36" s="23"/>
      <c r="I36" s="23"/>
      <c r="J36" s="127">
        <f>'Volume adjustments'!J66</f>
        <v>2359360.6618815465</v>
      </c>
      <c r="K36" s="127">
        <f>'Volume adjustments'!K66</f>
        <v>241333.8974547495</v>
      </c>
      <c r="L36" s="127">
        <f>'Volume adjustments'!L66</f>
        <v>423055.87757845432</v>
      </c>
      <c r="M36" s="127">
        <f>'Volume adjustments'!M66</f>
        <v>837309.17840270267</v>
      </c>
      <c r="N36" s="127">
        <f>'Volume adjustments'!N66</f>
        <v>152179.51963638922</v>
      </c>
      <c r="O36" s="127">
        <f>'Volume adjustments'!O66</f>
        <v>28141.504302703608</v>
      </c>
      <c r="P36" s="127">
        <f>'Volume adjustments'!P66</f>
        <v>29913.305426474391</v>
      </c>
      <c r="Q36" s="127">
        <f>'Volume adjustments'!Q66</f>
        <v>0</v>
      </c>
      <c r="R36" s="127">
        <f>'Volume adjustments'!R66</f>
        <v>548.35018676020832</v>
      </c>
      <c r="S36" s="127">
        <f>'Volume adjustments'!S66</f>
        <v>54.029994132566102</v>
      </c>
      <c r="T36" s="127">
        <f>'Volume adjustments'!T66</f>
        <v>7839.6449077915986</v>
      </c>
      <c r="U36" s="127">
        <f>'Volume adjustments'!U66</f>
        <v>168230.36601316402</v>
      </c>
      <c r="V36" s="127">
        <f>'Volume adjustments'!V66</f>
        <v>11348.554214700629</v>
      </c>
      <c r="W36" s="127">
        <f>'Volume adjustments'!W66</f>
        <v>88351.013324953004</v>
      </c>
      <c r="X36" s="127">
        <f>'Volume adjustments'!X66</f>
        <v>14143.024463568723</v>
      </c>
      <c r="Y36" s="127">
        <f>'Volume adjustments'!Y66</f>
        <v>17280.638083641774</v>
      </c>
      <c r="Z36" s="127">
        <f>'Volume adjustments'!Z66</f>
        <v>3520.726250029109</v>
      </c>
      <c r="AA36" s="127">
        <f>'Volume adjustments'!AA66</f>
        <v>44.247535426088803</v>
      </c>
      <c r="AB36" s="127">
        <f>'Volume adjustments'!AB66</f>
        <v>4621.3412299929805</v>
      </c>
      <c r="AC36" s="127">
        <f>'Volume adjustments'!AC66</f>
        <v>6412.5597704205047</v>
      </c>
      <c r="AD36" s="127">
        <f>'Volume adjustments'!AD66</f>
        <v>0</v>
      </c>
      <c r="AE36" s="127">
        <f>'Volume adjustments'!AE66</f>
        <v>359281.93051380559</v>
      </c>
      <c r="AF36" s="127">
        <f>'Volume adjustments'!AF66</f>
        <v>0</v>
      </c>
      <c r="AG36" s="127">
        <f>'Volume adjustments'!AG66</f>
        <v>5139.8693554110105</v>
      </c>
      <c r="AH36" s="127">
        <f>'Volume adjustments'!AH66</f>
        <v>0</v>
      </c>
      <c r="AI36" s="127">
        <f>'Volume adjustments'!AI66</f>
        <v>3513.2890000000002</v>
      </c>
      <c r="AJ36" s="127">
        <f>'Volume adjustments'!AJ66</f>
        <v>0</v>
      </c>
      <c r="AK36" s="127">
        <f>'Volume adjustments'!AK66</f>
        <v>0</v>
      </c>
      <c r="AL36" s="127">
        <f>'Volume adjustments'!AL66</f>
        <v>0</v>
      </c>
      <c r="AM36" s="127">
        <f>'Volume adjustments'!AM66</f>
        <v>652626.70721495803</v>
      </c>
      <c r="AN36" s="127">
        <f>'Volume adjustments'!AN66</f>
        <v>0</v>
      </c>
      <c r="AO36" s="127">
        <f>'Volume adjustments'!AO66</f>
        <v>92924.847805563244</v>
      </c>
      <c r="AP36" s="127">
        <f>'Volume adjustments'!AP66</f>
        <v>0</v>
      </c>
    </row>
    <row r="37" spans="3:44" x14ac:dyDescent="0.25">
      <c r="F37" s="28" t="s">
        <v>193</v>
      </c>
      <c r="G37" s="28" t="s">
        <v>243</v>
      </c>
      <c r="J37" s="123">
        <f>'Volume adjustments'!J77</f>
        <v>0</v>
      </c>
      <c r="K37" s="123">
        <f>'Volume adjustments'!K77</f>
        <v>204289.9974625294</v>
      </c>
      <c r="L37" s="123">
        <f>'Volume adjustments'!L77</f>
        <v>0</v>
      </c>
      <c r="M37" s="123">
        <f>'Volume adjustments'!M77</f>
        <v>0</v>
      </c>
      <c r="N37" s="123">
        <f>'Volume adjustments'!N77</f>
        <v>82289.749092955753</v>
      </c>
      <c r="O37" s="123">
        <f>'Volume adjustments'!O77</f>
        <v>0</v>
      </c>
      <c r="P37" s="123">
        <f>'Volume adjustments'!P77</f>
        <v>10042.285925586189</v>
      </c>
      <c r="Q37" s="123">
        <f>'Volume adjustments'!Q77</f>
        <v>0</v>
      </c>
      <c r="R37" s="123">
        <f>'Volume adjustments'!R77</f>
        <v>269.81773904335392</v>
      </c>
      <c r="S37" s="123">
        <f>'Volume adjustments'!S77</f>
        <v>136.73224650179375</v>
      </c>
      <c r="T37" s="123">
        <f>'Volume adjustments'!T77</f>
        <v>39067.558275099967</v>
      </c>
      <c r="U37" s="123">
        <f>'Volume adjustments'!U77</f>
        <v>813957.57788120955</v>
      </c>
      <c r="V37" s="123">
        <f>'Volume adjustments'!V77</f>
        <v>55692.626742093176</v>
      </c>
      <c r="W37" s="123">
        <f>'Volume adjustments'!W77</f>
        <v>428873.62609942525</v>
      </c>
      <c r="X37" s="123">
        <f>'Volume adjustments'!X77</f>
        <v>0</v>
      </c>
      <c r="Y37" s="123">
        <f>'Volume adjustments'!Y77</f>
        <v>0</v>
      </c>
      <c r="Z37" s="123">
        <f>'Volume adjustments'!Z77</f>
        <v>0</v>
      </c>
      <c r="AA37" s="123">
        <f>'Volume adjustments'!AA77</f>
        <v>0</v>
      </c>
      <c r="AB37" s="123">
        <f>'Volume adjustments'!AB77</f>
        <v>15832.064594910415</v>
      </c>
      <c r="AC37" s="123">
        <f>'Volume adjustments'!AC77</f>
        <v>0</v>
      </c>
      <c r="AD37" s="123">
        <f>'Volume adjustments'!AD77</f>
        <v>0</v>
      </c>
      <c r="AE37" s="123">
        <f>'Volume adjustments'!AE77</f>
        <v>0</v>
      </c>
      <c r="AF37" s="123">
        <f>'Volume adjustments'!AF77</f>
        <v>0</v>
      </c>
      <c r="AG37" s="123">
        <f>'Volume adjustments'!AG77</f>
        <v>22429.580480403067</v>
      </c>
      <c r="AH37" s="123">
        <f>'Volume adjustments'!AH77</f>
        <v>0</v>
      </c>
      <c r="AI37" s="123">
        <f>'Volume adjustments'!AI77</f>
        <v>0</v>
      </c>
      <c r="AJ37" s="123">
        <f>'Volume adjustments'!AJ77</f>
        <v>0</v>
      </c>
      <c r="AK37" s="123">
        <f>'Volume adjustments'!AK77</f>
        <v>0</v>
      </c>
      <c r="AL37" s="123">
        <f>'Volume adjustments'!AL77</f>
        <v>0</v>
      </c>
      <c r="AM37" s="123">
        <f>'Volume adjustments'!AM77</f>
        <v>0</v>
      </c>
      <c r="AN37" s="123">
        <f>'Volume adjustments'!AN77</f>
        <v>0</v>
      </c>
      <c r="AO37" s="123">
        <f>'Volume adjustments'!AO77</f>
        <v>385063.70152251818</v>
      </c>
      <c r="AP37" s="123">
        <f>'Volume adjustments'!AP77</f>
        <v>0</v>
      </c>
    </row>
    <row r="38" spans="3:44" x14ac:dyDescent="0.25">
      <c r="F38" s="28" t="s">
        <v>194</v>
      </c>
      <c r="G38" s="28" t="s">
        <v>243</v>
      </c>
      <c r="J38" s="123">
        <f>'Volume adjustments'!J88</f>
        <v>0</v>
      </c>
      <c r="K38" s="123">
        <f>'Volume adjustments'!K88</f>
        <v>0</v>
      </c>
      <c r="L38" s="123">
        <f>'Volume adjustments'!L88</f>
        <v>0</v>
      </c>
      <c r="M38" s="123">
        <f>'Volume adjustments'!M88</f>
        <v>0</v>
      </c>
      <c r="N38" s="123">
        <f>'Volume adjustments'!N88</f>
        <v>0</v>
      </c>
      <c r="O38" s="123">
        <f>'Volume adjustments'!O88</f>
        <v>0</v>
      </c>
      <c r="P38" s="123">
        <f>'Volume adjustments'!P88</f>
        <v>0</v>
      </c>
      <c r="Q38" s="123">
        <f>'Volume adjustments'!Q88</f>
        <v>0</v>
      </c>
      <c r="R38" s="123">
        <f>'Volume adjustments'!R88</f>
        <v>0</v>
      </c>
      <c r="S38" s="123">
        <f>'Volume adjustments'!S88</f>
        <v>165.30614809900308</v>
      </c>
      <c r="T38" s="123">
        <f>'Volume adjustments'!T88</f>
        <v>27199.510570379593</v>
      </c>
      <c r="U38" s="123">
        <f>'Volume adjustments'!U88</f>
        <v>618006.62124219816</v>
      </c>
      <c r="V38" s="123">
        <f>'Volume adjustments'!V88</f>
        <v>57152.779721852334</v>
      </c>
      <c r="W38" s="123">
        <f>'Volume adjustments'!W88</f>
        <v>401128.44876738428</v>
      </c>
      <c r="X38" s="123">
        <f>'Volume adjustments'!X88</f>
        <v>0</v>
      </c>
      <c r="Y38" s="123">
        <f>'Volume adjustments'!Y88</f>
        <v>0</v>
      </c>
      <c r="Z38" s="123">
        <f>'Volume adjustments'!Z88</f>
        <v>0</v>
      </c>
      <c r="AA38" s="123">
        <f>'Volume adjustments'!AA88</f>
        <v>0</v>
      </c>
      <c r="AB38" s="123">
        <f>'Volume adjustments'!AB88</f>
        <v>62407.524160774294</v>
      </c>
      <c r="AC38" s="123">
        <f>'Volume adjustments'!AC88</f>
        <v>0</v>
      </c>
      <c r="AD38" s="123">
        <f>'Volume adjustments'!AD88</f>
        <v>0</v>
      </c>
      <c r="AE38" s="123">
        <f>'Volume adjustments'!AE88</f>
        <v>0</v>
      </c>
      <c r="AF38" s="123">
        <f>'Volume adjustments'!AF88</f>
        <v>0</v>
      </c>
      <c r="AG38" s="123">
        <f>'Volume adjustments'!AG88</f>
        <v>25751.216289277676</v>
      </c>
      <c r="AH38" s="123">
        <f>'Volume adjustments'!AH88</f>
        <v>0</v>
      </c>
      <c r="AI38" s="123">
        <f>'Volume adjustments'!AI88</f>
        <v>0</v>
      </c>
      <c r="AJ38" s="123">
        <f>'Volume adjustments'!AJ88</f>
        <v>0</v>
      </c>
      <c r="AK38" s="123">
        <f>'Volume adjustments'!AK88</f>
        <v>0</v>
      </c>
      <c r="AL38" s="123">
        <f>'Volume adjustments'!AL88</f>
        <v>0</v>
      </c>
      <c r="AM38" s="123">
        <f>'Volume adjustments'!AM88</f>
        <v>0</v>
      </c>
      <c r="AN38" s="123">
        <f>'Volume adjustments'!AN88</f>
        <v>0</v>
      </c>
      <c r="AO38" s="123">
        <f>'Volume adjustments'!AO88</f>
        <v>361762.50157246564</v>
      </c>
      <c r="AP38" s="123">
        <f>'Volume adjustments'!AP88</f>
        <v>0</v>
      </c>
    </row>
    <row r="39" spans="3:44" x14ac:dyDescent="0.25">
      <c r="F39" s="156" t="s">
        <v>515</v>
      </c>
      <c r="G39" s="156" t="s">
        <v>243</v>
      </c>
      <c r="H39" s="111"/>
      <c r="I39" s="111"/>
      <c r="J39" s="157">
        <f t="shared" ref="J39:AP39" si="0">SUM(J36:J38)</f>
        <v>2359360.6618815465</v>
      </c>
      <c r="K39" s="157">
        <f t="shared" si="0"/>
        <v>445623.8949172789</v>
      </c>
      <c r="L39" s="157">
        <f t="shared" si="0"/>
        <v>423055.87757845432</v>
      </c>
      <c r="M39" s="157">
        <f t="shared" si="0"/>
        <v>837309.17840270267</v>
      </c>
      <c r="N39" s="157">
        <f t="shared" si="0"/>
        <v>234469.26872934497</v>
      </c>
      <c r="O39" s="157">
        <f t="shared" si="0"/>
        <v>28141.504302703608</v>
      </c>
      <c r="P39" s="157">
        <f t="shared" si="0"/>
        <v>39955.591352060583</v>
      </c>
      <c r="Q39" s="157">
        <f t="shared" si="0"/>
        <v>0</v>
      </c>
      <c r="R39" s="157">
        <f t="shared" si="0"/>
        <v>818.16792580356218</v>
      </c>
      <c r="S39" s="157">
        <f t="shared" si="0"/>
        <v>356.06838873336289</v>
      </c>
      <c r="T39" s="157">
        <f t="shared" si="0"/>
        <v>74106.713753271149</v>
      </c>
      <c r="U39" s="157">
        <f t="shared" si="0"/>
        <v>1600194.5651365719</v>
      </c>
      <c r="V39" s="157">
        <f t="shared" si="0"/>
        <v>124193.96067864614</v>
      </c>
      <c r="W39" s="157">
        <f t="shared" si="0"/>
        <v>918353.08819176257</v>
      </c>
      <c r="X39" s="157">
        <f t="shared" si="0"/>
        <v>14143.024463568723</v>
      </c>
      <c r="Y39" s="157">
        <f t="shared" si="0"/>
        <v>17280.638083641774</v>
      </c>
      <c r="Z39" s="157">
        <f t="shared" si="0"/>
        <v>3520.726250029109</v>
      </c>
      <c r="AA39" s="157">
        <f t="shared" si="0"/>
        <v>44.247535426088803</v>
      </c>
      <c r="AB39" s="157">
        <f t="shared" si="0"/>
        <v>82860.929985677692</v>
      </c>
      <c r="AC39" s="157">
        <f t="shared" si="0"/>
        <v>6412.5597704205047</v>
      </c>
      <c r="AD39" s="157">
        <f t="shared" si="0"/>
        <v>0</v>
      </c>
      <c r="AE39" s="157">
        <f t="shared" si="0"/>
        <v>359281.93051380559</v>
      </c>
      <c r="AF39" s="157">
        <f t="shared" si="0"/>
        <v>0</v>
      </c>
      <c r="AG39" s="157">
        <f t="shared" si="0"/>
        <v>53320.666125091753</v>
      </c>
      <c r="AH39" s="157">
        <f t="shared" si="0"/>
        <v>0</v>
      </c>
      <c r="AI39" s="157">
        <f t="shared" si="0"/>
        <v>3513.2890000000002</v>
      </c>
      <c r="AJ39" s="157">
        <f t="shared" si="0"/>
        <v>0</v>
      </c>
      <c r="AK39" s="157">
        <f t="shared" si="0"/>
        <v>0</v>
      </c>
      <c r="AL39" s="157">
        <f t="shared" si="0"/>
        <v>0</v>
      </c>
      <c r="AM39" s="157">
        <f t="shared" si="0"/>
        <v>652626.70721495803</v>
      </c>
      <c r="AN39" s="157">
        <f t="shared" si="0"/>
        <v>0</v>
      </c>
      <c r="AO39" s="157">
        <f t="shared" si="0"/>
        <v>839751.05090054707</v>
      </c>
      <c r="AP39" s="157">
        <f t="shared" si="0"/>
        <v>0</v>
      </c>
    </row>
    <row r="40" spans="3:44" x14ac:dyDescent="0.25">
      <c r="F40" s="28"/>
      <c r="G40" s="28"/>
      <c r="J40" s="25"/>
      <c r="K40" s="25"/>
      <c r="L40" s="25"/>
      <c r="M40" s="25"/>
      <c r="N40" s="25"/>
      <c r="O40" s="25"/>
      <c r="P40" s="25"/>
      <c r="Q40" s="25"/>
      <c r="R40" s="25"/>
      <c r="S40" s="25"/>
      <c r="T40" s="25"/>
      <c r="U40" s="25"/>
      <c r="V40" s="25"/>
      <c r="W40" s="25"/>
      <c r="X40" s="25"/>
      <c r="Y40" s="25"/>
      <c r="Z40" s="25"/>
      <c r="AA40" s="25"/>
      <c r="AB40" s="25"/>
      <c r="AC40" s="25"/>
      <c r="AD40" s="25"/>
      <c r="AE40" s="25"/>
      <c r="AF40" s="25"/>
      <c r="AG40" s="25"/>
      <c r="AH40" s="25"/>
      <c r="AI40" s="25"/>
      <c r="AJ40" s="25"/>
      <c r="AK40" s="25"/>
      <c r="AL40" s="25"/>
      <c r="AM40" s="25"/>
      <c r="AN40" s="25"/>
      <c r="AO40" s="25"/>
      <c r="AP40" s="25"/>
      <c r="AQ40" s="25"/>
    </row>
    <row r="41" spans="3:44" x14ac:dyDescent="0.25">
      <c r="E41" s="32" t="s">
        <v>309</v>
      </c>
    </row>
    <row r="42" spans="3:44" x14ac:dyDescent="0.25">
      <c r="E42" s="29" t="s">
        <v>533</v>
      </c>
    </row>
    <row r="43" spans="3:44" x14ac:dyDescent="0.25">
      <c r="F43" s="64" t="s">
        <v>534</v>
      </c>
      <c r="G43" s="64" t="s">
        <v>203</v>
      </c>
      <c r="H43" s="23"/>
      <c r="I43" s="23"/>
      <c r="J43" s="110">
        <f>IF(J$25, J29 / hours_in_year, 'Inputs by customer type'!J53)</f>
        <v>0.1257463894758776</v>
      </c>
      <c r="K43" s="110">
        <f>IF(K$25, K29 / hours_in_year, 'Inputs by customer type'!K53)</f>
        <v>0.16514675741302734</v>
      </c>
      <c r="L43" s="110">
        <f>IF(L$25, L29 / hours_in_year, 'Inputs by customer type'!L53)</f>
        <v>2.3738582495460719E-2</v>
      </c>
      <c r="M43" s="110">
        <f>IF(M$25, M29 / hours_in_year, 'Inputs by customer type'!M53)</f>
        <v>0.10481242612388043</v>
      </c>
      <c r="N43" s="110">
        <f>IF(N$25, N29 / hours_in_year, 'Inputs by customer type'!N53)</f>
        <v>0.14076181819201963</v>
      </c>
      <c r="O43" s="110">
        <f>IF(O$25, O29 / hours_in_year, 'Inputs by customer type'!O53)</f>
        <v>1.7472755416572602E-2</v>
      </c>
      <c r="P43" s="110">
        <f>IF(P$25, P29 / hours_in_year, 'Inputs by customer type'!P53)</f>
        <v>0.13930047615725716</v>
      </c>
      <c r="Q43" s="110">
        <f>IF(Q$25, Q29 / hours_in_year, 'Inputs by customer type'!Q53)</f>
        <v>0.13930047615725716</v>
      </c>
      <c r="R43" s="110">
        <f>IF(R$25, R29 / hours_in_year, 'Inputs by customer type'!R53)</f>
        <v>0.13871942339013563</v>
      </c>
      <c r="S43" s="110">
        <f>IF(S$25, S29 / hours_in_year, 'Inputs by customer type'!S53)</f>
        <v>1</v>
      </c>
      <c r="T43" s="110">
        <f>IF(T$25, T29 / hours_in_year, 'Inputs by customer type'!T53)</f>
        <v>1</v>
      </c>
      <c r="U43" s="110">
        <f>IF(U$25, U29 / hours_in_year, 'Inputs by customer type'!U53)</f>
        <v>1</v>
      </c>
      <c r="V43" s="110">
        <f>IF(V$25, V29 / hours_in_year, 'Inputs by customer type'!V53)</f>
        <v>1</v>
      </c>
      <c r="W43" s="110">
        <f>IF(W$25, W29 / hours_in_year, 'Inputs by customer type'!W53)</f>
        <v>1</v>
      </c>
      <c r="X43" s="110">
        <f>IF(X$25, X29 / hours_in_year, 'Inputs by customer type'!X53)</f>
        <v>2.9428587803320194E-2</v>
      </c>
      <c r="Y43" s="110">
        <f>IF(Y$25, Y29 / hours_in_year, 'Inputs by customer type'!Y53)</f>
        <v>5.257481476189433E-2</v>
      </c>
      <c r="Z43" s="110">
        <f>IF(Z$25, Z29 / hours_in_year, 'Inputs by customer type'!Z53)</f>
        <v>9.9433749989639386E-2</v>
      </c>
      <c r="AA43" s="110">
        <f>IF(AA$25, AA29 / hours_in_year, 'Inputs by customer type'!AA53)</f>
        <v>1.3608203726877335E-2</v>
      </c>
      <c r="AB43" s="110">
        <f>IF(AB$25, AB29 / hours_in_year, 'Inputs by customer type'!AB53)</f>
        <v>1</v>
      </c>
      <c r="AC43" s="110">
        <f>IF(AC$25, AC29 / hours_in_year, 'Inputs by customer type'!AC53)</f>
        <v>8.938356164383561E-2</v>
      </c>
      <c r="AD43" s="110">
        <f>IF(AD$25, AD29 / hours_in_year, 'Inputs by customer type'!AD53)</f>
        <v>8.938356164383561E-2</v>
      </c>
      <c r="AE43" s="110">
        <f>IF(AE$25, AE29 / hours_in_year, 'Inputs by customer type'!AE53)</f>
        <v>8.938356164383561E-2</v>
      </c>
      <c r="AF43" s="110">
        <f>IF(AF$25, AF29 / hours_in_year, 'Inputs by customer type'!AF53)</f>
        <v>8.938356164383561E-2</v>
      </c>
      <c r="AG43" s="110">
        <f>IF(AG$25, AG29 / hours_in_year, 'Inputs by customer type'!AG53)</f>
        <v>1</v>
      </c>
      <c r="AH43" s="110">
        <f>IF(AH$25, AH29 / hours_in_year, 'Inputs by customer type'!AH53)</f>
        <v>1</v>
      </c>
      <c r="AI43" s="110">
        <f>IF(AI$25, AI29 / hours_in_year, 'Inputs by customer type'!AI53)</f>
        <v>8.938356164383561E-2</v>
      </c>
      <c r="AJ43" s="110">
        <f>IF(AJ$25, AJ29 / hours_in_year, 'Inputs by customer type'!AJ53)</f>
        <v>8.938356164383561E-2</v>
      </c>
      <c r="AK43" s="110">
        <f>IF(AK$25, AK29 / hours_in_year, 'Inputs by customer type'!AK53)</f>
        <v>1</v>
      </c>
      <c r="AL43" s="110">
        <f>IF(AL$25, AL29 / hours_in_year, 'Inputs by customer type'!AL53)</f>
        <v>1</v>
      </c>
      <c r="AM43" s="110">
        <f>IF(AM$25, AM29 / hours_in_year, 'Inputs by customer type'!AM53)</f>
        <v>8.938356164383561E-2</v>
      </c>
      <c r="AN43" s="110">
        <f>IF(AN$25, AN29 / hours_in_year, 'Inputs by customer type'!AN53)</f>
        <v>8.938356164383561E-2</v>
      </c>
      <c r="AO43" s="110">
        <f>IF(AO$25, AO29 / hours_in_year, 'Inputs by customer type'!AO53)</f>
        <v>1</v>
      </c>
      <c r="AP43" s="110">
        <f>IF(AP$25, AP29 / hours_in_year, 'Inputs by customer type'!AP53)</f>
        <v>1</v>
      </c>
    </row>
    <row r="44" spans="3:44" x14ac:dyDescent="0.25">
      <c r="F44" s="28" t="s">
        <v>535</v>
      </c>
      <c r="G44" s="28" t="s">
        <v>203</v>
      </c>
      <c r="J44" s="25">
        <f>IF(J$25, J30 / hours_in_year, 'Inputs by customer type'!J54)</f>
        <v>0.48876313606917504</v>
      </c>
      <c r="K44" s="25">
        <f>IF(K$25, K30 / hours_in_year, 'Inputs by customer type'!K54)</f>
        <v>0.56736936897002022</v>
      </c>
      <c r="L44" s="25">
        <f>IF(L$25, L30 / hours_in_year, 'Inputs by customer type'!L54)</f>
        <v>0.39720932963441263</v>
      </c>
      <c r="M44" s="25">
        <f>IF(M$25, M30 / hours_in_year, 'Inputs by customer type'!M54)</f>
        <v>0.56822768387648304</v>
      </c>
      <c r="N44" s="25">
        <f>IF(N$25, N30 / hours_in_year, 'Inputs by customer type'!N54)</f>
        <v>0.6601368293597939</v>
      </c>
      <c r="O44" s="25">
        <f>IF(O$25, O30 / hours_in_year, 'Inputs by customer type'!O54)</f>
        <v>0.33288864322569406</v>
      </c>
      <c r="P44" s="25">
        <f>IF(P$25, P30 / hours_in_year, 'Inputs by customer type'!P54)</f>
        <v>0.64282186564210952</v>
      </c>
      <c r="Q44" s="25">
        <f>IF(Q$25, Q30 / hours_in_year, 'Inputs by customer type'!Q54)</f>
        <v>0.64282186564210952</v>
      </c>
      <c r="R44" s="25">
        <f>IF(R$25, R30 / hours_in_year, 'Inputs by customer type'!R54)</f>
        <v>0.65464304604460877</v>
      </c>
      <c r="S44" s="25">
        <f>IF(S$25, S30 / hours_in_year, 'Inputs by customer type'!S54)</f>
        <v>0</v>
      </c>
      <c r="T44" s="25">
        <f>IF(T$25, T30 / hours_in_year, 'Inputs by customer type'!T54)</f>
        <v>0</v>
      </c>
      <c r="U44" s="25">
        <f>IF(U$25, U30 / hours_in_year, 'Inputs by customer type'!U54)</f>
        <v>0</v>
      </c>
      <c r="V44" s="25">
        <f>IF(V$25, V30 / hours_in_year, 'Inputs by customer type'!V54)</f>
        <v>0</v>
      </c>
      <c r="W44" s="25">
        <f>IF(W$25, W30 / hours_in_year, 'Inputs by customer type'!W54)</f>
        <v>0</v>
      </c>
      <c r="X44" s="25">
        <f>IF(X$25, X30 / hours_in_year, 'Inputs by customer type'!X54)</f>
        <v>0.48256682712837229</v>
      </c>
      <c r="Y44" s="25">
        <f>IF(Y$25, Y30 / hours_in_year, 'Inputs by customer type'!Y54)</f>
        <v>0.1439291681844129</v>
      </c>
      <c r="Z44" s="25">
        <f>IF(Z$25, Z30 / hours_in_year, 'Inputs by customer type'!Z54)</f>
        <v>0.28088470409047422</v>
      </c>
      <c r="AA44" s="25">
        <f>IF(AA$25, AA30 / hours_in_year, 'Inputs by customer type'!AA54)</f>
        <v>0.78753620095614085</v>
      </c>
      <c r="AB44" s="25">
        <f>IF(AB$25, AB30 / hours_in_year, 'Inputs by customer type'!AB54)</f>
        <v>0</v>
      </c>
      <c r="AC44" s="25">
        <f>IF(AC$25, AC30 / hours_in_year, 'Inputs by customer type'!AC54)</f>
        <v>0.42271689497716897</v>
      </c>
      <c r="AD44" s="25">
        <f>IF(AD$25, AD30 / hours_in_year, 'Inputs by customer type'!AD54)</f>
        <v>0.42271689497716897</v>
      </c>
      <c r="AE44" s="25">
        <f>IF(AE$25, AE30 / hours_in_year, 'Inputs by customer type'!AE54)</f>
        <v>0.42271689497716897</v>
      </c>
      <c r="AF44" s="25">
        <f>IF(AF$25, AF30 / hours_in_year, 'Inputs by customer type'!AF54)</f>
        <v>0.42271689497716897</v>
      </c>
      <c r="AG44" s="25">
        <f>IF(AG$25, AG30 / hours_in_year, 'Inputs by customer type'!AG54)</f>
        <v>0</v>
      </c>
      <c r="AH44" s="25">
        <f>IF(AH$25, AH30 / hours_in_year, 'Inputs by customer type'!AH54)</f>
        <v>0</v>
      </c>
      <c r="AI44" s="25">
        <f>IF(AI$25, AI30 / hours_in_year, 'Inputs by customer type'!AI54)</f>
        <v>0.42271689497716897</v>
      </c>
      <c r="AJ44" s="25">
        <f>IF(AJ$25, AJ30 / hours_in_year, 'Inputs by customer type'!AJ54)</f>
        <v>0.42271689497716897</v>
      </c>
      <c r="AK44" s="25">
        <f>IF(AK$25, AK30 / hours_in_year, 'Inputs by customer type'!AK54)</f>
        <v>0</v>
      </c>
      <c r="AL44" s="25">
        <f>IF(AL$25, AL30 / hours_in_year, 'Inputs by customer type'!AL54)</f>
        <v>0</v>
      </c>
      <c r="AM44" s="25">
        <f>IF(AM$25, AM30 / hours_in_year, 'Inputs by customer type'!AM54)</f>
        <v>0.42271689497716897</v>
      </c>
      <c r="AN44" s="25">
        <f>IF(AN$25, AN30 / hours_in_year, 'Inputs by customer type'!AN54)</f>
        <v>0.42271689497716897</v>
      </c>
      <c r="AO44" s="25">
        <f>IF(AO$25, AO30 / hours_in_year, 'Inputs by customer type'!AO54)</f>
        <v>0</v>
      </c>
      <c r="AP44" s="25">
        <f>IF(AP$25, AP30 / hours_in_year, 'Inputs by customer type'!AP54)</f>
        <v>0</v>
      </c>
    </row>
    <row r="45" spans="3:44" x14ac:dyDescent="0.25">
      <c r="F45" s="67" t="s">
        <v>313</v>
      </c>
      <c r="G45" s="67" t="s">
        <v>203</v>
      </c>
      <c r="H45" s="37"/>
      <c r="I45" s="37"/>
      <c r="J45" s="144">
        <f>IF(J$25, J31 / hours_in_year, 'Inputs by customer type'!J55)</f>
        <v>0.38549047445494738</v>
      </c>
      <c r="K45" s="144">
        <f>IF(K$25, K31 / hours_in_year, 'Inputs by customer type'!K55)</f>
        <v>0.26748387361695253</v>
      </c>
      <c r="L45" s="144">
        <f>IF(L$25, L31 / hours_in_year, 'Inputs by customer type'!L55)</f>
        <v>0.57905208787012652</v>
      </c>
      <c r="M45" s="144">
        <f>IF(M$25, M31 / hours_in_year, 'Inputs by customer type'!M55)</f>
        <v>0.32695988999963649</v>
      </c>
      <c r="N45" s="144">
        <f>IF(N$25, N31 / hours_in_year, 'Inputs by customer type'!N55)</f>
        <v>0.19910135244818641</v>
      </c>
      <c r="O45" s="144">
        <f>IF(O$25, O31 / hours_in_year, 'Inputs by customer type'!O55)</f>
        <v>0.64963860135773344</v>
      </c>
      <c r="P45" s="144">
        <f>IF(P$25, P31 / hours_in_year, 'Inputs by customer type'!P55)</f>
        <v>0.21787765820063329</v>
      </c>
      <c r="Q45" s="144">
        <f>IF(Q$25, Q31 / hours_in_year, 'Inputs by customer type'!Q55)</f>
        <v>0.21787765820063329</v>
      </c>
      <c r="R45" s="144">
        <f>IF(R$25, R31 / hours_in_year, 'Inputs by customer type'!R55)</f>
        <v>0.20663753056525558</v>
      </c>
      <c r="S45" s="144">
        <f>IF(S$25, S31 / hours_in_year, 'Inputs by customer type'!S55)</f>
        <v>0</v>
      </c>
      <c r="T45" s="144">
        <f>IF(T$25, T31 / hours_in_year, 'Inputs by customer type'!T55)</f>
        <v>0</v>
      </c>
      <c r="U45" s="144">
        <f>IF(U$25, U31 / hours_in_year, 'Inputs by customer type'!U55)</f>
        <v>0</v>
      </c>
      <c r="V45" s="144">
        <f>IF(V$25, V31 / hours_in_year, 'Inputs by customer type'!V55)</f>
        <v>0</v>
      </c>
      <c r="W45" s="144">
        <f>IF(W$25, W31 / hours_in_year, 'Inputs by customer type'!W55)</f>
        <v>0</v>
      </c>
      <c r="X45" s="144">
        <f>IF(X$25, X31 / hours_in_year, 'Inputs by customer type'!X55)</f>
        <v>0.48800458506830752</v>
      </c>
      <c r="Y45" s="144">
        <f>IF(Y$25, Y31 / hours_in_year, 'Inputs by customer type'!Y55)</f>
        <v>0.80349601705369267</v>
      </c>
      <c r="Z45" s="144">
        <f>IF(Z$25, Z31 / hours_in_year, 'Inputs by customer type'!Z55)</f>
        <v>0.61968154591988645</v>
      </c>
      <c r="AA45" s="144">
        <f>IF(AA$25, AA31 / hours_in_year, 'Inputs by customer type'!AA55)</f>
        <v>0.19885559531698174</v>
      </c>
      <c r="AB45" s="144">
        <f>IF(AB$25, AB31 / hours_in_year, 'Inputs by customer type'!AB55)</f>
        <v>0</v>
      </c>
      <c r="AC45" s="144">
        <f>IF(AC$25, AC31 / hours_in_year, 'Inputs by customer type'!AC55)</f>
        <v>0.48789954337899544</v>
      </c>
      <c r="AD45" s="144">
        <f>IF(AD$25, AD31 / hours_in_year, 'Inputs by customer type'!AD55)</f>
        <v>0.48789954337899544</v>
      </c>
      <c r="AE45" s="144">
        <f>IF(AE$25, AE31 / hours_in_year, 'Inputs by customer type'!AE55)</f>
        <v>0.48789954337899544</v>
      </c>
      <c r="AF45" s="144">
        <f>IF(AF$25, AF31 / hours_in_year, 'Inputs by customer type'!AF55)</f>
        <v>0.48789954337899544</v>
      </c>
      <c r="AG45" s="144">
        <f>IF(AG$25, AG31 / hours_in_year, 'Inputs by customer type'!AG55)</f>
        <v>0</v>
      </c>
      <c r="AH45" s="144">
        <f>IF(AH$25, AH31 / hours_in_year, 'Inputs by customer type'!AH55)</f>
        <v>0</v>
      </c>
      <c r="AI45" s="144">
        <f>IF(AI$25, AI31 / hours_in_year, 'Inputs by customer type'!AI55)</f>
        <v>0.48789954337899544</v>
      </c>
      <c r="AJ45" s="144">
        <f>IF(AJ$25, AJ31 / hours_in_year, 'Inputs by customer type'!AJ55)</f>
        <v>0.48789954337899544</v>
      </c>
      <c r="AK45" s="144">
        <f>IF(AK$25, AK31 / hours_in_year, 'Inputs by customer type'!AK55)</f>
        <v>0</v>
      </c>
      <c r="AL45" s="144">
        <f>IF(AL$25, AL31 / hours_in_year, 'Inputs by customer type'!AL55)</f>
        <v>0</v>
      </c>
      <c r="AM45" s="144">
        <f>IF(AM$25, AM31 / hours_in_year, 'Inputs by customer type'!AM55)</f>
        <v>0.48789954337899544</v>
      </c>
      <c r="AN45" s="144">
        <f>IF(AN$25, AN31 / hours_in_year, 'Inputs by customer type'!AN55)</f>
        <v>0.48789954337899544</v>
      </c>
      <c r="AO45" s="144">
        <f>IF(AO$25, AO31 / hours_in_year, 'Inputs by customer type'!AO55)</f>
        <v>0</v>
      </c>
      <c r="AP45" s="144">
        <f>IF(AP$25, AP31 / hours_in_year, 'Inputs by customer type'!AP55)</f>
        <v>0</v>
      </c>
    </row>
    <row r="46" spans="3:44" x14ac:dyDescent="0.25">
      <c r="F46" s="28" t="s">
        <v>534</v>
      </c>
      <c r="G46" s="28" t="s">
        <v>243</v>
      </c>
      <c r="J46" s="101">
        <f t="shared" ref="J46:AP46" si="1">J$36 * J43</f>
        <v>296681.08470302133</v>
      </c>
      <c r="K46" s="101">
        <f t="shared" si="1"/>
        <v>39855.510618499931</v>
      </c>
      <c r="L46" s="101">
        <f t="shared" si="1"/>
        <v>10042.746850085668</v>
      </c>
      <c r="M46" s="101">
        <f t="shared" si="1"/>
        <v>87760.406404180292</v>
      </c>
      <c r="N46" s="101">
        <f t="shared" si="1"/>
        <v>21421.065875606302</v>
      </c>
      <c r="O46" s="101">
        <f t="shared" si="1"/>
        <v>491.70962173556569</v>
      </c>
      <c r="P46" s="101">
        <f t="shared" si="1"/>
        <v>4166.9376893453473</v>
      </c>
      <c r="Q46" s="101">
        <f t="shared" si="1"/>
        <v>0</v>
      </c>
      <c r="R46" s="101">
        <f t="shared" si="1"/>
        <v>76.066821723249276</v>
      </c>
      <c r="S46" s="101">
        <f t="shared" si="1"/>
        <v>54.029994132566102</v>
      </c>
      <c r="T46" s="101">
        <f t="shared" si="1"/>
        <v>7839.6449077915986</v>
      </c>
      <c r="U46" s="101">
        <f t="shared" si="1"/>
        <v>168230.36601316402</v>
      </c>
      <c r="V46" s="101">
        <f t="shared" si="1"/>
        <v>11348.554214700629</v>
      </c>
      <c r="W46" s="101">
        <f t="shared" si="1"/>
        <v>88351.013324953004</v>
      </c>
      <c r="X46" s="101">
        <f t="shared" si="1"/>
        <v>416.20923723063765</v>
      </c>
      <c r="Y46" s="101">
        <f t="shared" si="1"/>
        <v>908.52634621480286</v>
      </c>
      <c r="Z46" s="101">
        <f t="shared" si="1"/>
        <v>350.079013727355</v>
      </c>
      <c r="AA46" s="101">
        <f t="shared" si="1"/>
        <v>0.60212947649043858</v>
      </c>
      <c r="AB46" s="101">
        <f t="shared" si="1"/>
        <v>4621.3412299929805</v>
      </c>
      <c r="AC46" s="101">
        <f t="shared" si="1"/>
        <v>573.17743153416154</v>
      </c>
      <c r="AD46" s="101">
        <f t="shared" si="1"/>
        <v>0</v>
      </c>
      <c r="AE46" s="101">
        <f t="shared" si="1"/>
        <v>32113.898583597005</v>
      </c>
      <c r="AF46" s="101">
        <f t="shared" si="1"/>
        <v>0</v>
      </c>
      <c r="AG46" s="101">
        <f t="shared" si="1"/>
        <v>5139.8693554110105</v>
      </c>
      <c r="AH46" s="101">
        <f t="shared" si="1"/>
        <v>0</v>
      </c>
      <c r="AI46" s="101">
        <f t="shared" si="1"/>
        <v>314.03028390410958</v>
      </c>
      <c r="AJ46" s="101">
        <f t="shared" si="1"/>
        <v>0</v>
      </c>
      <c r="AK46" s="101">
        <f t="shared" si="1"/>
        <v>0</v>
      </c>
      <c r="AL46" s="101">
        <f t="shared" si="1"/>
        <v>0</v>
      </c>
      <c r="AM46" s="101">
        <f t="shared" si="1"/>
        <v>58334.099514761656</v>
      </c>
      <c r="AN46" s="101">
        <f t="shared" si="1"/>
        <v>0</v>
      </c>
      <c r="AO46" s="101">
        <f t="shared" si="1"/>
        <v>92924.847805563244</v>
      </c>
      <c r="AP46" s="101">
        <f t="shared" si="1"/>
        <v>0</v>
      </c>
    </row>
    <row r="47" spans="3:44" x14ac:dyDescent="0.25">
      <c r="F47" s="28" t="s">
        <v>535</v>
      </c>
      <c r="G47" s="28" t="s">
        <v>243</v>
      </c>
      <c r="J47" s="101">
        <f t="shared" ref="J47:AP47" si="2">J$36 * J44</f>
        <v>1153168.5162194693</v>
      </c>
      <c r="K47" s="101">
        <f t="shared" si="2"/>
        <v>136925.46110997678</v>
      </c>
      <c r="L47" s="101">
        <f t="shared" si="2"/>
        <v>168041.74153083598</v>
      </c>
      <c r="M47" s="101">
        <f t="shared" si="2"/>
        <v>475782.25513228867</v>
      </c>
      <c r="N47" s="101">
        <f t="shared" si="2"/>
        <v>100459.30558626248</v>
      </c>
      <c r="O47" s="101">
        <f t="shared" si="2"/>
        <v>9367.9871856570353</v>
      </c>
      <c r="P47" s="101">
        <f t="shared" si="2"/>
        <v>19228.926801768506</v>
      </c>
      <c r="Q47" s="101">
        <f t="shared" si="2"/>
        <v>0</v>
      </c>
      <c r="R47" s="101">
        <f t="shared" si="2"/>
        <v>358.97363655983287</v>
      </c>
      <c r="S47" s="101">
        <f t="shared" si="2"/>
        <v>0</v>
      </c>
      <c r="T47" s="101">
        <f t="shared" si="2"/>
        <v>0</v>
      </c>
      <c r="U47" s="101">
        <f t="shared" si="2"/>
        <v>0</v>
      </c>
      <c r="V47" s="101">
        <f t="shared" si="2"/>
        <v>0</v>
      </c>
      <c r="W47" s="101">
        <f t="shared" si="2"/>
        <v>0</v>
      </c>
      <c r="X47" s="101">
        <f t="shared" si="2"/>
        <v>6824.9544413833082</v>
      </c>
      <c r="Y47" s="101">
        <f t="shared" si="2"/>
        <v>2487.1878650744475</v>
      </c>
      <c r="Z47" s="101">
        <f t="shared" si="2"/>
        <v>988.91815092299123</v>
      </c>
      <c r="AA47" s="101">
        <f t="shared" si="2"/>
        <v>34.846535951134236</v>
      </c>
      <c r="AB47" s="101">
        <f t="shared" si="2"/>
        <v>0</v>
      </c>
      <c r="AC47" s="101">
        <f t="shared" si="2"/>
        <v>2710.6973550076632</v>
      </c>
      <c r="AD47" s="101">
        <f t="shared" si="2"/>
        <v>0</v>
      </c>
      <c r="AE47" s="101">
        <f t="shared" si="2"/>
        <v>151874.54208819888</v>
      </c>
      <c r="AF47" s="101">
        <f t="shared" si="2"/>
        <v>0</v>
      </c>
      <c r="AG47" s="101">
        <f t="shared" si="2"/>
        <v>0</v>
      </c>
      <c r="AH47" s="101">
        <f t="shared" si="2"/>
        <v>0</v>
      </c>
      <c r="AI47" s="101">
        <f t="shared" si="2"/>
        <v>1485.126617237443</v>
      </c>
      <c r="AJ47" s="101">
        <f t="shared" si="2"/>
        <v>0</v>
      </c>
      <c r="AK47" s="101">
        <f t="shared" si="2"/>
        <v>0</v>
      </c>
      <c r="AL47" s="101">
        <f t="shared" si="2"/>
        <v>0</v>
      </c>
      <c r="AM47" s="101">
        <f t="shared" si="2"/>
        <v>275876.33525308099</v>
      </c>
      <c r="AN47" s="101">
        <f t="shared" si="2"/>
        <v>0</v>
      </c>
      <c r="AO47" s="101">
        <f t="shared" si="2"/>
        <v>0</v>
      </c>
      <c r="AP47" s="101">
        <f t="shared" si="2"/>
        <v>0</v>
      </c>
    </row>
    <row r="48" spans="3:44" x14ac:dyDescent="0.25">
      <c r="F48" s="67" t="s">
        <v>313</v>
      </c>
      <c r="G48" s="67" t="s">
        <v>243</v>
      </c>
      <c r="H48" s="37"/>
      <c r="I48" s="37"/>
      <c r="J48" s="103">
        <f t="shared" ref="J48:AP48" si="3">J$36 * J45</f>
        <v>909511.06095905602</v>
      </c>
      <c r="K48" s="103">
        <f t="shared" si="3"/>
        <v>64552.925726272799</v>
      </c>
      <c r="L48" s="103">
        <f t="shared" si="3"/>
        <v>244971.38919753261</v>
      </c>
      <c r="M48" s="103">
        <f t="shared" si="3"/>
        <v>273766.51686623367</v>
      </c>
      <c r="N48" s="103">
        <f t="shared" si="3"/>
        <v>30299.148174520436</v>
      </c>
      <c r="O48" s="103">
        <f t="shared" si="3"/>
        <v>18281.807495311008</v>
      </c>
      <c r="P48" s="103">
        <f t="shared" si="3"/>
        <v>6517.4409353605361</v>
      </c>
      <c r="Q48" s="103">
        <f t="shared" si="3"/>
        <v>0</v>
      </c>
      <c r="R48" s="103">
        <f t="shared" si="3"/>
        <v>113.30972847712616</v>
      </c>
      <c r="S48" s="103">
        <f t="shared" si="3"/>
        <v>0</v>
      </c>
      <c r="T48" s="103">
        <f t="shared" si="3"/>
        <v>0</v>
      </c>
      <c r="U48" s="103">
        <f t="shared" si="3"/>
        <v>0</v>
      </c>
      <c r="V48" s="103">
        <f t="shared" si="3"/>
        <v>0</v>
      </c>
      <c r="W48" s="103">
        <f t="shared" si="3"/>
        <v>0</v>
      </c>
      <c r="X48" s="103">
        <f t="shared" si="3"/>
        <v>6901.860784954777</v>
      </c>
      <c r="Y48" s="103">
        <f t="shared" si="3"/>
        <v>13884.923872352521</v>
      </c>
      <c r="Z48" s="103">
        <f t="shared" si="3"/>
        <v>2181.7290853787631</v>
      </c>
      <c r="AA48" s="103">
        <f t="shared" si="3"/>
        <v>8.798869998464129</v>
      </c>
      <c r="AB48" s="103">
        <f t="shared" si="3"/>
        <v>0</v>
      </c>
      <c r="AC48" s="103">
        <f t="shared" si="3"/>
        <v>3128.6849838786802</v>
      </c>
      <c r="AD48" s="103">
        <f t="shared" si="3"/>
        <v>0</v>
      </c>
      <c r="AE48" s="103">
        <f t="shared" si="3"/>
        <v>175293.48984200973</v>
      </c>
      <c r="AF48" s="103">
        <f t="shared" si="3"/>
        <v>0</v>
      </c>
      <c r="AG48" s="103">
        <f t="shared" si="3"/>
        <v>0</v>
      </c>
      <c r="AH48" s="103">
        <f t="shared" si="3"/>
        <v>0</v>
      </c>
      <c r="AI48" s="103">
        <f t="shared" si="3"/>
        <v>1714.1320988584475</v>
      </c>
      <c r="AJ48" s="103">
        <f t="shared" si="3"/>
        <v>0</v>
      </c>
      <c r="AK48" s="103">
        <f t="shared" si="3"/>
        <v>0</v>
      </c>
      <c r="AL48" s="103">
        <f t="shared" si="3"/>
        <v>0</v>
      </c>
      <c r="AM48" s="103">
        <f t="shared" si="3"/>
        <v>318416.27244711539</v>
      </c>
      <c r="AN48" s="103">
        <f t="shared" si="3"/>
        <v>0</v>
      </c>
      <c r="AO48" s="103">
        <f t="shared" si="3"/>
        <v>0</v>
      </c>
      <c r="AP48" s="103">
        <f t="shared" si="3"/>
        <v>0</v>
      </c>
    </row>
    <row r="49" spans="5:42" x14ac:dyDescent="0.25">
      <c r="F49" s="28"/>
      <c r="G49" s="28"/>
    </row>
    <row r="50" spans="5:42" x14ac:dyDescent="0.25">
      <c r="E50" s="32" t="s">
        <v>314</v>
      </c>
      <c r="F50" s="28"/>
      <c r="G50" s="28"/>
    </row>
    <row r="51" spans="5:42" x14ac:dyDescent="0.25">
      <c r="E51" s="29" t="s">
        <v>533</v>
      </c>
    </row>
    <row r="52" spans="5:42" x14ac:dyDescent="0.25">
      <c r="F52" s="64" t="s">
        <v>534</v>
      </c>
      <c r="G52" s="64" t="s">
        <v>203</v>
      </c>
      <c r="H52" s="23"/>
      <c r="I52" s="23"/>
      <c r="J52" s="110">
        <f>'Inputs by customer type'!J58</f>
        <v>0</v>
      </c>
      <c r="K52" s="110">
        <f>'Inputs by customer type'!K58</f>
        <v>1.0561760986369689E-2</v>
      </c>
      <c r="L52" s="110">
        <f>'Inputs by customer type'!L58</f>
        <v>0</v>
      </c>
      <c r="M52" s="110">
        <f>'Inputs by customer type'!M58</f>
        <v>0</v>
      </c>
      <c r="N52" s="110">
        <f>'Inputs by customer type'!N58</f>
        <v>3.548350252312878E-6</v>
      </c>
      <c r="O52" s="110">
        <f>'Inputs by customer type'!O58</f>
        <v>0</v>
      </c>
      <c r="P52" s="110">
        <f>'Inputs by customer type'!P58</f>
        <v>0</v>
      </c>
      <c r="Q52" s="110">
        <f>'Inputs by customer type'!Q58</f>
        <v>0</v>
      </c>
      <c r="R52" s="110">
        <f>'Inputs by customer type'!R58</f>
        <v>0</v>
      </c>
      <c r="S52" s="110">
        <f>'Inputs by customer type'!S58</f>
        <v>0</v>
      </c>
      <c r="T52" s="110">
        <f>'Inputs by customer type'!T58</f>
        <v>0</v>
      </c>
      <c r="U52" s="110">
        <f>'Inputs by customer type'!U58</f>
        <v>0</v>
      </c>
      <c r="V52" s="110">
        <f>'Inputs by customer type'!V58</f>
        <v>0</v>
      </c>
      <c r="W52" s="110">
        <f>'Inputs by customer type'!W58</f>
        <v>0</v>
      </c>
      <c r="X52" s="110">
        <f>'Inputs by customer type'!X58</f>
        <v>0</v>
      </c>
      <c r="Y52" s="110">
        <f>'Inputs by customer type'!Y58</f>
        <v>0</v>
      </c>
      <c r="Z52" s="110">
        <f>'Inputs by customer type'!Z58</f>
        <v>0</v>
      </c>
      <c r="AA52" s="110">
        <f>'Inputs by customer type'!AA58</f>
        <v>0</v>
      </c>
      <c r="AB52" s="110">
        <f>'Inputs by customer type'!AB58</f>
        <v>0</v>
      </c>
      <c r="AC52" s="110">
        <f>'Inputs by customer type'!AC58</f>
        <v>0</v>
      </c>
      <c r="AD52" s="110">
        <f>'Inputs by customer type'!AD58</f>
        <v>0</v>
      </c>
      <c r="AE52" s="110">
        <f>'Inputs by customer type'!AE58</f>
        <v>0</v>
      </c>
      <c r="AF52" s="110">
        <f>'Inputs by customer type'!AF58</f>
        <v>0</v>
      </c>
      <c r="AG52" s="110">
        <f>'Inputs by customer type'!AG58</f>
        <v>0</v>
      </c>
      <c r="AH52" s="110">
        <f>'Inputs by customer type'!AH58</f>
        <v>0</v>
      </c>
      <c r="AI52" s="110">
        <f>'Inputs by customer type'!AI58</f>
        <v>0</v>
      </c>
      <c r="AJ52" s="110">
        <f>'Inputs by customer type'!AJ58</f>
        <v>0</v>
      </c>
      <c r="AK52" s="110">
        <f>'Inputs by customer type'!AK58</f>
        <v>0</v>
      </c>
      <c r="AL52" s="110">
        <f>'Inputs by customer type'!AL58</f>
        <v>0</v>
      </c>
      <c r="AM52" s="110">
        <f>'Inputs by customer type'!AM58</f>
        <v>0</v>
      </c>
      <c r="AN52" s="110">
        <f>'Inputs by customer type'!AN58</f>
        <v>0</v>
      </c>
      <c r="AO52" s="110">
        <f>'Inputs by customer type'!AO58</f>
        <v>0</v>
      </c>
      <c r="AP52" s="110">
        <f>'Inputs by customer type'!AP58</f>
        <v>0</v>
      </c>
    </row>
    <row r="53" spans="5:42" x14ac:dyDescent="0.25">
      <c r="F53" s="28" t="s">
        <v>535</v>
      </c>
      <c r="G53" s="28" t="s">
        <v>203</v>
      </c>
      <c r="J53" s="25">
        <f>'Inputs by customer type'!J59</f>
        <v>0</v>
      </c>
      <c r="K53" s="25">
        <f>'Inputs by customer type'!K59</f>
        <v>0.14847973630421821</v>
      </c>
      <c r="L53" s="25">
        <f>'Inputs by customer type'!L59</f>
        <v>0</v>
      </c>
      <c r="M53" s="25">
        <f>'Inputs by customer type'!M59</f>
        <v>0</v>
      </c>
      <c r="N53" s="25">
        <f>'Inputs by customer type'!N59</f>
        <v>7.6947624624387881E-2</v>
      </c>
      <c r="O53" s="25">
        <f>'Inputs by customer type'!O59</f>
        <v>0</v>
      </c>
      <c r="P53" s="25">
        <f>'Inputs by customer type'!P59</f>
        <v>0.14724346024950605</v>
      </c>
      <c r="Q53" s="25">
        <f>'Inputs by customer type'!Q59</f>
        <v>0.14724346024950605</v>
      </c>
      <c r="R53" s="25">
        <f>'Inputs by customer type'!R59</f>
        <v>0.14092740400497242</v>
      </c>
      <c r="S53" s="25">
        <f>'Inputs by customer type'!S59</f>
        <v>1</v>
      </c>
      <c r="T53" s="25">
        <f>'Inputs by customer type'!T59</f>
        <v>1</v>
      </c>
      <c r="U53" s="25">
        <f>'Inputs by customer type'!U59</f>
        <v>1</v>
      </c>
      <c r="V53" s="25">
        <f>'Inputs by customer type'!V59</f>
        <v>1</v>
      </c>
      <c r="W53" s="25">
        <f>'Inputs by customer type'!W59</f>
        <v>1</v>
      </c>
      <c r="X53" s="25">
        <f>'Inputs by customer type'!X59</f>
        <v>0</v>
      </c>
      <c r="Y53" s="25">
        <f>'Inputs by customer type'!Y59</f>
        <v>0</v>
      </c>
      <c r="Z53" s="25">
        <f>'Inputs by customer type'!Z59</f>
        <v>0</v>
      </c>
      <c r="AA53" s="25">
        <f>'Inputs by customer type'!AA59</f>
        <v>0</v>
      </c>
      <c r="AB53" s="25">
        <f>'Inputs by customer type'!AB59</f>
        <v>1</v>
      </c>
      <c r="AC53" s="25">
        <f>'Inputs by customer type'!AC59</f>
        <v>0</v>
      </c>
      <c r="AD53" s="25">
        <f>'Inputs by customer type'!AD59</f>
        <v>0</v>
      </c>
      <c r="AE53" s="25">
        <f>'Inputs by customer type'!AE59</f>
        <v>0</v>
      </c>
      <c r="AF53" s="25">
        <f>'Inputs by customer type'!AF59</f>
        <v>0</v>
      </c>
      <c r="AG53" s="25">
        <f>'Inputs by customer type'!AG59</f>
        <v>1</v>
      </c>
      <c r="AH53" s="25">
        <f>'Inputs by customer type'!AH59</f>
        <v>1</v>
      </c>
      <c r="AI53" s="25">
        <f>'Inputs by customer type'!AI59</f>
        <v>0</v>
      </c>
      <c r="AJ53" s="25">
        <f>'Inputs by customer type'!AJ59</f>
        <v>0</v>
      </c>
      <c r="AK53" s="25">
        <f>'Inputs by customer type'!AK59</f>
        <v>1</v>
      </c>
      <c r="AL53" s="25">
        <f>'Inputs by customer type'!AL59</f>
        <v>1</v>
      </c>
      <c r="AM53" s="25">
        <f>'Inputs by customer type'!AM59</f>
        <v>0</v>
      </c>
      <c r="AN53" s="25">
        <f>'Inputs by customer type'!AN59</f>
        <v>0</v>
      </c>
      <c r="AO53" s="25">
        <f>'Inputs by customer type'!AO59</f>
        <v>1</v>
      </c>
      <c r="AP53" s="25">
        <f>'Inputs by customer type'!AP59</f>
        <v>1</v>
      </c>
    </row>
    <row r="54" spans="5:42" x14ac:dyDescent="0.25">
      <c r="F54" s="67" t="s">
        <v>313</v>
      </c>
      <c r="G54" s="67" t="s">
        <v>203</v>
      </c>
      <c r="H54" s="37"/>
      <c r="I54" s="37"/>
      <c r="J54" s="144">
        <f>'Inputs by customer type'!J60</f>
        <v>0</v>
      </c>
      <c r="K54" s="144">
        <f>'Inputs by customer type'!K60</f>
        <v>0.84095850270941208</v>
      </c>
      <c r="L54" s="144">
        <f>'Inputs by customer type'!L60</f>
        <v>0</v>
      </c>
      <c r="M54" s="144">
        <f>'Inputs by customer type'!M60</f>
        <v>0</v>
      </c>
      <c r="N54" s="144">
        <f>'Inputs by customer type'!N60</f>
        <v>0.92304882702535984</v>
      </c>
      <c r="O54" s="144">
        <f>'Inputs by customer type'!O60</f>
        <v>0</v>
      </c>
      <c r="P54" s="144">
        <f>'Inputs by customer type'!P60</f>
        <v>0.85275653975049392</v>
      </c>
      <c r="Q54" s="144">
        <f>'Inputs by customer type'!Q60</f>
        <v>0.85275653975049392</v>
      </c>
      <c r="R54" s="144">
        <f>'Inputs by customer type'!R60</f>
        <v>0.8590725959950275</v>
      </c>
      <c r="S54" s="144">
        <f>'Inputs by customer type'!S60</f>
        <v>0</v>
      </c>
      <c r="T54" s="144">
        <f>'Inputs by customer type'!T60</f>
        <v>0</v>
      </c>
      <c r="U54" s="144">
        <f>'Inputs by customer type'!U60</f>
        <v>0</v>
      </c>
      <c r="V54" s="144">
        <f>'Inputs by customer type'!V60</f>
        <v>0</v>
      </c>
      <c r="W54" s="144">
        <f>'Inputs by customer type'!W60</f>
        <v>0</v>
      </c>
      <c r="X54" s="144">
        <f>'Inputs by customer type'!X60</f>
        <v>0</v>
      </c>
      <c r="Y54" s="144">
        <f>'Inputs by customer type'!Y60</f>
        <v>0</v>
      </c>
      <c r="Z54" s="144">
        <f>'Inputs by customer type'!Z60</f>
        <v>0</v>
      </c>
      <c r="AA54" s="144">
        <f>'Inputs by customer type'!AA60</f>
        <v>0</v>
      </c>
      <c r="AB54" s="144">
        <f>'Inputs by customer type'!AB60</f>
        <v>0</v>
      </c>
      <c r="AC54" s="144">
        <f>'Inputs by customer type'!AC60</f>
        <v>0</v>
      </c>
      <c r="AD54" s="144">
        <f>'Inputs by customer type'!AD60</f>
        <v>0</v>
      </c>
      <c r="AE54" s="144">
        <f>'Inputs by customer type'!AE60</f>
        <v>0</v>
      </c>
      <c r="AF54" s="144">
        <f>'Inputs by customer type'!AF60</f>
        <v>0</v>
      </c>
      <c r="AG54" s="144">
        <f>'Inputs by customer type'!AG60</f>
        <v>0</v>
      </c>
      <c r="AH54" s="144">
        <f>'Inputs by customer type'!AH60</f>
        <v>0</v>
      </c>
      <c r="AI54" s="144">
        <f>'Inputs by customer type'!AI60</f>
        <v>0</v>
      </c>
      <c r="AJ54" s="144">
        <f>'Inputs by customer type'!AJ60</f>
        <v>0</v>
      </c>
      <c r="AK54" s="144">
        <f>'Inputs by customer type'!AK60</f>
        <v>0</v>
      </c>
      <c r="AL54" s="144">
        <f>'Inputs by customer type'!AL60</f>
        <v>0</v>
      </c>
      <c r="AM54" s="144">
        <f>'Inputs by customer type'!AM60</f>
        <v>0</v>
      </c>
      <c r="AN54" s="144">
        <f>'Inputs by customer type'!AN60</f>
        <v>0</v>
      </c>
      <c r="AO54" s="144">
        <f>'Inputs by customer type'!AO60</f>
        <v>0</v>
      </c>
      <c r="AP54" s="144">
        <f>'Inputs by customer type'!AP60</f>
        <v>0</v>
      </c>
    </row>
    <row r="55" spans="5:42" x14ac:dyDescent="0.25">
      <c r="F55" s="28" t="s">
        <v>534</v>
      </c>
      <c r="G55" s="28" t="s">
        <v>243</v>
      </c>
      <c r="J55" s="101">
        <f t="shared" ref="J55:AP55" si="4">J$37 * J52</f>
        <v>0</v>
      </c>
      <c r="K55" s="101">
        <f t="shared" si="4"/>
        <v>2157.6621251053057</v>
      </c>
      <c r="L55" s="101">
        <f t="shared" si="4"/>
        <v>0</v>
      </c>
      <c r="M55" s="101">
        <f t="shared" si="4"/>
        <v>0</v>
      </c>
      <c r="N55" s="101">
        <f t="shared" si="4"/>
        <v>0.29199285195675295</v>
      </c>
      <c r="O55" s="101">
        <f t="shared" si="4"/>
        <v>0</v>
      </c>
      <c r="P55" s="101">
        <f t="shared" si="4"/>
        <v>0</v>
      </c>
      <c r="Q55" s="101">
        <f t="shared" si="4"/>
        <v>0</v>
      </c>
      <c r="R55" s="101">
        <f t="shared" si="4"/>
        <v>0</v>
      </c>
      <c r="S55" s="101">
        <f t="shared" si="4"/>
        <v>0</v>
      </c>
      <c r="T55" s="101">
        <f t="shared" si="4"/>
        <v>0</v>
      </c>
      <c r="U55" s="101">
        <f t="shared" si="4"/>
        <v>0</v>
      </c>
      <c r="V55" s="101">
        <f t="shared" si="4"/>
        <v>0</v>
      </c>
      <c r="W55" s="101">
        <f t="shared" si="4"/>
        <v>0</v>
      </c>
      <c r="X55" s="101">
        <f t="shared" si="4"/>
        <v>0</v>
      </c>
      <c r="Y55" s="101">
        <f t="shared" si="4"/>
        <v>0</v>
      </c>
      <c r="Z55" s="101">
        <f t="shared" si="4"/>
        <v>0</v>
      </c>
      <c r="AA55" s="101">
        <f t="shared" si="4"/>
        <v>0</v>
      </c>
      <c r="AB55" s="101">
        <f t="shared" si="4"/>
        <v>0</v>
      </c>
      <c r="AC55" s="101">
        <f t="shared" si="4"/>
        <v>0</v>
      </c>
      <c r="AD55" s="101">
        <f t="shared" si="4"/>
        <v>0</v>
      </c>
      <c r="AE55" s="101">
        <f t="shared" si="4"/>
        <v>0</v>
      </c>
      <c r="AF55" s="101">
        <f t="shared" si="4"/>
        <v>0</v>
      </c>
      <c r="AG55" s="101">
        <f t="shared" si="4"/>
        <v>0</v>
      </c>
      <c r="AH55" s="101">
        <f t="shared" si="4"/>
        <v>0</v>
      </c>
      <c r="AI55" s="101">
        <f t="shared" si="4"/>
        <v>0</v>
      </c>
      <c r="AJ55" s="101">
        <f t="shared" si="4"/>
        <v>0</v>
      </c>
      <c r="AK55" s="101">
        <f t="shared" si="4"/>
        <v>0</v>
      </c>
      <c r="AL55" s="101">
        <f t="shared" si="4"/>
        <v>0</v>
      </c>
      <c r="AM55" s="101">
        <f t="shared" si="4"/>
        <v>0</v>
      </c>
      <c r="AN55" s="101">
        <f t="shared" si="4"/>
        <v>0</v>
      </c>
      <c r="AO55" s="101">
        <f t="shared" si="4"/>
        <v>0</v>
      </c>
      <c r="AP55" s="101">
        <f t="shared" si="4"/>
        <v>0</v>
      </c>
    </row>
    <row r="56" spans="5:42" x14ac:dyDescent="0.25">
      <c r="F56" s="28" t="s">
        <v>535</v>
      </c>
      <c r="G56" s="28" t="s">
        <v>243</v>
      </c>
      <c r="J56" s="101">
        <f t="shared" ref="J56:AP56" si="5">J$37 * J53</f>
        <v>0</v>
      </c>
      <c r="K56" s="101">
        <f t="shared" si="5"/>
        <v>30332.924952825771</v>
      </c>
      <c r="L56" s="101">
        <f t="shared" si="5"/>
        <v>0</v>
      </c>
      <c r="M56" s="101">
        <f t="shared" si="5"/>
        <v>0</v>
      </c>
      <c r="N56" s="101">
        <f t="shared" si="5"/>
        <v>6332.0007236398224</v>
      </c>
      <c r="O56" s="101">
        <f t="shared" si="5"/>
        <v>0</v>
      </c>
      <c r="P56" s="101">
        <f t="shared" si="5"/>
        <v>1478.6609284982242</v>
      </c>
      <c r="Q56" s="101">
        <f t="shared" si="5"/>
        <v>0</v>
      </c>
      <c r="R56" s="101">
        <f t="shared" si="5"/>
        <v>38.024713517870957</v>
      </c>
      <c r="S56" s="101">
        <f t="shared" si="5"/>
        <v>136.73224650179375</v>
      </c>
      <c r="T56" s="101">
        <f t="shared" si="5"/>
        <v>39067.558275099967</v>
      </c>
      <c r="U56" s="101">
        <f t="shared" si="5"/>
        <v>813957.57788120955</v>
      </c>
      <c r="V56" s="101">
        <f t="shared" si="5"/>
        <v>55692.626742093176</v>
      </c>
      <c r="W56" s="101">
        <f t="shared" si="5"/>
        <v>428873.62609942525</v>
      </c>
      <c r="X56" s="101">
        <f t="shared" si="5"/>
        <v>0</v>
      </c>
      <c r="Y56" s="101">
        <f t="shared" si="5"/>
        <v>0</v>
      </c>
      <c r="Z56" s="101">
        <f t="shared" si="5"/>
        <v>0</v>
      </c>
      <c r="AA56" s="101">
        <f t="shared" si="5"/>
        <v>0</v>
      </c>
      <c r="AB56" s="101">
        <f t="shared" si="5"/>
        <v>15832.064594910415</v>
      </c>
      <c r="AC56" s="101">
        <f t="shared" si="5"/>
        <v>0</v>
      </c>
      <c r="AD56" s="101">
        <f t="shared" si="5"/>
        <v>0</v>
      </c>
      <c r="AE56" s="101">
        <f t="shared" si="5"/>
        <v>0</v>
      </c>
      <c r="AF56" s="101">
        <f t="shared" si="5"/>
        <v>0</v>
      </c>
      <c r="AG56" s="101">
        <f t="shared" si="5"/>
        <v>22429.580480403067</v>
      </c>
      <c r="AH56" s="101">
        <f t="shared" si="5"/>
        <v>0</v>
      </c>
      <c r="AI56" s="101">
        <f t="shared" si="5"/>
        <v>0</v>
      </c>
      <c r="AJ56" s="101">
        <f t="shared" si="5"/>
        <v>0</v>
      </c>
      <c r="AK56" s="101">
        <f t="shared" si="5"/>
        <v>0</v>
      </c>
      <c r="AL56" s="101">
        <f t="shared" si="5"/>
        <v>0</v>
      </c>
      <c r="AM56" s="101">
        <f t="shared" si="5"/>
        <v>0</v>
      </c>
      <c r="AN56" s="101">
        <f t="shared" si="5"/>
        <v>0</v>
      </c>
      <c r="AO56" s="101">
        <f t="shared" si="5"/>
        <v>385063.70152251818</v>
      </c>
      <c r="AP56" s="101">
        <f t="shared" si="5"/>
        <v>0</v>
      </c>
    </row>
    <row r="57" spans="5:42" x14ac:dyDescent="0.25">
      <c r="F57" s="67" t="s">
        <v>313</v>
      </c>
      <c r="G57" s="67" t="s">
        <v>243</v>
      </c>
      <c r="H57" s="37"/>
      <c r="I57" s="37"/>
      <c r="J57" s="103">
        <f t="shared" ref="J57:AP57" si="6">J$37 * J54</f>
        <v>0</v>
      </c>
      <c r="K57" s="103">
        <f t="shared" si="6"/>
        <v>171799.4103845983</v>
      </c>
      <c r="L57" s="103">
        <f t="shared" si="6"/>
        <v>0</v>
      </c>
      <c r="M57" s="103">
        <f t="shared" si="6"/>
        <v>0</v>
      </c>
      <c r="N57" s="103">
        <f t="shared" si="6"/>
        <v>75957.456376463975</v>
      </c>
      <c r="O57" s="103">
        <f t="shared" si="6"/>
        <v>0</v>
      </c>
      <c r="P57" s="103">
        <f t="shared" si="6"/>
        <v>8563.6249970879653</v>
      </c>
      <c r="Q57" s="103">
        <f t="shared" si="6"/>
        <v>0</v>
      </c>
      <c r="R57" s="103">
        <f t="shared" si="6"/>
        <v>231.79302552548293</v>
      </c>
      <c r="S57" s="103">
        <f t="shared" si="6"/>
        <v>0</v>
      </c>
      <c r="T57" s="103">
        <f t="shared" si="6"/>
        <v>0</v>
      </c>
      <c r="U57" s="103">
        <f t="shared" si="6"/>
        <v>0</v>
      </c>
      <c r="V57" s="103">
        <f t="shared" si="6"/>
        <v>0</v>
      </c>
      <c r="W57" s="103">
        <f t="shared" si="6"/>
        <v>0</v>
      </c>
      <c r="X57" s="103">
        <f t="shared" si="6"/>
        <v>0</v>
      </c>
      <c r="Y57" s="103">
        <f t="shared" si="6"/>
        <v>0</v>
      </c>
      <c r="Z57" s="103">
        <f t="shared" si="6"/>
        <v>0</v>
      </c>
      <c r="AA57" s="103">
        <f t="shared" si="6"/>
        <v>0</v>
      </c>
      <c r="AB57" s="103">
        <f t="shared" si="6"/>
        <v>0</v>
      </c>
      <c r="AC57" s="103">
        <f t="shared" si="6"/>
        <v>0</v>
      </c>
      <c r="AD57" s="103">
        <f t="shared" si="6"/>
        <v>0</v>
      </c>
      <c r="AE57" s="103">
        <f t="shared" si="6"/>
        <v>0</v>
      </c>
      <c r="AF57" s="103">
        <f t="shared" si="6"/>
        <v>0</v>
      </c>
      <c r="AG57" s="103">
        <f t="shared" si="6"/>
        <v>0</v>
      </c>
      <c r="AH57" s="103">
        <f t="shared" si="6"/>
        <v>0</v>
      </c>
      <c r="AI57" s="103">
        <f t="shared" si="6"/>
        <v>0</v>
      </c>
      <c r="AJ57" s="103">
        <f t="shared" si="6"/>
        <v>0</v>
      </c>
      <c r="AK57" s="103">
        <f t="shared" si="6"/>
        <v>0</v>
      </c>
      <c r="AL57" s="103">
        <f t="shared" si="6"/>
        <v>0</v>
      </c>
      <c r="AM57" s="103">
        <f t="shared" si="6"/>
        <v>0</v>
      </c>
      <c r="AN57" s="103">
        <f t="shared" si="6"/>
        <v>0</v>
      </c>
      <c r="AO57" s="103">
        <f t="shared" si="6"/>
        <v>0</v>
      </c>
      <c r="AP57" s="103">
        <f t="shared" si="6"/>
        <v>0</v>
      </c>
    </row>
    <row r="59" spans="5:42" x14ac:dyDescent="0.25">
      <c r="E59" s="32" t="s">
        <v>315</v>
      </c>
      <c r="F59" s="28"/>
      <c r="G59" s="28"/>
    </row>
    <row r="60" spans="5:42" x14ac:dyDescent="0.25">
      <c r="E60" s="29" t="s">
        <v>533</v>
      </c>
    </row>
    <row r="61" spans="5:42" x14ac:dyDescent="0.25">
      <c r="F61" s="64" t="s">
        <v>534</v>
      </c>
      <c r="G61" s="64" t="s">
        <v>203</v>
      </c>
      <c r="H61" s="23"/>
      <c r="I61" s="23"/>
      <c r="J61" s="110">
        <f>'Inputs by customer type'!J63</f>
        <v>0</v>
      </c>
      <c r="K61" s="110">
        <f>'Inputs by customer type'!K63</f>
        <v>0</v>
      </c>
      <c r="L61" s="110">
        <f>'Inputs by customer type'!L63</f>
        <v>0</v>
      </c>
      <c r="M61" s="110">
        <f>'Inputs by customer type'!M63</f>
        <v>0</v>
      </c>
      <c r="N61" s="110">
        <f>'Inputs by customer type'!N63</f>
        <v>0</v>
      </c>
      <c r="O61" s="110">
        <f>'Inputs by customer type'!O63</f>
        <v>0</v>
      </c>
      <c r="P61" s="110">
        <f>'Inputs by customer type'!P63</f>
        <v>0</v>
      </c>
      <c r="Q61" s="110">
        <f>'Inputs by customer type'!Q63</f>
        <v>0</v>
      </c>
      <c r="R61" s="110">
        <f>'Inputs by customer type'!R63</f>
        <v>0</v>
      </c>
      <c r="S61" s="110">
        <f>'Inputs by customer type'!S63</f>
        <v>0</v>
      </c>
      <c r="T61" s="110">
        <f>'Inputs by customer type'!T63</f>
        <v>0</v>
      </c>
      <c r="U61" s="110">
        <f>'Inputs by customer type'!U63</f>
        <v>0</v>
      </c>
      <c r="V61" s="110">
        <f>'Inputs by customer type'!V63</f>
        <v>0</v>
      </c>
      <c r="W61" s="110">
        <f>'Inputs by customer type'!W63</f>
        <v>0</v>
      </c>
      <c r="X61" s="110">
        <f>'Inputs by customer type'!X63</f>
        <v>0</v>
      </c>
      <c r="Y61" s="110">
        <f>'Inputs by customer type'!Y63</f>
        <v>0</v>
      </c>
      <c r="Z61" s="110">
        <f>'Inputs by customer type'!Z63</f>
        <v>0</v>
      </c>
      <c r="AA61" s="110">
        <f>'Inputs by customer type'!AA63</f>
        <v>0</v>
      </c>
      <c r="AB61" s="110">
        <f>'Inputs by customer type'!AB63</f>
        <v>0</v>
      </c>
      <c r="AC61" s="110">
        <f>'Inputs by customer type'!AC63</f>
        <v>0</v>
      </c>
      <c r="AD61" s="110">
        <f>'Inputs by customer type'!AD63</f>
        <v>0</v>
      </c>
      <c r="AE61" s="110">
        <f>'Inputs by customer type'!AE63</f>
        <v>0</v>
      </c>
      <c r="AF61" s="110">
        <f>'Inputs by customer type'!AF63</f>
        <v>0</v>
      </c>
      <c r="AG61" s="110">
        <f>'Inputs by customer type'!AG63</f>
        <v>0</v>
      </c>
      <c r="AH61" s="110">
        <f>'Inputs by customer type'!AH63</f>
        <v>0</v>
      </c>
      <c r="AI61" s="110">
        <f>'Inputs by customer type'!AI63</f>
        <v>0</v>
      </c>
      <c r="AJ61" s="110">
        <f>'Inputs by customer type'!AJ63</f>
        <v>0</v>
      </c>
      <c r="AK61" s="110">
        <f>'Inputs by customer type'!AK63</f>
        <v>0</v>
      </c>
      <c r="AL61" s="110">
        <f>'Inputs by customer type'!AL63</f>
        <v>0</v>
      </c>
      <c r="AM61" s="110">
        <f>'Inputs by customer type'!AM63</f>
        <v>0</v>
      </c>
      <c r="AN61" s="110">
        <f>'Inputs by customer type'!AN63</f>
        <v>0</v>
      </c>
      <c r="AO61" s="110">
        <f>'Inputs by customer type'!AO63</f>
        <v>0</v>
      </c>
      <c r="AP61" s="110">
        <f>'Inputs by customer type'!AP63</f>
        <v>0</v>
      </c>
    </row>
    <row r="62" spans="5:42" x14ac:dyDescent="0.25">
      <c r="F62" s="28" t="s">
        <v>535</v>
      </c>
      <c r="G62" s="28" t="s">
        <v>203</v>
      </c>
      <c r="J62" s="25">
        <f>'Inputs by customer type'!J64</f>
        <v>0</v>
      </c>
      <c r="K62" s="25">
        <f>'Inputs by customer type'!K64</f>
        <v>0</v>
      </c>
      <c r="L62" s="25">
        <f>'Inputs by customer type'!L64</f>
        <v>0</v>
      </c>
      <c r="M62" s="25">
        <f>'Inputs by customer type'!M64</f>
        <v>0</v>
      </c>
      <c r="N62" s="25">
        <f>'Inputs by customer type'!N64</f>
        <v>0</v>
      </c>
      <c r="O62" s="25">
        <f>'Inputs by customer type'!O64</f>
        <v>0</v>
      </c>
      <c r="P62" s="25">
        <f>'Inputs by customer type'!P64</f>
        <v>0</v>
      </c>
      <c r="Q62" s="25">
        <f>'Inputs by customer type'!Q64</f>
        <v>0</v>
      </c>
      <c r="R62" s="25">
        <f>'Inputs by customer type'!R64</f>
        <v>0</v>
      </c>
      <c r="S62" s="25">
        <f>'Inputs by customer type'!S64</f>
        <v>0</v>
      </c>
      <c r="T62" s="25">
        <f>'Inputs by customer type'!T64</f>
        <v>0</v>
      </c>
      <c r="U62" s="25">
        <f>'Inputs by customer type'!U64</f>
        <v>0</v>
      </c>
      <c r="V62" s="25">
        <f>'Inputs by customer type'!V64</f>
        <v>0</v>
      </c>
      <c r="W62" s="25">
        <f>'Inputs by customer type'!W64</f>
        <v>0</v>
      </c>
      <c r="X62" s="25">
        <f>'Inputs by customer type'!X64</f>
        <v>0</v>
      </c>
      <c r="Y62" s="25">
        <f>'Inputs by customer type'!Y64</f>
        <v>0</v>
      </c>
      <c r="Z62" s="25">
        <f>'Inputs by customer type'!Z64</f>
        <v>0</v>
      </c>
      <c r="AA62" s="25">
        <f>'Inputs by customer type'!AA64</f>
        <v>0</v>
      </c>
      <c r="AB62" s="25">
        <f>'Inputs by customer type'!AB64</f>
        <v>0</v>
      </c>
      <c r="AC62" s="25">
        <f>'Inputs by customer type'!AC64</f>
        <v>0</v>
      </c>
      <c r="AD62" s="25">
        <f>'Inputs by customer type'!AD64</f>
        <v>0</v>
      </c>
      <c r="AE62" s="25">
        <f>'Inputs by customer type'!AE64</f>
        <v>0</v>
      </c>
      <c r="AF62" s="25">
        <f>'Inputs by customer type'!AF64</f>
        <v>0</v>
      </c>
      <c r="AG62" s="25">
        <f>'Inputs by customer type'!AG64</f>
        <v>0</v>
      </c>
      <c r="AH62" s="25">
        <f>'Inputs by customer type'!AH64</f>
        <v>0</v>
      </c>
      <c r="AI62" s="25">
        <f>'Inputs by customer type'!AI64</f>
        <v>0</v>
      </c>
      <c r="AJ62" s="25">
        <f>'Inputs by customer type'!AJ64</f>
        <v>0</v>
      </c>
      <c r="AK62" s="25">
        <f>'Inputs by customer type'!AK64</f>
        <v>0</v>
      </c>
      <c r="AL62" s="25">
        <f>'Inputs by customer type'!AL64</f>
        <v>0</v>
      </c>
      <c r="AM62" s="25">
        <f>'Inputs by customer type'!AM64</f>
        <v>0</v>
      </c>
      <c r="AN62" s="25">
        <f>'Inputs by customer type'!AN64</f>
        <v>0</v>
      </c>
      <c r="AO62" s="25">
        <f>'Inputs by customer type'!AO64</f>
        <v>0</v>
      </c>
      <c r="AP62" s="25">
        <f>'Inputs by customer type'!AP64</f>
        <v>0</v>
      </c>
    </row>
    <row r="63" spans="5:42" x14ac:dyDescent="0.25">
      <c r="F63" s="67" t="s">
        <v>313</v>
      </c>
      <c r="G63" s="67" t="s">
        <v>203</v>
      </c>
      <c r="H63" s="37"/>
      <c r="I63" s="37"/>
      <c r="J63" s="144">
        <f>'Inputs by customer type'!J65</f>
        <v>0</v>
      </c>
      <c r="K63" s="144">
        <f>'Inputs by customer type'!K65</f>
        <v>0</v>
      </c>
      <c r="L63" s="144">
        <f>'Inputs by customer type'!L65</f>
        <v>0</v>
      </c>
      <c r="M63" s="144">
        <f>'Inputs by customer type'!M65</f>
        <v>0</v>
      </c>
      <c r="N63" s="144">
        <f>'Inputs by customer type'!N65</f>
        <v>0</v>
      </c>
      <c r="O63" s="144">
        <f>'Inputs by customer type'!O65</f>
        <v>0</v>
      </c>
      <c r="P63" s="144">
        <f>'Inputs by customer type'!P65</f>
        <v>0</v>
      </c>
      <c r="Q63" s="144">
        <f>'Inputs by customer type'!Q65</f>
        <v>0</v>
      </c>
      <c r="R63" s="144">
        <f>'Inputs by customer type'!R65</f>
        <v>0</v>
      </c>
      <c r="S63" s="144">
        <f>'Inputs by customer type'!S65</f>
        <v>1</v>
      </c>
      <c r="T63" s="144">
        <f>'Inputs by customer type'!T65</f>
        <v>1</v>
      </c>
      <c r="U63" s="144">
        <f>'Inputs by customer type'!U65</f>
        <v>1</v>
      </c>
      <c r="V63" s="144">
        <f>'Inputs by customer type'!V65</f>
        <v>1</v>
      </c>
      <c r="W63" s="144">
        <f>'Inputs by customer type'!W65</f>
        <v>1</v>
      </c>
      <c r="X63" s="144">
        <f>'Inputs by customer type'!X65</f>
        <v>0</v>
      </c>
      <c r="Y63" s="144">
        <f>'Inputs by customer type'!Y65</f>
        <v>0</v>
      </c>
      <c r="Z63" s="144">
        <f>'Inputs by customer type'!Z65</f>
        <v>0</v>
      </c>
      <c r="AA63" s="144">
        <f>'Inputs by customer type'!AA65</f>
        <v>0</v>
      </c>
      <c r="AB63" s="144">
        <f>'Inputs by customer type'!AB65</f>
        <v>1</v>
      </c>
      <c r="AC63" s="144">
        <f>'Inputs by customer type'!AC65</f>
        <v>0</v>
      </c>
      <c r="AD63" s="144">
        <f>'Inputs by customer type'!AD65</f>
        <v>0</v>
      </c>
      <c r="AE63" s="144">
        <f>'Inputs by customer type'!AE65</f>
        <v>0</v>
      </c>
      <c r="AF63" s="144">
        <f>'Inputs by customer type'!AF65</f>
        <v>0</v>
      </c>
      <c r="AG63" s="144">
        <f>'Inputs by customer type'!AG65</f>
        <v>1</v>
      </c>
      <c r="AH63" s="144">
        <f>'Inputs by customer type'!AH65</f>
        <v>1</v>
      </c>
      <c r="AI63" s="144">
        <f>'Inputs by customer type'!AI65</f>
        <v>0</v>
      </c>
      <c r="AJ63" s="144">
        <f>'Inputs by customer type'!AJ65</f>
        <v>0</v>
      </c>
      <c r="AK63" s="144">
        <f>'Inputs by customer type'!AK65</f>
        <v>1</v>
      </c>
      <c r="AL63" s="144">
        <f>'Inputs by customer type'!AL65</f>
        <v>1</v>
      </c>
      <c r="AM63" s="144">
        <f>'Inputs by customer type'!AM65</f>
        <v>0</v>
      </c>
      <c r="AN63" s="144">
        <f>'Inputs by customer type'!AN65</f>
        <v>0</v>
      </c>
      <c r="AO63" s="144">
        <f>'Inputs by customer type'!AO65</f>
        <v>1</v>
      </c>
      <c r="AP63" s="144">
        <f>'Inputs by customer type'!AP65</f>
        <v>1</v>
      </c>
    </row>
    <row r="64" spans="5:42" x14ac:dyDescent="0.25">
      <c r="F64" s="28" t="s">
        <v>534</v>
      </c>
      <c r="G64" s="28" t="s">
        <v>243</v>
      </c>
      <c r="J64" s="101">
        <f t="shared" ref="J64:AP64" si="7">J$38 * J61</f>
        <v>0</v>
      </c>
      <c r="K64" s="101">
        <f t="shared" si="7"/>
        <v>0</v>
      </c>
      <c r="L64" s="101">
        <f t="shared" si="7"/>
        <v>0</v>
      </c>
      <c r="M64" s="101">
        <f t="shared" si="7"/>
        <v>0</v>
      </c>
      <c r="N64" s="101">
        <f t="shared" si="7"/>
        <v>0</v>
      </c>
      <c r="O64" s="101">
        <f t="shared" si="7"/>
        <v>0</v>
      </c>
      <c r="P64" s="101">
        <f t="shared" si="7"/>
        <v>0</v>
      </c>
      <c r="Q64" s="101">
        <f t="shared" si="7"/>
        <v>0</v>
      </c>
      <c r="R64" s="101">
        <f t="shared" si="7"/>
        <v>0</v>
      </c>
      <c r="S64" s="101">
        <f t="shared" si="7"/>
        <v>0</v>
      </c>
      <c r="T64" s="101">
        <f t="shared" si="7"/>
        <v>0</v>
      </c>
      <c r="U64" s="101">
        <f t="shared" si="7"/>
        <v>0</v>
      </c>
      <c r="V64" s="101">
        <f t="shared" si="7"/>
        <v>0</v>
      </c>
      <c r="W64" s="101">
        <f t="shared" si="7"/>
        <v>0</v>
      </c>
      <c r="X64" s="101">
        <f t="shared" si="7"/>
        <v>0</v>
      </c>
      <c r="Y64" s="101">
        <f t="shared" si="7"/>
        <v>0</v>
      </c>
      <c r="Z64" s="101">
        <f t="shared" si="7"/>
        <v>0</v>
      </c>
      <c r="AA64" s="101">
        <f t="shared" si="7"/>
        <v>0</v>
      </c>
      <c r="AB64" s="101">
        <f t="shared" si="7"/>
        <v>0</v>
      </c>
      <c r="AC64" s="101">
        <f t="shared" si="7"/>
        <v>0</v>
      </c>
      <c r="AD64" s="101">
        <f t="shared" si="7"/>
        <v>0</v>
      </c>
      <c r="AE64" s="101">
        <f t="shared" si="7"/>
        <v>0</v>
      </c>
      <c r="AF64" s="101">
        <f t="shared" si="7"/>
        <v>0</v>
      </c>
      <c r="AG64" s="101">
        <f t="shared" si="7"/>
        <v>0</v>
      </c>
      <c r="AH64" s="101">
        <f t="shared" si="7"/>
        <v>0</v>
      </c>
      <c r="AI64" s="101">
        <f t="shared" si="7"/>
        <v>0</v>
      </c>
      <c r="AJ64" s="101">
        <f t="shared" si="7"/>
        <v>0</v>
      </c>
      <c r="AK64" s="101">
        <f t="shared" si="7"/>
        <v>0</v>
      </c>
      <c r="AL64" s="101">
        <f t="shared" si="7"/>
        <v>0</v>
      </c>
      <c r="AM64" s="101">
        <f t="shared" si="7"/>
        <v>0</v>
      </c>
      <c r="AN64" s="101">
        <f t="shared" si="7"/>
        <v>0</v>
      </c>
      <c r="AO64" s="101">
        <f t="shared" si="7"/>
        <v>0</v>
      </c>
      <c r="AP64" s="101">
        <f t="shared" si="7"/>
        <v>0</v>
      </c>
    </row>
    <row r="65" spans="3:44" x14ac:dyDescent="0.25">
      <c r="F65" s="28" t="s">
        <v>535</v>
      </c>
      <c r="G65" s="28" t="s">
        <v>243</v>
      </c>
      <c r="J65" s="101">
        <f t="shared" ref="J65:AP65" si="8">J$38 * J62</f>
        <v>0</v>
      </c>
      <c r="K65" s="101">
        <f t="shared" si="8"/>
        <v>0</v>
      </c>
      <c r="L65" s="101">
        <f t="shared" si="8"/>
        <v>0</v>
      </c>
      <c r="M65" s="101">
        <f t="shared" si="8"/>
        <v>0</v>
      </c>
      <c r="N65" s="101">
        <f t="shared" si="8"/>
        <v>0</v>
      </c>
      <c r="O65" s="101">
        <f t="shared" si="8"/>
        <v>0</v>
      </c>
      <c r="P65" s="101">
        <f t="shared" si="8"/>
        <v>0</v>
      </c>
      <c r="Q65" s="101">
        <f t="shared" si="8"/>
        <v>0</v>
      </c>
      <c r="R65" s="101">
        <f t="shared" si="8"/>
        <v>0</v>
      </c>
      <c r="S65" s="101">
        <f t="shared" si="8"/>
        <v>0</v>
      </c>
      <c r="T65" s="101">
        <f t="shared" si="8"/>
        <v>0</v>
      </c>
      <c r="U65" s="101">
        <f t="shared" si="8"/>
        <v>0</v>
      </c>
      <c r="V65" s="101">
        <f t="shared" si="8"/>
        <v>0</v>
      </c>
      <c r="W65" s="101">
        <f t="shared" si="8"/>
        <v>0</v>
      </c>
      <c r="X65" s="101">
        <f t="shared" si="8"/>
        <v>0</v>
      </c>
      <c r="Y65" s="101">
        <f t="shared" si="8"/>
        <v>0</v>
      </c>
      <c r="Z65" s="101">
        <f t="shared" si="8"/>
        <v>0</v>
      </c>
      <c r="AA65" s="101">
        <f t="shared" si="8"/>
        <v>0</v>
      </c>
      <c r="AB65" s="101">
        <f t="shared" si="8"/>
        <v>0</v>
      </c>
      <c r="AC65" s="101">
        <f t="shared" si="8"/>
        <v>0</v>
      </c>
      <c r="AD65" s="101">
        <f t="shared" si="8"/>
        <v>0</v>
      </c>
      <c r="AE65" s="101">
        <f t="shared" si="8"/>
        <v>0</v>
      </c>
      <c r="AF65" s="101">
        <f t="shared" si="8"/>
        <v>0</v>
      </c>
      <c r="AG65" s="101">
        <f t="shared" si="8"/>
        <v>0</v>
      </c>
      <c r="AH65" s="101">
        <f t="shared" si="8"/>
        <v>0</v>
      </c>
      <c r="AI65" s="101">
        <f t="shared" si="8"/>
        <v>0</v>
      </c>
      <c r="AJ65" s="101">
        <f t="shared" si="8"/>
        <v>0</v>
      </c>
      <c r="AK65" s="101">
        <f t="shared" si="8"/>
        <v>0</v>
      </c>
      <c r="AL65" s="101">
        <f t="shared" si="8"/>
        <v>0</v>
      </c>
      <c r="AM65" s="101">
        <f t="shared" si="8"/>
        <v>0</v>
      </c>
      <c r="AN65" s="101">
        <f t="shared" si="8"/>
        <v>0</v>
      </c>
      <c r="AO65" s="101">
        <f t="shared" si="8"/>
        <v>0</v>
      </c>
      <c r="AP65" s="101">
        <f t="shared" si="8"/>
        <v>0</v>
      </c>
    </row>
    <row r="66" spans="3:44" x14ac:dyDescent="0.25">
      <c r="F66" s="67" t="s">
        <v>313</v>
      </c>
      <c r="G66" s="67" t="s">
        <v>243</v>
      </c>
      <c r="H66" s="37"/>
      <c r="I66" s="37"/>
      <c r="J66" s="103">
        <f t="shared" ref="J66:AP66" si="9">J$38 * J63</f>
        <v>0</v>
      </c>
      <c r="K66" s="103">
        <f t="shared" si="9"/>
        <v>0</v>
      </c>
      <c r="L66" s="103">
        <f t="shared" si="9"/>
        <v>0</v>
      </c>
      <c r="M66" s="103">
        <f t="shared" si="9"/>
        <v>0</v>
      </c>
      <c r="N66" s="103">
        <f t="shared" si="9"/>
        <v>0</v>
      </c>
      <c r="O66" s="103">
        <f t="shared" si="9"/>
        <v>0</v>
      </c>
      <c r="P66" s="103">
        <f t="shared" si="9"/>
        <v>0</v>
      </c>
      <c r="Q66" s="103">
        <f t="shared" si="9"/>
        <v>0</v>
      </c>
      <c r="R66" s="103">
        <f t="shared" si="9"/>
        <v>0</v>
      </c>
      <c r="S66" s="103">
        <f t="shared" si="9"/>
        <v>165.30614809900308</v>
      </c>
      <c r="T66" s="103">
        <f t="shared" si="9"/>
        <v>27199.510570379593</v>
      </c>
      <c r="U66" s="103">
        <f t="shared" si="9"/>
        <v>618006.62124219816</v>
      </c>
      <c r="V66" s="103">
        <f t="shared" si="9"/>
        <v>57152.779721852334</v>
      </c>
      <c r="W66" s="103">
        <f t="shared" si="9"/>
        <v>401128.44876738428</v>
      </c>
      <c r="X66" s="103">
        <f t="shared" si="9"/>
        <v>0</v>
      </c>
      <c r="Y66" s="103">
        <f t="shared" si="9"/>
        <v>0</v>
      </c>
      <c r="Z66" s="103">
        <f t="shared" si="9"/>
        <v>0</v>
      </c>
      <c r="AA66" s="103">
        <f t="shared" si="9"/>
        <v>0</v>
      </c>
      <c r="AB66" s="103">
        <f t="shared" si="9"/>
        <v>62407.524160774294</v>
      </c>
      <c r="AC66" s="103">
        <f t="shared" si="9"/>
        <v>0</v>
      </c>
      <c r="AD66" s="103">
        <f t="shared" si="9"/>
        <v>0</v>
      </c>
      <c r="AE66" s="103">
        <f t="shared" si="9"/>
        <v>0</v>
      </c>
      <c r="AF66" s="103">
        <f t="shared" si="9"/>
        <v>0</v>
      </c>
      <c r="AG66" s="103">
        <f t="shared" si="9"/>
        <v>25751.216289277676</v>
      </c>
      <c r="AH66" s="103">
        <f t="shared" si="9"/>
        <v>0</v>
      </c>
      <c r="AI66" s="103">
        <f t="shared" si="9"/>
        <v>0</v>
      </c>
      <c r="AJ66" s="103">
        <f t="shared" si="9"/>
        <v>0</v>
      </c>
      <c r="AK66" s="103">
        <f t="shared" si="9"/>
        <v>0</v>
      </c>
      <c r="AL66" s="103">
        <f t="shared" si="9"/>
        <v>0</v>
      </c>
      <c r="AM66" s="103">
        <f t="shared" si="9"/>
        <v>0</v>
      </c>
      <c r="AN66" s="103">
        <f t="shared" si="9"/>
        <v>0</v>
      </c>
      <c r="AO66" s="103">
        <f t="shared" si="9"/>
        <v>361762.50157246564</v>
      </c>
      <c r="AP66" s="103">
        <f t="shared" si="9"/>
        <v>0</v>
      </c>
    </row>
    <row r="68" spans="3:44" x14ac:dyDescent="0.25">
      <c r="E68" s="32" t="s">
        <v>537</v>
      </c>
      <c r="F68" s="28"/>
      <c r="G68" s="28"/>
    </row>
    <row r="69" spans="3:44" x14ac:dyDescent="0.25">
      <c r="E69" s="29" t="s">
        <v>533</v>
      </c>
    </row>
    <row r="70" spans="3:44" x14ac:dyDescent="0.25">
      <c r="F70" s="64" t="s">
        <v>534</v>
      </c>
      <c r="G70" s="64" t="s">
        <v>203</v>
      </c>
      <c r="H70" s="23"/>
      <c r="I70" s="23"/>
      <c r="J70" s="158">
        <f>IF(J$39 = 0, 0, (J64+  J55 + J46) / J$39)</f>
        <v>0.1257463894758776</v>
      </c>
      <c r="K70" s="158">
        <f t="shared" ref="K70:AP70" si="10">IF(K$39 = 0, 0, (K64+  K55 + K46) / K$39)</f>
        <v>9.4279443321602263E-2</v>
      </c>
      <c r="L70" s="158">
        <f t="shared" si="10"/>
        <v>2.3738582495460719E-2</v>
      </c>
      <c r="M70" s="158">
        <f t="shared" si="10"/>
        <v>0.10481242612388043</v>
      </c>
      <c r="N70" s="158">
        <f t="shared" si="10"/>
        <v>9.1361046948909896E-2</v>
      </c>
      <c r="O70" s="158">
        <f t="shared" si="10"/>
        <v>1.7472755416572602E-2</v>
      </c>
      <c r="P70" s="158">
        <f t="shared" si="10"/>
        <v>0.10428922582146818</v>
      </c>
      <c r="Q70" s="158">
        <f t="shared" si="10"/>
        <v>0</v>
      </c>
      <c r="R70" s="158">
        <f t="shared" si="10"/>
        <v>9.2972138511223573E-2</v>
      </c>
      <c r="S70" s="158">
        <f>IF(S$39 = 0, 0, (S64+  S55 + S46) / S$39)</f>
        <v>0.15174049660731256</v>
      </c>
      <c r="T70" s="158">
        <f t="shared" si="10"/>
        <v>0.10578859202814871</v>
      </c>
      <c r="U70" s="158">
        <f t="shared" si="10"/>
        <v>0.10513119446747156</v>
      </c>
      <c r="V70" s="158">
        <f t="shared" si="10"/>
        <v>9.1377665650467454E-2</v>
      </c>
      <c r="W70" s="158">
        <f t="shared" si="10"/>
        <v>9.6205930443285348E-2</v>
      </c>
      <c r="X70" s="158">
        <f t="shared" si="10"/>
        <v>2.9428587803320194E-2</v>
      </c>
      <c r="Y70" s="158">
        <f t="shared" si="10"/>
        <v>5.257481476189433E-2</v>
      </c>
      <c r="Z70" s="158">
        <f t="shared" si="10"/>
        <v>9.9433749989639372E-2</v>
      </c>
      <c r="AA70" s="158">
        <f t="shared" si="10"/>
        <v>1.3608203726877335E-2</v>
      </c>
      <c r="AB70" s="158">
        <f t="shared" si="10"/>
        <v>5.5772258780969128E-2</v>
      </c>
      <c r="AC70" s="158">
        <f t="shared" si="10"/>
        <v>8.938356164383561E-2</v>
      </c>
      <c r="AD70" s="158">
        <f t="shared" si="10"/>
        <v>0</v>
      </c>
      <c r="AE70" s="158">
        <f t="shared" si="10"/>
        <v>8.938356164383561E-2</v>
      </c>
      <c r="AF70" s="158">
        <f t="shared" si="10"/>
        <v>0</v>
      </c>
      <c r="AG70" s="158">
        <f t="shared" si="10"/>
        <v>9.6395445311068237E-2</v>
      </c>
      <c r="AH70" s="158">
        <f t="shared" si="10"/>
        <v>0</v>
      </c>
      <c r="AI70" s="158">
        <f t="shared" si="10"/>
        <v>8.938356164383561E-2</v>
      </c>
      <c r="AJ70" s="158">
        <f t="shared" si="10"/>
        <v>0</v>
      </c>
      <c r="AK70" s="158">
        <f t="shared" si="10"/>
        <v>0</v>
      </c>
      <c r="AL70" s="158">
        <f t="shared" si="10"/>
        <v>0</v>
      </c>
      <c r="AM70" s="158">
        <f t="shared" si="10"/>
        <v>8.938356164383561E-2</v>
      </c>
      <c r="AN70" s="158">
        <f t="shared" si="10"/>
        <v>0</v>
      </c>
      <c r="AO70" s="158">
        <f t="shared" si="10"/>
        <v>0.11065761418924198</v>
      </c>
      <c r="AP70" s="158">
        <f t="shared" si="10"/>
        <v>0</v>
      </c>
    </row>
    <row r="71" spans="3:44" x14ac:dyDescent="0.25">
      <c r="F71" s="28" t="s">
        <v>535</v>
      </c>
      <c r="G71" s="28" t="s">
        <v>203</v>
      </c>
      <c r="J71" s="148">
        <f t="shared" ref="J71:AP71" si="11">IF(J$39 = 0, 0, (J65+  J56 + J47) / J$39)</f>
        <v>0.48876313606917504</v>
      </c>
      <c r="K71" s="148">
        <f t="shared" si="11"/>
        <v>0.37533531745161625</v>
      </c>
      <c r="L71" s="148">
        <f t="shared" si="11"/>
        <v>0.39720932963441263</v>
      </c>
      <c r="M71" s="148">
        <f t="shared" si="11"/>
        <v>0.56822768387648304</v>
      </c>
      <c r="N71" s="148">
        <f t="shared" si="11"/>
        <v>0.45545971499222254</v>
      </c>
      <c r="O71" s="148">
        <f t="shared" si="11"/>
        <v>0.33288864322569406</v>
      </c>
      <c r="P71" s="148">
        <f t="shared" si="11"/>
        <v>0.51826507954308632</v>
      </c>
      <c r="Q71" s="148">
        <f t="shared" si="11"/>
        <v>0</v>
      </c>
      <c r="R71" s="148">
        <f t="shared" si="11"/>
        <v>0.48522844462252979</v>
      </c>
      <c r="S71" s="148">
        <f>IF(S$39 = 0, 0, (S65+  S56 + S47) / S$39)</f>
        <v>0.38400557541260394</v>
      </c>
      <c r="T71" s="148">
        <f t="shared" si="11"/>
        <v>0.52717974251523847</v>
      </c>
      <c r="U71" s="148">
        <f t="shared" si="11"/>
        <v>0.50866163128840569</v>
      </c>
      <c r="V71" s="148">
        <f t="shared" si="11"/>
        <v>0.44843264871951977</v>
      </c>
      <c r="W71" s="148">
        <f t="shared" si="11"/>
        <v>0.46700297697465964</v>
      </c>
      <c r="X71" s="148">
        <f t="shared" si="11"/>
        <v>0.48256682712837229</v>
      </c>
      <c r="Y71" s="148">
        <f t="shared" si="11"/>
        <v>0.1439291681844129</v>
      </c>
      <c r="Z71" s="148">
        <f t="shared" si="11"/>
        <v>0.28088470409047422</v>
      </c>
      <c r="AA71" s="148">
        <f t="shared" si="11"/>
        <v>0.78753620095614096</v>
      </c>
      <c r="AB71" s="148">
        <f t="shared" si="11"/>
        <v>0.19106790857460745</v>
      </c>
      <c r="AC71" s="148">
        <f t="shared" si="11"/>
        <v>0.42271689497716897</v>
      </c>
      <c r="AD71" s="148">
        <f t="shared" si="11"/>
        <v>0</v>
      </c>
      <c r="AE71" s="148">
        <f t="shared" si="11"/>
        <v>0.42271689497716897</v>
      </c>
      <c r="AF71" s="148">
        <f t="shared" si="11"/>
        <v>0</v>
      </c>
      <c r="AG71" s="148">
        <f t="shared" si="11"/>
        <v>0.42065454373324318</v>
      </c>
      <c r="AH71" s="148">
        <f t="shared" si="11"/>
        <v>0</v>
      </c>
      <c r="AI71" s="148">
        <f t="shared" si="11"/>
        <v>0.42271689497716897</v>
      </c>
      <c r="AJ71" s="148">
        <f t="shared" si="11"/>
        <v>0</v>
      </c>
      <c r="AK71" s="148">
        <f t="shared" si="11"/>
        <v>0</v>
      </c>
      <c r="AL71" s="148">
        <f t="shared" si="11"/>
        <v>0</v>
      </c>
      <c r="AM71" s="148">
        <f t="shared" si="11"/>
        <v>0.42271689497716891</v>
      </c>
      <c r="AN71" s="148">
        <f t="shared" si="11"/>
        <v>0</v>
      </c>
      <c r="AO71" s="148">
        <f t="shared" si="11"/>
        <v>0.45854506655225591</v>
      </c>
      <c r="AP71" s="148">
        <f t="shared" si="11"/>
        <v>0</v>
      </c>
    </row>
    <row r="72" spans="3:44" x14ac:dyDescent="0.25">
      <c r="F72" s="67" t="s">
        <v>313</v>
      </c>
      <c r="G72" s="67" t="s">
        <v>203</v>
      </c>
      <c r="H72" s="37"/>
      <c r="I72" s="37"/>
      <c r="J72" s="159">
        <f t="shared" ref="J72:AP72" si="12">IF(J$39 = 0, 0, (J66+  J57 + J48) / J$39)</f>
        <v>0.38549047445494738</v>
      </c>
      <c r="K72" s="159">
        <f t="shared" si="12"/>
        <v>0.53038523922678149</v>
      </c>
      <c r="L72" s="159">
        <f t="shared" si="12"/>
        <v>0.57905208787012652</v>
      </c>
      <c r="M72" s="159">
        <f t="shared" si="12"/>
        <v>0.32695988999963649</v>
      </c>
      <c r="N72" s="159">
        <f t="shared" si="12"/>
        <v>0.45317923805886756</v>
      </c>
      <c r="O72" s="159">
        <f t="shared" si="12"/>
        <v>0.64963860135773344</v>
      </c>
      <c r="P72" s="159">
        <f t="shared" si="12"/>
        <v>0.37744569463544542</v>
      </c>
      <c r="Q72" s="159">
        <f t="shared" si="12"/>
        <v>0</v>
      </c>
      <c r="R72" s="159">
        <f t="shared" si="12"/>
        <v>0.42179941686624667</v>
      </c>
      <c r="S72" s="159">
        <f>IF(S$39 = 0, 0, (S66+  S57 + S48) / S$39)</f>
        <v>0.46425392798008364</v>
      </c>
      <c r="T72" s="159">
        <f t="shared" si="12"/>
        <v>0.36703166545661292</v>
      </c>
      <c r="U72" s="159">
        <f t="shared" si="12"/>
        <v>0.38620717424412271</v>
      </c>
      <c r="V72" s="159">
        <f t="shared" si="12"/>
        <v>0.46018968563001278</v>
      </c>
      <c r="W72" s="159">
        <f t="shared" si="12"/>
        <v>0.43679109258205501</v>
      </c>
      <c r="X72" s="159">
        <f t="shared" si="12"/>
        <v>0.48800458506830752</v>
      </c>
      <c r="Y72" s="159">
        <f t="shared" si="12"/>
        <v>0.80349601705369267</v>
      </c>
      <c r="Z72" s="159">
        <f t="shared" si="12"/>
        <v>0.61968154591988645</v>
      </c>
      <c r="AA72" s="159">
        <f t="shared" si="12"/>
        <v>0.19885559531698177</v>
      </c>
      <c r="AB72" s="159">
        <f t="shared" si="12"/>
        <v>0.75315983264442343</v>
      </c>
      <c r="AC72" s="159">
        <f t="shared" si="12"/>
        <v>0.48789954337899544</v>
      </c>
      <c r="AD72" s="159">
        <f t="shared" si="12"/>
        <v>0</v>
      </c>
      <c r="AE72" s="159">
        <f t="shared" si="12"/>
        <v>0.48789954337899549</v>
      </c>
      <c r="AF72" s="159">
        <f t="shared" si="12"/>
        <v>0</v>
      </c>
      <c r="AG72" s="159">
        <f t="shared" si="12"/>
        <v>0.48295001095568857</v>
      </c>
      <c r="AH72" s="159">
        <f t="shared" si="12"/>
        <v>0</v>
      </c>
      <c r="AI72" s="159">
        <f t="shared" si="12"/>
        <v>0.48789954337899544</v>
      </c>
      <c r="AJ72" s="159">
        <f t="shared" si="12"/>
        <v>0</v>
      </c>
      <c r="AK72" s="159">
        <f t="shared" si="12"/>
        <v>0</v>
      </c>
      <c r="AL72" s="159">
        <f t="shared" si="12"/>
        <v>0</v>
      </c>
      <c r="AM72" s="159">
        <f t="shared" si="12"/>
        <v>0.48789954337899549</v>
      </c>
      <c r="AN72" s="159">
        <f t="shared" si="12"/>
        <v>0</v>
      </c>
      <c r="AO72" s="159">
        <f t="shared" si="12"/>
        <v>0.43079731925850212</v>
      </c>
      <c r="AP72" s="159">
        <f t="shared" si="12"/>
        <v>0</v>
      </c>
    </row>
    <row r="73" spans="3:44" x14ac:dyDescent="0.25">
      <c r="F73" s="28" t="s">
        <v>534</v>
      </c>
      <c r="G73" s="28" t="s">
        <v>243</v>
      </c>
      <c r="J73" s="124">
        <f t="shared" ref="J73:AP73" si="13">J64+  J55 + J46</f>
        <v>296681.08470302133</v>
      </c>
      <c r="K73" s="124">
        <f t="shared" si="13"/>
        <v>42013.172743605239</v>
      </c>
      <c r="L73" s="124">
        <f t="shared" si="13"/>
        <v>10042.746850085668</v>
      </c>
      <c r="M73" s="124">
        <f t="shared" si="13"/>
        <v>87760.406404180292</v>
      </c>
      <c r="N73" s="124">
        <f t="shared" si="13"/>
        <v>21421.357868458257</v>
      </c>
      <c r="O73" s="124">
        <f t="shared" si="13"/>
        <v>491.70962173556569</v>
      </c>
      <c r="P73" s="124">
        <f t="shared" si="13"/>
        <v>4166.9376893453473</v>
      </c>
      <c r="Q73" s="124">
        <f t="shared" si="13"/>
        <v>0</v>
      </c>
      <c r="R73" s="124">
        <f t="shared" si="13"/>
        <v>76.066821723249276</v>
      </c>
      <c r="S73" s="124">
        <f t="shared" si="13"/>
        <v>54.029994132566102</v>
      </c>
      <c r="T73" s="124">
        <f t="shared" si="13"/>
        <v>7839.6449077915986</v>
      </c>
      <c r="U73" s="124">
        <f t="shared" si="13"/>
        <v>168230.36601316402</v>
      </c>
      <c r="V73" s="124">
        <f t="shared" si="13"/>
        <v>11348.554214700629</v>
      </c>
      <c r="W73" s="124">
        <f t="shared" si="13"/>
        <v>88351.013324953004</v>
      </c>
      <c r="X73" s="124">
        <f t="shared" si="13"/>
        <v>416.20923723063765</v>
      </c>
      <c r="Y73" s="124">
        <f t="shared" si="13"/>
        <v>908.52634621480286</v>
      </c>
      <c r="Z73" s="124">
        <f t="shared" si="13"/>
        <v>350.079013727355</v>
      </c>
      <c r="AA73" s="124">
        <f t="shared" si="13"/>
        <v>0.60212947649043858</v>
      </c>
      <c r="AB73" s="124">
        <f t="shared" si="13"/>
        <v>4621.3412299929805</v>
      </c>
      <c r="AC73" s="124">
        <f t="shared" si="13"/>
        <v>573.17743153416154</v>
      </c>
      <c r="AD73" s="124">
        <f t="shared" si="13"/>
        <v>0</v>
      </c>
      <c r="AE73" s="124">
        <f t="shared" si="13"/>
        <v>32113.898583597005</v>
      </c>
      <c r="AF73" s="124">
        <f t="shared" si="13"/>
        <v>0</v>
      </c>
      <c r="AG73" s="124">
        <f t="shared" si="13"/>
        <v>5139.8693554110105</v>
      </c>
      <c r="AH73" s="124">
        <f t="shared" si="13"/>
        <v>0</v>
      </c>
      <c r="AI73" s="124">
        <f t="shared" si="13"/>
        <v>314.03028390410958</v>
      </c>
      <c r="AJ73" s="124">
        <f t="shared" si="13"/>
        <v>0</v>
      </c>
      <c r="AK73" s="124">
        <f t="shared" si="13"/>
        <v>0</v>
      </c>
      <c r="AL73" s="124">
        <f t="shared" si="13"/>
        <v>0</v>
      </c>
      <c r="AM73" s="124">
        <f t="shared" si="13"/>
        <v>58334.099514761656</v>
      </c>
      <c r="AN73" s="124">
        <f t="shared" si="13"/>
        <v>0</v>
      </c>
      <c r="AO73" s="124">
        <f t="shared" si="13"/>
        <v>92924.847805563244</v>
      </c>
      <c r="AP73" s="124">
        <f t="shared" si="13"/>
        <v>0</v>
      </c>
    </row>
    <row r="74" spans="3:44" x14ac:dyDescent="0.25">
      <c r="F74" s="28" t="s">
        <v>535</v>
      </c>
      <c r="G74" s="28" t="s">
        <v>243</v>
      </c>
      <c r="J74" s="124">
        <f t="shared" ref="J74:AP74" si="14">J65+  J56 + J47</f>
        <v>1153168.5162194693</v>
      </c>
      <c r="K74" s="124">
        <f t="shared" si="14"/>
        <v>167258.38606280254</v>
      </c>
      <c r="L74" s="124">
        <f t="shared" si="14"/>
        <v>168041.74153083598</v>
      </c>
      <c r="M74" s="124">
        <f t="shared" si="14"/>
        <v>475782.25513228867</v>
      </c>
      <c r="N74" s="124">
        <f t="shared" si="14"/>
        <v>106791.3063099023</v>
      </c>
      <c r="O74" s="124">
        <f t="shared" si="14"/>
        <v>9367.9871856570353</v>
      </c>
      <c r="P74" s="124">
        <f t="shared" si="14"/>
        <v>20707.587730266729</v>
      </c>
      <c r="Q74" s="124">
        <f t="shared" si="14"/>
        <v>0</v>
      </c>
      <c r="R74" s="124">
        <f t="shared" si="14"/>
        <v>396.99835007770383</v>
      </c>
      <c r="S74" s="124">
        <f t="shared" si="14"/>
        <v>136.73224650179375</v>
      </c>
      <c r="T74" s="124">
        <f t="shared" si="14"/>
        <v>39067.558275099967</v>
      </c>
      <c r="U74" s="124">
        <f t="shared" si="14"/>
        <v>813957.57788120955</v>
      </c>
      <c r="V74" s="124">
        <f t="shared" si="14"/>
        <v>55692.626742093176</v>
      </c>
      <c r="W74" s="124">
        <f t="shared" si="14"/>
        <v>428873.62609942525</v>
      </c>
      <c r="X74" s="124">
        <f t="shared" si="14"/>
        <v>6824.9544413833082</v>
      </c>
      <c r="Y74" s="124">
        <f t="shared" si="14"/>
        <v>2487.1878650744475</v>
      </c>
      <c r="Z74" s="124">
        <f t="shared" si="14"/>
        <v>988.91815092299123</v>
      </c>
      <c r="AA74" s="124">
        <f t="shared" si="14"/>
        <v>34.846535951134236</v>
      </c>
      <c r="AB74" s="124">
        <f t="shared" si="14"/>
        <v>15832.064594910415</v>
      </c>
      <c r="AC74" s="124">
        <f t="shared" si="14"/>
        <v>2710.6973550076632</v>
      </c>
      <c r="AD74" s="124">
        <f t="shared" si="14"/>
        <v>0</v>
      </c>
      <c r="AE74" s="124">
        <f t="shared" si="14"/>
        <v>151874.54208819888</v>
      </c>
      <c r="AF74" s="124">
        <f t="shared" si="14"/>
        <v>0</v>
      </c>
      <c r="AG74" s="124">
        <f t="shared" si="14"/>
        <v>22429.580480403067</v>
      </c>
      <c r="AH74" s="124">
        <f t="shared" si="14"/>
        <v>0</v>
      </c>
      <c r="AI74" s="124">
        <f t="shared" si="14"/>
        <v>1485.126617237443</v>
      </c>
      <c r="AJ74" s="124">
        <f t="shared" si="14"/>
        <v>0</v>
      </c>
      <c r="AK74" s="124">
        <f t="shared" si="14"/>
        <v>0</v>
      </c>
      <c r="AL74" s="124">
        <f t="shared" si="14"/>
        <v>0</v>
      </c>
      <c r="AM74" s="124">
        <f t="shared" si="14"/>
        <v>275876.33525308099</v>
      </c>
      <c r="AN74" s="124">
        <f t="shared" si="14"/>
        <v>0</v>
      </c>
      <c r="AO74" s="124">
        <f t="shared" si="14"/>
        <v>385063.70152251818</v>
      </c>
      <c r="AP74" s="124">
        <f t="shared" si="14"/>
        <v>0</v>
      </c>
    </row>
    <row r="75" spans="3:44" x14ac:dyDescent="0.25">
      <c r="F75" s="67" t="s">
        <v>313</v>
      </c>
      <c r="G75" s="67" t="s">
        <v>243</v>
      </c>
      <c r="H75" s="37"/>
      <c r="I75" s="37"/>
      <c r="J75" s="134">
        <f t="shared" ref="J75:AP75" si="15">J66+  J57 + J48</f>
        <v>909511.06095905602</v>
      </c>
      <c r="K75" s="134">
        <f t="shared" si="15"/>
        <v>236352.33611087111</v>
      </c>
      <c r="L75" s="134">
        <f t="shared" si="15"/>
        <v>244971.38919753261</v>
      </c>
      <c r="M75" s="134">
        <f t="shared" si="15"/>
        <v>273766.51686623367</v>
      </c>
      <c r="N75" s="134">
        <f t="shared" si="15"/>
        <v>106256.60455098441</v>
      </c>
      <c r="O75" s="134">
        <f t="shared" si="15"/>
        <v>18281.807495311008</v>
      </c>
      <c r="P75" s="134">
        <f t="shared" si="15"/>
        <v>15081.065932448502</v>
      </c>
      <c r="Q75" s="134">
        <f t="shared" si="15"/>
        <v>0</v>
      </c>
      <c r="R75" s="134">
        <f t="shared" si="15"/>
        <v>345.10275400260912</v>
      </c>
      <c r="S75" s="134">
        <f t="shared" si="15"/>
        <v>165.30614809900308</v>
      </c>
      <c r="T75" s="134">
        <f t="shared" si="15"/>
        <v>27199.510570379593</v>
      </c>
      <c r="U75" s="134">
        <f t="shared" si="15"/>
        <v>618006.62124219816</v>
      </c>
      <c r="V75" s="134">
        <f t="shared" si="15"/>
        <v>57152.779721852334</v>
      </c>
      <c r="W75" s="134">
        <f t="shared" si="15"/>
        <v>401128.44876738428</v>
      </c>
      <c r="X75" s="134">
        <f t="shared" si="15"/>
        <v>6901.860784954777</v>
      </c>
      <c r="Y75" s="134">
        <f t="shared" si="15"/>
        <v>13884.923872352521</v>
      </c>
      <c r="Z75" s="134">
        <f t="shared" si="15"/>
        <v>2181.7290853787631</v>
      </c>
      <c r="AA75" s="134">
        <f t="shared" si="15"/>
        <v>8.798869998464129</v>
      </c>
      <c r="AB75" s="134">
        <f t="shared" si="15"/>
        <v>62407.524160774294</v>
      </c>
      <c r="AC75" s="134">
        <f t="shared" si="15"/>
        <v>3128.6849838786802</v>
      </c>
      <c r="AD75" s="134">
        <f t="shared" si="15"/>
        <v>0</v>
      </c>
      <c r="AE75" s="134">
        <f t="shared" si="15"/>
        <v>175293.48984200973</v>
      </c>
      <c r="AF75" s="134">
        <f t="shared" si="15"/>
        <v>0</v>
      </c>
      <c r="AG75" s="134">
        <f t="shared" si="15"/>
        <v>25751.216289277676</v>
      </c>
      <c r="AH75" s="134">
        <f t="shared" si="15"/>
        <v>0</v>
      </c>
      <c r="AI75" s="134">
        <f t="shared" si="15"/>
        <v>1714.1320988584475</v>
      </c>
      <c r="AJ75" s="134">
        <f t="shared" si="15"/>
        <v>0</v>
      </c>
      <c r="AK75" s="134">
        <f t="shared" si="15"/>
        <v>0</v>
      </c>
      <c r="AL75" s="134">
        <f t="shared" si="15"/>
        <v>0</v>
      </c>
      <c r="AM75" s="134">
        <f t="shared" si="15"/>
        <v>318416.27244711539</v>
      </c>
      <c r="AN75" s="134">
        <f t="shared" si="15"/>
        <v>0</v>
      </c>
      <c r="AO75" s="134">
        <f t="shared" si="15"/>
        <v>361762.50157246564</v>
      </c>
      <c r="AP75" s="134">
        <f t="shared" si="15"/>
        <v>0</v>
      </c>
    </row>
    <row r="77" spans="3:44" x14ac:dyDescent="0.25">
      <c r="C77" s="31" t="str">
        <f ca="1">INDEX('Version control'!$H$34:$H$56,MATCH($A$1,'Version control'!$F$34:$F$56,0),1)&amp;"-C: Aggregated values for UMS customers"</f>
        <v>Section 105-C: Aggregated values for UMS customers</v>
      </c>
      <c r="D77" s="31"/>
      <c r="E77" s="31"/>
      <c r="F77" s="31"/>
      <c r="G77" s="31"/>
      <c r="H77" s="31"/>
      <c r="I77" s="31"/>
      <c r="J77" s="31"/>
      <c r="K77" s="31"/>
      <c r="L77" s="31"/>
      <c r="M77" s="31"/>
      <c r="N77" s="31"/>
      <c r="O77" s="31"/>
      <c r="P77" s="31"/>
      <c r="Q77" s="31"/>
      <c r="R77" s="31"/>
      <c r="S77" s="31"/>
      <c r="T77" s="31"/>
      <c r="U77" s="31"/>
      <c r="V77" s="31"/>
      <c r="W77" s="31"/>
      <c r="X77" s="31"/>
      <c r="Y77" s="31"/>
      <c r="Z77" s="31"/>
      <c r="AA77" s="31"/>
      <c r="AB77" s="31"/>
      <c r="AC77" s="31"/>
      <c r="AD77" s="31"/>
      <c r="AE77" s="31"/>
      <c r="AF77" s="31"/>
      <c r="AG77" s="31"/>
      <c r="AH77" s="31"/>
      <c r="AI77" s="31"/>
      <c r="AJ77" s="31"/>
      <c r="AK77" s="31"/>
      <c r="AL77" s="31"/>
      <c r="AM77" s="31"/>
      <c r="AN77" s="31"/>
      <c r="AO77" s="31"/>
      <c r="AP77" s="31"/>
      <c r="AQ77" s="31"/>
      <c r="AR77" s="31"/>
    </row>
    <row r="79" spans="3:44" x14ac:dyDescent="0.25">
      <c r="E79" s="32" t="s">
        <v>538</v>
      </c>
    </row>
    <row r="80" spans="3:44" x14ac:dyDescent="0.25">
      <c r="F80" s="64" t="s">
        <v>534</v>
      </c>
      <c r="G80" s="64" t="s">
        <v>203</v>
      </c>
      <c r="H80" s="160">
        <f>SUM(X73:AB73) / SUM($X$73:$AB$75)</f>
        <v>5.3430472027644373E-2</v>
      </c>
    </row>
    <row r="81" spans="2:44" x14ac:dyDescent="0.25">
      <c r="F81" s="28" t="s">
        <v>535</v>
      </c>
      <c r="G81" s="28" t="s">
        <v>203</v>
      </c>
      <c r="H81" s="84">
        <f>SUM(X74:AB74) / SUM($X$73:$AB$75)</f>
        <v>0.22204554845416713</v>
      </c>
    </row>
    <row r="82" spans="2:44" x14ac:dyDescent="0.25">
      <c r="F82" s="67" t="s">
        <v>313</v>
      </c>
      <c r="G82" s="67" t="s">
        <v>203</v>
      </c>
      <c r="H82" s="161">
        <f>SUM(X75:AB75) / SUM($X$73:$AB$75)</f>
        <v>0.72452397951818848</v>
      </c>
    </row>
    <row r="84" spans="2:44" x14ac:dyDescent="0.25">
      <c r="E84" s="28" t="s">
        <v>539</v>
      </c>
      <c r="F84" s="28"/>
      <c r="G84" s="28" t="s">
        <v>183</v>
      </c>
      <c r="H84" s="101">
        <f>X29</f>
        <v>255</v>
      </c>
    </row>
    <row r="86" spans="2:44" x14ac:dyDescent="0.25">
      <c r="C86" s="31" t="str">
        <f ca="1">INDEX('Version control'!$H$34:$H$56,MATCH($A$1,'Version control'!$F$34:$F$56,0),1)&amp;"-D: Ratio of coincidence to load factor assuming units evenly spread within time bands, and peak falls in Red period"</f>
        <v>Section 105-D: Ratio of coincidence to load factor assuming units evenly spread within time bands, and peak falls in Red period</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row>
    <row r="87" spans="2:44" x14ac:dyDescent="0.25">
      <c r="X87" s="63"/>
      <c r="Y87" s="63"/>
      <c r="Z87" s="63"/>
      <c r="AA87" s="63"/>
      <c r="AB87" s="63"/>
      <c r="AC87" s="63"/>
    </row>
    <row r="88" spans="2:44" x14ac:dyDescent="0.25">
      <c r="E88" t="s">
        <v>540</v>
      </c>
      <c r="G88" t="s">
        <v>342</v>
      </c>
      <c r="H88" s="92"/>
      <c r="I88" s="92"/>
      <c r="J88" s="92">
        <f t="shared" ref="J88:AP88" si="16">J70 * hours_in_year / J29</f>
        <v>1.4068178439446843</v>
      </c>
      <c r="K88" s="92">
        <f t="shared" si="16"/>
        <v>1.0547738486554736</v>
      </c>
      <c r="L88" s="92">
        <f t="shared" si="16"/>
        <v>0.26558107619442645</v>
      </c>
      <c r="M88" s="92">
        <f t="shared" si="16"/>
        <v>1.1726141160219574</v>
      </c>
      <c r="N88" s="92">
        <f t="shared" si="16"/>
        <v>1.0221235903862718</v>
      </c>
      <c r="O88" s="92">
        <f t="shared" si="16"/>
        <v>0.19548063531184673</v>
      </c>
      <c r="P88" s="92">
        <f t="shared" si="16"/>
        <v>1.1667606873512915</v>
      </c>
      <c r="Q88" s="92">
        <f t="shared" si="16"/>
        <v>0</v>
      </c>
      <c r="R88" s="92">
        <f t="shared" si="16"/>
        <v>1.0401480630374438</v>
      </c>
      <c r="S88" s="92">
        <f t="shared" si="16"/>
        <v>1.6976331421201252</v>
      </c>
      <c r="T88" s="92">
        <f t="shared" si="16"/>
        <v>1.1835352058321618</v>
      </c>
      <c r="U88" s="92">
        <f t="shared" si="16"/>
        <v>1.1761804131992986</v>
      </c>
      <c r="V88" s="92">
        <f t="shared" si="16"/>
        <v>1.022309516089521</v>
      </c>
      <c r="W88" s="92">
        <f t="shared" si="16"/>
        <v>1.0763268846528475</v>
      </c>
      <c r="X88" s="92">
        <f t="shared" si="16"/>
        <v>1.0109585457140584</v>
      </c>
      <c r="Y88" s="92">
        <f t="shared" si="16"/>
        <v>1.8060995188791935</v>
      </c>
      <c r="Z88" s="92">
        <f t="shared" si="16"/>
        <v>3.4158417643499641</v>
      </c>
      <c r="AA88" s="92">
        <f t="shared" si="16"/>
        <v>0.46748182214684497</v>
      </c>
      <c r="AB88" s="92">
        <f t="shared" si="16"/>
        <v>1.9159411251815277</v>
      </c>
      <c r="AC88" s="92">
        <f t="shared" si="16"/>
        <v>1</v>
      </c>
      <c r="AD88" s="92">
        <f t="shared" si="16"/>
        <v>0</v>
      </c>
      <c r="AE88" s="92">
        <f t="shared" si="16"/>
        <v>1</v>
      </c>
      <c r="AF88" s="92">
        <f t="shared" si="16"/>
        <v>0</v>
      </c>
      <c r="AG88" s="92">
        <f t="shared" si="16"/>
        <v>1.0784471276180814</v>
      </c>
      <c r="AH88" s="92">
        <f t="shared" si="16"/>
        <v>0</v>
      </c>
      <c r="AI88" s="92">
        <f t="shared" si="16"/>
        <v>1</v>
      </c>
      <c r="AJ88" s="92">
        <f t="shared" si="16"/>
        <v>0</v>
      </c>
      <c r="AK88" s="92">
        <f t="shared" si="16"/>
        <v>0</v>
      </c>
      <c r="AL88" s="92">
        <f t="shared" si="16"/>
        <v>0</v>
      </c>
      <c r="AM88" s="92">
        <f t="shared" si="16"/>
        <v>1</v>
      </c>
      <c r="AN88" s="92">
        <f t="shared" si="16"/>
        <v>0</v>
      </c>
      <c r="AO88" s="92">
        <f t="shared" si="16"/>
        <v>1.2380085572129755</v>
      </c>
      <c r="AP88" s="92">
        <f t="shared" si="16"/>
        <v>0</v>
      </c>
    </row>
    <row r="89" spans="2:44" x14ac:dyDescent="0.25">
      <c r="E89" t="s">
        <v>541</v>
      </c>
      <c r="G89" t="s">
        <v>342</v>
      </c>
      <c r="H89" s="92">
        <f>H80 * hours_in_year / H84</f>
        <v>1.8354938625967243</v>
      </c>
      <c r="I89" s="92" t="s">
        <v>190</v>
      </c>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c r="AR89" t="s">
        <v>542</v>
      </c>
    </row>
    <row r="90" spans="2:44" x14ac:dyDescent="0.25">
      <c r="E90" t="s">
        <v>543</v>
      </c>
      <c r="G90" t="s">
        <v>342</v>
      </c>
      <c r="H90" s="92"/>
      <c r="I90" s="92"/>
      <c r="J90" s="92">
        <f t="shared" ref="J90:AP90" si="17">IF(J24, $H89, J88)</f>
        <v>1.4068178439446843</v>
      </c>
      <c r="K90" s="92">
        <f t="shared" si="17"/>
        <v>1.0547738486554736</v>
      </c>
      <c r="L90" s="92">
        <f t="shared" si="17"/>
        <v>0.26558107619442645</v>
      </c>
      <c r="M90" s="92">
        <f t="shared" si="17"/>
        <v>1.1726141160219574</v>
      </c>
      <c r="N90" s="92">
        <f t="shared" si="17"/>
        <v>1.0221235903862718</v>
      </c>
      <c r="O90" s="92">
        <f t="shared" si="17"/>
        <v>0.19548063531184673</v>
      </c>
      <c r="P90" s="92">
        <f t="shared" si="17"/>
        <v>1.1667606873512915</v>
      </c>
      <c r="Q90" s="92">
        <f t="shared" si="17"/>
        <v>0</v>
      </c>
      <c r="R90" s="92">
        <f t="shared" si="17"/>
        <v>1.0401480630374438</v>
      </c>
      <c r="S90" s="92">
        <f t="shared" si="17"/>
        <v>1.6976331421201252</v>
      </c>
      <c r="T90" s="92">
        <f t="shared" si="17"/>
        <v>1.1835352058321618</v>
      </c>
      <c r="U90" s="92">
        <f t="shared" si="17"/>
        <v>1.1761804131992986</v>
      </c>
      <c r="V90" s="92">
        <f t="shared" si="17"/>
        <v>1.022309516089521</v>
      </c>
      <c r="W90" s="92">
        <f t="shared" si="17"/>
        <v>1.0763268846528475</v>
      </c>
      <c r="X90" s="92">
        <f t="shared" si="17"/>
        <v>1.8354938625967243</v>
      </c>
      <c r="Y90" s="92">
        <f t="shared" si="17"/>
        <v>1.8354938625967243</v>
      </c>
      <c r="Z90" s="92">
        <f t="shared" si="17"/>
        <v>1.8354938625967243</v>
      </c>
      <c r="AA90" s="92">
        <f t="shared" si="17"/>
        <v>1.8354938625967243</v>
      </c>
      <c r="AB90" s="92">
        <f t="shared" si="17"/>
        <v>1.8354938625967243</v>
      </c>
      <c r="AC90" s="92">
        <f t="shared" si="17"/>
        <v>1</v>
      </c>
      <c r="AD90" s="92">
        <f t="shared" si="17"/>
        <v>0</v>
      </c>
      <c r="AE90" s="92">
        <f t="shared" si="17"/>
        <v>1</v>
      </c>
      <c r="AF90" s="92">
        <f t="shared" si="17"/>
        <v>0</v>
      </c>
      <c r="AG90" s="92">
        <f t="shared" si="17"/>
        <v>1.0784471276180814</v>
      </c>
      <c r="AH90" s="92">
        <f t="shared" si="17"/>
        <v>0</v>
      </c>
      <c r="AI90" s="92">
        <f t="shared" si="17"/>
        <v>1</v>
      </c>
      <c r="AJ90" s="92">
        <f t="shared" si="17"/>
        <v>0</v>
      </c>
      <c r="AK90" s="92">
        <f t="shared" si="17"/>
        <v>0</v>
      </c>
      <c r="AL90" s="92">
        <f t="shared" si="17"/>
        <v>0</v>
      </c>
      <c r="AM90" s="92">
        <f t="shared" si="17"/>
        <v>1</v>
      </c>
      <c r="AN90" s="92">
        <f t="shared" si="17"/>
        <v>0</v>
      </c>
      <c r="AO90" s="92">
        <f t="shared" si="17"/>
        <v>1.2380085572129755</v>
      </c>
      <c r="AP90" s="92">
        <f t="shared" si="17"/>
        <v>0</v>
      </c>
    </row>
    <row r="91" spans="2:44" x14ac:dyDescent="0.25">
      <c r="J91" s="63"/>
      <c r="K91" s="63"/>
      <c r="L91" s="63"/>
      <c r="M91" s="63"/>
      <c r="N91" s="63"/>
      <c r="O91" s="63"/>
      <c r="P91" s="63"/>
      <c r="Q91" s="63"/>
      <c r="R91" s="63"/>
      <c r="S91" s="63"/>
      <c r="T91" s="63"/>
      <c r="U91" s="63"/>
      <c r="V91" s="63"/>
      <c r="W91" s="63"/>
      <c r="X91" s="63"/>
      <c r="Y91" s="63"/>
      <c r="Z91" s="63"/>
      <c r="AA91" s="63"/>
      <c r="AB91" s="63"/>
      <c r="AC91" s="63"/>
      <c r="AD91" s="63"/>
      <c r="AE91" s="63"/>
      <c r="AF91" s="63"/>
      <c r="AG91" s="63"/>
      <c r="AH91" s="63"/>
      <c r="AI91" s="63"/>
      <c r="AJ91" s="63"/>
      <c r="AK91" s="63"/>
      <c r="AL91" s="63"/>
      <c r="AM91" s="63"/>
      <c r="AN91" s="63"/>
      <c r="AO91" s="63"/>
      <c r="AP91" s="63"/>
    </row>
    <row r="92" spans="2:44" x14ac:dyDescent="0.25">
      <c r="B92" s="107" t="s">
        <v>544</v>
      </c>
      <c r="C92" s="108"/>
      <c r="D92" s="107"/>
      <c r="E92" s="107"/>
      <c r="F92" s="108"/>
      <c r="G92" s="108"/>
      <c r="H92" s="108"/>
      <c r="I92" s="108"/>
      <c r="J92" s="108"/>
      <c r="K92" s="108"/>
      <c r="L92" s="108"/>
      <c r="M92" s="108"/>
      <c r="N92" s="108"/>
      <c r="O92" s="108"/>
      <c r="P92" s="108"/>
      <c r="Q92" s="108"/>
      <c r="R92" s="108"/>
      <c r="S92" s="108"/>
      <c r="T92" s="108"/>
      <c r="U92" s="108"/>
      <c r="V92" s="108"/>
      <c r="W92" s="108"/>
      <c r="X92" s="108"/>
      <c r="Y92" s="108"/>
      <c r="Z92" s="108"/>
      <c r="AA92" s="108"/>
      <c r="AB92" s="108"/>
      <c r="AC92" s="108"/>
      <c r="AD92" s="108"/>
      <c r="AE92" s="108"/>
      <c r="AF92" s="108"/>
      <c r="AG92" s="108"/>
      <c r="AH92" s="108"/>
      <c r="AI92" s="108"/>
      <c r="AJ92" s="108"/>
      <c r="AK92" s="108"/>
      <c r="AL92" s="108"/>
      <c r="AM92" s="108"/>
      <c r="AN92" s="108"/>
      <c r="AO92" s="108"/>
      <c r="AP92" s="108"/>
      <c r="AQ92" s="108"/>
      <c r="AR92" s="108"/>
    </row>
    <row r="93" spans="2:44" x14ac:dyDescent="0.25">
      <c r="F93" s="28"/>
      <c r="G93" s="28"/>
    </row>
    <row r="94" spans="2:44" x14ac:dyDescent="0.25">
      <c r="C94" s="29" t="s">
        <v>545</v>
      </c>
      <c r="F94" s="28"/>
      <c r="G94" s="28"/>
    </row>
    <row r="95" spans="2:44" x14ac:dyDescent="0.25">
      <c r="F95" s="28"/>
      <c r="G95" s="28"/>
    </row>
    <row r="96" spans="2:44" x14ac:dyDescent="0.25">
      <c r="C96" s="31" t="str">
        <f ca="1">INDEX('Version control'!$H$34:$H$56,MATCH($A$1,'Version control'!$F$34:$F$56,0),1)&amp;"-E: Load characteristics for all customers"</f>
        <v>Section 105-E: Load characteristics for all customers</v>
      </c>
      <c r="D96" s="31"/>
      <c r="E96" s="31"/>
      <c r="F96" s="31"/>
      <c r="G96" s="31"/>
      <c r="H96" s="31"/>
      <c r="I96" s="31"/>
      <c r="J96" s="31"/>
      <c r="K96" s="31"/>
      <c r="L96" s="31"/>
      <c r="M96" s="31"/>
      <c r="N96" s="31"/>
      <c r="O96" s="31"/>
      <c r="P96" s="31"/>
      <c r="Q96" s="31"/>
      <c r="R96" s="31"/>
      <c r="S96" s="31"/>
      <c r="T96" s="31"/>
      <c r="U96" s="31"/>
      <c r="V96" s="31"/>
      <c r="W96" s="31"/>
      <c r="X96" s="31"/>
      <c r="Y96" s="31"/>
      <c r="Z96" s="31"/>
      <c r="AA96" s="31"/>
      <c r="AB96" s="31"/>
      <c r="AC96" s="31"/>
      <c r="AD96" s="31"/>
      <c r="AE96" s="31"/>
      <c r="AF96" s="31"/>
      <c r="AG96" s="31"/>
      <c r="AH96" s="31"/>
      <c r="AI96" s="31"/>
      <c r="AJ96" s="31"/>
      <c r="AK96" s="31"/>
      <c r="AL96" s="31"/>
      <c r="AM96" s="31"/>
      <c r="AN96" s="31"/>
      <c r="AO96" s="31"/>
      <c r="AP96" s="31"/>
      <c r="AQ96" s="31"/>
      <c r="AR96" s="31"/>
    </row>
    <row r="97" spans="3:44" x14ac:dyDescent="0.25">
      <c r="D97" s="32"/>
      <c r="J97" s="25"/>
      <c r="K97" s="25"/>
      <c r="L97" s="25"/>
      <c r="M97" s="25"/>
      <c r="N97" s="25"/>
      <c r="O97" s="25"/>
      <c r="P97" s="25"/>
      <c r="Q97" s="25"/>
      <c r="R97" s="25"/>
      <c r="S97" s="25"/>
      <c r="T97" s="25"/>
      <c r="U97" s="25"/>
      <c r="V97" s="25"/>
      <c r="W97" s="25"/>
      <c r="X97" s="25"/>
      <c r="Y97" s="25"/>
      <c r="Z97" s="25"/>
      <c r="AA97" s="25"/>
      <c r="AB97" s="25"/>
      <c r="AC97" s="25"/>
      <c r="AD97" s="25"/>
      <c r="AE97" s="25"/>
      <c r="AF97" s="25"/>
      <c r="AG97" s="25"/>
      <c r="AH97" s="25"/>
      <c r="AI97" s="25"/>
      <c r="AJ97" s="25"/>
      <c r="AK97" s="25"/>
      <c r="AL97" s="25"/>
      <c r="AM97" s="25"/>
      <c r="AN97" s="25"/>
      <c r="AO97" s="25"/>
      <c r="AP97" s="25"/>
    </row>
    <row r="98" spans="3:44" x14ac:dyDescent="0.25">
      <c r="E98" s="28" t="s">
        <v>291</v>
      </c>
      <c r="G98" s="28" t="s">
        <v>203</v>
      </c>
      <c r="J98" s="25">
        <f>'Inputs by customer type'!J15</f>
        <v>0.41513083337616513</v>
      </c>
      <c r="K98" s="25">
        <f>'Inputs by customer type'!K15</f>
        <v>0.3365366574618312</v>
      </c>
      <c r="L98" s="25">
        <f>'Inputs by customer type'!L15</f>
        <v>0.19077597540606928</v>
      </c>
      <c r="M98" s="25">
        <f>'Inputs by customer type'!M15</f>
        <v>0.36980626395990096</v>
      </c>
      <c r="N98" s="25">
        <f>'Inputs by customer type'!N15</f>
        <v>0.44000120058311348</v>
      </c>
      <c r="O98" s="25">
        <f>'Inputs by customer type'!O15</f>
        <v>0.22297477154780784</v>
      </c>
      <c r="P98" s="25">
        <f>'Inputs by customer type'!P15</f>
        <v>0.4402585628289879</v>
      </c>
      <c r="Q98" s="25">
        <f>'Inputs by customer type'!Q15</f>
        <v>0.4402585628289879</v>
      </c>
      <c r="R98" s="25">
        <f>'Inputs by customer type'!R15</f>
        <v>0.46788168826041193</v>
      </c>
      <c r="S98" s="25">
        <f>'Inputs by customer type'!S15</f>
        <v>0.29235643550598994</v>
      </c>
      <c r="T98" s="25">
        <f>'Inputs by customer type'!T15</f>
        <v>0.40048565973182121</v>
      </c>
      <c r="U98" s="25">
        <f>'Inputs by customer type'!U15</f>
        <v>0.57517174301567875</v>
      </c>
      <c r="V98" s="25">
        <f>'Inputs by customer type'!V15</f>
        <v>0.66801982892855427</v>
      </c>
      <c r="W98" s="25">
        <f>'Inputs by customer type'!W15</f>
        <v>0.68905293243143573</v>
      </c>
      <c r="X98" s="25">
        <f>'Inputs by customer type'!X15</f>
        <v>0.99988594871538961</v>
      </c>
      <c r="Y98" s="25">
        <f>'Inputs by customer type'!Y15</f>
        <v>0.47125024662940507</v>
      </c>
      <c r="Z98" s="25">
        <f>'Inputs by customer type'!Z15</f>
        <v>0.25865510178323398</v>
      </c>
      <c r="AA98" s="25">
        <f>'Inputs by customer type'!AA15</f>
        <v>0.52793311440061208</v>
      </c>
      <c r="AB98" s="25">
        <f>'Inputs by customer type'!AB15</f>
        <v>0.45798443944159511</v>
      </c>
      <c r="AC98" s="25">
        <f>'Inputs by customer type'!AC15</f>
        <v>0</v>
      </c>
      <c r="AD98" s="25">
        <f>'Inputs by customer type'!AD15</f>
        <v>0</v>
      </c>
      <c r="AE98" s="25">
        <f>'Inputs by customer type'!AE15</f>
        <v>0</v>
      </c>
      <c r="AF98" s="25">
        <f>'Inputs by customer type'!AF15</f>
        <v>0</v>
      </c>
      <c r="AG98" s="25">
        <f>'Inputs by customer type'!AG15</f>
        <v>0</v>
      </c>
      <c r="AH98" s="25">
        <f>'Inputs by customer type'!AH15</f>
        <v>0</v>
      </c>
      <c r="AI98" s="25">
        <f>'Inputs by customer type'!AI15</f>
        <v>0</v>
      </c>
      <c r="AJ98" s="25">
        <f>'Inputs by customer type'!AJ15</f>
        <v>0</v>
      </c>
      <c r="AK98" s="25">
        <f>'Inputs by customer type'!AK15</f>
        <v>0</v>
      </c>
      <c r="AL98" s="25">
        <f>'Inputs by customer type'!AL15</f>
        <v>0</v>
      </c>
      <c r="AM98" s="25">
        <f>'Inputs by customer type'!AM15</f>
        <v>0</v>
      </c>
      <c r="AN98" s="25">
        <f>'Inputs by customer type'!AN15</f>
        <v>0</v>
      </c>
      <c r="AO98" s="25">
        <f>'Inputs by customer type'!AO15</f>
        <v>0</v>
      </c>
      <c r="AP98" s="25">
        <f>'Inputs by customer type'!AP15</f>
        <v>0</v>
      </c>
    </row>
    <row r="99" spans="3:44" x14ac:dyDescent="0.25">
      <c r="E99" s="28" t="s">
        <v>293</v>
      </c>
      <c r="G99" s="28" t="s">
        <v>203</v>
      </c>
      <c r="J99" s="25">
        <f>'Inputs by customer type'!J16</f>
        <v>0.82225520916742567</v>
      </c>
      <c r="K99" s="25">
        <f>'Inputs by customer type'!K16</f>
        <v>0.48731687569170906</v>
      </c>
      <c r="L99" s="25">
        <f>'Inputs by customer type'!L16</f>
        <v>0</v>
      </c>
      <c r="M99" s="25">
        <f>'Inputs by customer type'!M16</f>
        <v>0.66907672631050519</v>
      </c>
      <c r="N99" s="25">
        <f>'Inputs by customer type'!N16</f>
        <v>0.63445074896160036</v>
      </c>
      <c r="O99" s="25">
        <f>'Inputs by customer type'!O16</f>
        <v>0</v>
      </c>
      <c r="P99" s="25">
        <f>'Inputs by customer type'!P16</f>
        <v>0.63110962163099227</v>
      </c>
      <c r="Q99" s="25">
        <f>'Inputs by customer type'!Q16</f>
        <v>0.63110962163099227</v>
      </c>
      <c r="R99" s="25">
        <f>'Inputs by customer type'!R16</f>
        <v>0.67558616010602257</v>
      </c>
      <c r="S99" s="25">
        <f>'Inputs by customer type'!S16</f>
        <v>0.57452054216962278</v>
      </c>
      <c r="T99" s="25">
        <f>'Inputs by customer type'!T16</f>
        <v>0.63817541775509679</v>
      </c>
      <c r="U99" s="25">
        <f>'Inputs by customer type'!U16</f>
        <v>0.80508465681436192</v>
      </c>
      <c r="V99" s="25">
        <f>'Inputs by customer type'!V16</f>
        <v>0.80677881930909268</v>
      </c>
      <c r="W99" s="25">
        <f>'Inputs by customer type'!W16</f>
        <v>0.8317819189340927</v>
      </c>
      <c r="X99" s="25">
        <f>'Inputs by customer type'!X16</f>
        <v>1</v>
      </c>
      <c r="Y99" s="25">
        <f>'Inputs by customer type'!Y16</f>
        <v>0.88389166666666663</v>
      </c>
      <c r="Z99" s="25">
        <f>'Inputs by customer type'!Z16</f>
        <v>0.8977750000000001</v>
      </c>
      <c r="AA99" s="25">
        <f>'Inputs by customer type'!AA16</f>
        <v>0.15130833333333335</v>
      </c>
      <c r="AB99" s="25">
        <f>'Inputs by customer type'!AB16</f>
        <v>0.82310766239666089</v>
      </c>
      <c r="AC99" s="25">
        <f>'Inputs by customer type'!AC16</f>
        <v>0</v>
      </c>
      <c r="AD99" s="25">
        <f>'Inputs by customer type'!AD16</f>
        <v>0</v>
      </c>
      <c r="AE99" s="25">
        <f>'Inputs by customer type'!AE16</f>
        <v>0</v>
      </c>
      <c r="AF99" s="25">
        <f>'Inputs by customer type'!AF16</f>
        <v>0</v>
      </c>
      <c r="AG99" s="25">
        <f>'Inputs by customer type'!AG16</f>
        <v>0</v>
      </c>
      <c r="AH99" s="25">
        <f>'Inputs by customer type'!AH16</f>
        <v>0</v>
      </c>
      <c r="AI99" s="25">
        <f>'Inputs by customer type'!AI16</f>
        <v>0</v>
      </c>
      <c r="AJ99" s="25">
        <f>'Inputs by customer type'!AJ16</f>
        <v>0</v>
      </c>
      <c r="AK99" s="25">
        <f>'Inputs by customer type'!AK16</f>
        <v>0</v>
      </c>
      <c r="AL99" s="25">
        <f>'Inputs by customer type'!AL16</f>
        <v>0</v>
      </c>
      <c r="AM99" s="25">
        <f>'Inputs by customer type'!AM16</f>
        <v>0</v>
      </c>
      <c r="AN99" s="25">
        <f>'Inputs by customer type'!AN16</f>
        <v>0</v>
      </c>
      <c r="AO99" s="25">
        <f>'Inputs by customer type'!AO16</f>
        <v>0</v>
      </c>
      <c r="AP99" s="25">
        <f>'Inputs by customer type'!AP16</f>
        <v>0</v>
      </c>
    </row>
    <row r="100" spans="3:44" x14ac:dyDescent="0.25">
      <c r="F100" s="28"/>
      <c r="G100" s="28"/>
      <c r="J100" s="25"/>
      <c r="K100" s="25"/>
      <c r="L100" s="25"/>
      <c r="M100" s="25"/>
      <c r="N100" s="25"/>
      <c r="O100" s="25"/>
      <c r="P100" s="25"/>
      <c r="Q100" s="25"/>
      <c r="R100" s="25"/>
      <c r="S100" s="25"/>
      <c r="T100" s="25"/>
      <c r="U100" s="25"/>
      <c r="V100" s="25"/>
      <c r="W100" s="25"/>
      <c r="X100" s="25"/>
      <c r="Y100" s="25"/>
      <c r="Z100" s="25"/>
      <c r="AA100" s="25"/>
      <c r="AB100" s="25"/>
      <c r="AC100" s="25"/>
      <c r="AD100" s="25"/>
      <c r="AE100" s="25"/>
      <c r="AF100" s="25"/>
      <c r="AG100" s="25"/>
      <c r="AH100" s="25"/>
      <c r="AI100" s="25"/>
      <c r="AJ100" s="25"/>
      <c r="AK100" s="25"/>
      <c r="AL100" s="25"/>
      <c r="AM100" s="25"/>
      <c r="AN100" s="25"/>
      <c r="AO100" s="25"/>
      <c r="AP100" s="25"/>
    </row>
    <row r="101" spans="3:44" x14ac:dyDescent="0.25">
      <c r="C101" s="31" t="str">
        <f ca="1">INDEX('Version control'!$H$34:$H$56,MATCH($A$1,'Version control'!$F$34:$F$56,0),1)&amp;"-F: Aggregated load characteristics for UMS customers"</f>
        <v>Section 105-F: Aggregated load characteristics for UMS customers</v>
      </c>
      <c r="D101" s="31"/>
      <c r="E101" s="31"/>
      <c r="F101" s="31"/>
      <c r="G101" s="31"/>
      <c r="H101" s="31"/>
      <c r="I101" s="31"/>
      <c r="J101" s="31"/>
      <c r="K101" s="31"/>
      <c r="L101" s="31"/>
      <c r="M101" s="31"/>
      <c r="N101" s="31"/>
      <c r="O101" s="31"/>
      <c r="P101" s="31"/>
      <c r="Q101" s="31"/>
      <c r="R101" s="31"/>
      <c r="S101" s="31"/>
      <c r="T101" s="31"/>
      <c r="U101" s="31"/>
      <c r="V101" s="31"/>
      <c r="W101" s="31"/>
      <c r="X101" s="31"/>
      <c r="Y101" s="31"/>
      <c r="Z101" s="31"/>
      <c r="AA101" s="31"/>
      <c r="AB101" s="31"/>
      <c r="AC101" s="31"/>
      <c r="AD101" s="31"/>
      <c r="AE101" s="31"/>
      <c r="AF101" s="31"/>
      <c r="AG101" s="31"/>
      <c r="AH101" s="31"/>
      <c r="AI101" s="31"/>
      <c r="AJ101" s="31"/>
      <c r="AK101" s="31"/>
      <c r="AL101" s="31"/>
      <c r="AM101" s="31"/>
      <c r="AN101" s="31"/>
      <c r="AO101" s="31"/>
      <c r="AP101" s="31"/>
      <c r="AQ101" s="31"/>
      <c r="AR101" s="31"/>
    </row>
    <row r="102" spans="3:44" x14ac:dyDescent="0.25">
      <c r="F102" s="28"/>
      <c r="G102" s="28"/>
    </row>
    <row r="103" spans="3:44" x14ac:dyDescent="0.25">
      <c r="D103" s="32" t="s">
        <v>546</v>
      </c>
      <c r="X103" s="63"/>
      <c r="Y103" s="63"/>
      <c r="Z103" s="63"/>
      <c r="AA103" s="63"/>
      <c r="AB103" s="63"/>
      <c r="AC103" s="63"/>
    </row>
    <row r="104" spans="3:44" x14ac:dyDescent="0.25">
      <c r="D104" s="32"/>
      <c r="X104" s="63"/>
      <c r="Y104" s="63"/>
      <c r="Z104" s="63"/>
      <c r="AA104" s="63"/>
      <c r="AB104" s="63"/>
      <c r="AC104" s="63"/>
    </row>
    <row r="105" spans="3:44" x14ac:dyDescent="0.25">
      <c r="E105" t="s">
        <v>547</v>
      </c>
      <c r="G105" t="s">
        <v>208</v>
      </c>
      <c r="J105" s="79"/>
      <c r="K105" s="79"/>
      <c r="L105" s="79"/>
      <c r="M105" s="79"/>
      <c r="N105" s="79"/>
      <c r="O105" s="79"/>
      <c r="P105" s="79"/>
      <c r="Q105" s="79"/>
      <c r="R105" s="79"/>
      <c r="S105" s="79"/>
      <c r="T105" s="79"/>
      <c r="U105" s="79"/>
      <c r="V105" s="79"/>
      <c r="W105" s="79"/>
      <c r="X105" s="101">
        <f>X39 / hours_in_year</f>
        <v>1.6145005095398086</v>
      </c>
      <c r="Y105" s="101">
        <f>Y39 / hours_in_year</f>
        <v>1.9726755803244034</v>
      </c>
      <c r="Z105" s="101">
        <f>Z39 / hours_in_year</f>
        <v>0.40190938927272934</v>
      </c>
      <c r="AA105" s="101">
        <f>AA39 / hours_in_year</f>
        <v>5.0510885189599094E-3</v>
      </c>
      <c r="AB105" s="101">
        <f>AB39 / hours_in_year</f>
        <v>9.4590102723376361</v>
      </c>
      <c r="AC105" s="79"/>
      <c r="AD105" s="79"/>
      <c r="AE105" s="79"/>
      <c r="AF105" s="79"/>
      <c r="AG105" s="79"/>
      <c r="AH105" s="79"/>
      <c r="AI105" s="79"/>
      <c r="AJ105" s="79"/>
      <c r="AK105" s="79"/>
      <c r="AL105" s="79"/>
      <c r="AM105" s="79"/>
      <c r="AN105" s="79"/>
      <c r="AO105" s="79"/>
      <c r="AP105" s="79"/>
    </row>
    <row r="106" spans="3:44" x14ac:dyDescent="0.25">
      <c r="E106" t="s">
        <v>548</v>
      </c>
      <c r="G106" t="s">
        <v>208</v>
      </c>
      <c r="J106" s="79"/>
      <c r="K106" s="79"/>
      <c r="L106" s="79"/>
      <c r="M106" s="79"/>
      <c r="N106" s="79"/>
      <c r="O106" s="79"/>
      <c r="P106" s="79"/>
      <c r="Q106" s="79"/>
      <c r="R106" s="79"/>
      <c r="S106" s="79"/>
      <c r="T106" s="79"/>
      <c r="U106" s="79"/>
      <c r="V106" s="79"/>
      <c r="W106" s="79"/>
      <c r="X106" s="92">
        <f>IF(X98 = 0, 0, X39 / (X98 * hours_in_year))</f>
        <v>1.6146846664002523</v>
      </c>
      <c r="Y106" s="92">
        <f>IF(Y98 = 0, 0, Y39 / (Y98 * hours_in_year))</f>
        <v>4.186046786041751</v>
      </c>
      <c r="Z106" s="92">
        <f>IF(Z98 = 0, 0, Z39 / (Z98 * hours_in_year))</f>
        <v>1.5538428838320368</v>
      </c>
      <c r="AA106" s="92">
        <f>IF(AA98 = 0, 0, AA39 / (AA98 * hours_in_year))</f>
        <v>9.5676675343516829E-3</v>
      </c>
      <c r="AB106" s="92">
        <f>IF(AB98 = 0, 0, AB39 / (AB98 * hours_in_year))</f>
        <v>20.65356256179945</v>
      </c>
      <c r="AC106" s="79"/>
      <c r="AD106" s="79"/>
      <c r="AE106" s="79"/>
      <c r="AF106" s="79"/>
      <c r="AG106" s="79"/>
      <c r="AH106" s="79"/>
      <c r="AI106" s="79"/>
      <c r="AJ106" s="79"/>
      <c r="AK106" s="79"/>
      <c r="AL106" s="79"/>
      <c r="AM106" s="79"/>
      <c r="AN106" s="79"/>
      <c r="AO106" s="79"/>
      <c r="AP106" s="79"/>
    </row>
    <row r="107" spans="3:44" x14ac:dyDescent="0.25">
      <c r="E107" t="s">
        <v>549</v>
      </c>
      <c r="G107" t="s">
        <v>208</v>
      </c>
      <c r="J107" s="79"/>
      <c r="K107" s="79"/>
      <c r="L107" s="79"/>
      <c r="M107" s="79"/>
      <c r="N107" s="79"/>
      <c r="O107" s="79"/>
      <c r="P107" s="79"/>
      <c r="Q107" s="79"/>
      <c r="R107" s="79"/>
      <c r="S107" s="79"/>
      <c r="T107" s="79"/>
      <c r="U107" s="79"/>
      <c r="V107" s="79"/>
      <c r="W107" s="79"/>
      <c r="X107" s="92">
        <f>X106 * X99</f>
        <v>1.6146846664002523</v>
      </c>
      <c r="Y107" s="92">
        <f>Y106 * Y99</f>
        <v>3.7000118704590865</v>
      </c>
      <c r="Z107" s="92">
        <f>Z106 * Z99</f>
        <v>1.395001295032307</v>
      </c>
      <c r="AA107" s="92">
        <f>AA106 * AA99</f>
        <v>1.4476678285101961E-3</v>
      </c>
      <c r="AB107" s="92">
        <f>AB106 * AB99</f>
        <v>17.000105600405938</v>
      </c>
      <c r="AC107" s="79"/>
      <c r="AD107" s="79"/>
      <c r="AE107" s="79"/>
      <c r="AF107" s="79"/>
      <c r="AG107" s="79"/>
      <c r="AH107" s="79"/>
      <c r="AI107" s="79"/>
      <c r="AJ107" s="79"/>
      <c r="AK107" s="79"/>
      <c r="AL107" s="79"/>
      <c r="AM107" s="79"/>
      <c r="AN107" s="79"/>
      <c r="AO107" s="79"/>
      <c r="AP107" s="79"/>
    </row>
    <row r="108" spans="3:44" x14ac:dyDescent="0.25">
      <c r="J108" s="63"/>
      <c r="K108" s="63"/>
      <c r="L108" s="63"/>
      <c r="M108" s="63"/>
      <c r="N108" s="63"/>
      <c r="O108" s="63"/>
      <c r="P108" s="63"/>
      <c r="Q108" s="63"/>
      <c r="R108" s="63"/>
      <c r="S108" s="63"/>
      <c r="T108" s="63"/>
      <c r="U108" s="63"/>
      <c r="V108" s="63"/>
      <c r="W108" s="63"/>
      <c r="X108" s="63"/>
      <c r="Y108" s="63"/>
      <c r="Z108" s="63"/>
      <c r="AA108" s="63"/>
      <c r="AB108" s="63"/>
      <c r="AC108" s="63"/>
      <c r="AD108" s="63"/>
      <c r="AE108" s="63"/>
      <c r="AF108" s="63"/>
      <c r="AG108" s="63"/>
      <c r="AH108" s="63"/>
      <c r="AI108" s="63"/>
      <c r="AJ108" s="63"/>
      <c r="AK108" s="63"/>
      <c r="AL108" s="63"/>
      <c r="AM108" s="63"/>
      <c r="AN108" s="63"/>
      <c r="AO108" s="63"/>
      <c r="AP108" s="63"/>
    </row>
    <row r="109" spans="3:44" x14ac:dyDescent="0.25">
      <c r="D109" s="32" t="s">
        <v>550</v>
      </c>
    </row>
    <row r="110" spans="3:44" x14ac:dyDescent="0.25">
      <c r="D110" s="32"/>
    </row>
    <row r="111" spans="3:44" x14ac:dyDescent="0.25">
      <c r="E111" t="s">
        <v>291</v>
      </c>
      <c r="G111" t="s">
        <v>203</v>
      </c>
      <c r="H111" s="84">
        <f>SUM(X105:AB105) / SUM(X106:AB106)</f>
        <v>0.48016591824968702</v>
      </c>
    </row>
    <row r="112" spans="3:44" x14ac:dyDescent="0.25">
      <c r="E112" t="s">
        <v>293</v>
      </c>
      <c r="G112" t="s">
        <v>203</v>
      </c>
      <c r="H112" s="84">
        <f>SUM(X107:AB107) / SUM(X106:AB106)</f>
        <v>0.84629527892274281</v>
      </c>
    </row>
    <row r="114" spans="2:44" x14ac:dyDescent="0.25">
      <c r="C114" s="31" t="str">
        <f ca="1">INDEX('Version control'!$H$34:$H$56,MATCH($A$1,'Version control'!$F$34:$F$56,0),1)&amp;"-G: Calculation of correction factor"</f>
        <v>Section 105-G: Calculation of correction factor</v>
      </c>
      <c r="D114" s="31"/>
      <c r="E114" s="31"/>
      <c r="F114" s="31"/>
      <c r="G114" s="31"/>
      <c r="H114" s="31"/>
      <c r="I114" s="31"/>
      <c r="J114" s="31"/>
      <c r="K114" s="31"/>
      <c r="L114" s="31"/>
      <c r="M114" s="31"/>
      <c r="N114" s="31"/>
      <c r="O114" s="31"/>
      <c r="P114" s="31"/>
      <c r="Q114" s="31"/>
      <c r="R114" s="31"/>
      <c r="S114" s="31"/>
      <c r="T114" s="31"/>
      <c r="U114" s="31"/>
      <c r="V114" s="31"/>
      <c r="W114" s="31"/>
      <c r="X114" s="31"/>
      <c r="Y114" s="31"/>
      <c r="Z114" s="31"/>
      <c r="AA114" s="31"/>
      <c r="AB114" s="31"/>
      <c r="AC114" s="31"/>
      <c r="AD114" s="31"/>
      <c r="AE114" s="31"/>
      <c r="AF114" s="31"/>
      <c r="AG114" s="31"/>
      <c r="AH114" s="31"/>
      <c r="AI114" s="31"/>
      <c r="AJ114" s="31"/>
      <c r="AK114" s="31"/>
      <c r="AL114" s="31"/>
      <c r="AM114" s="31"/>
      <c r="AN114" s="31"/>
      <c r="AO114" s="31"/>
      <c r="AP114" s="31"/>
      <c r="AQ114" s="31"/>
      <c r="AR114" s="31"/>
    </row>
    <row r="116" spans="2:44" x14ac:dyDescent="0.25">
      <c r="E116" s="28" t="s">
        <v>551</v>
      </c>
      <c r="G116" s="28" t="s">
        <v>342</v>
      </c>
      <c r="J116" s="101">
        <f t="shared" ref="J116:AP116" si="18">IF(AND(J98 = 0, J99 = 0), 1, J99 / J98)</f>
        <v>1.9807134114327527</v>
      </c>
      <c r="K116" s="101">
        <f t="shared" si="18"/>
        <v>1.4480350502291977</v>
      </c>
      <c r="L116" s="101">
        <f t="shared" si="18"/>
        <v>0</v>
      </c>
      <c r="M116" s="101">
        <f t="shared" si="18"/>
        <v>1.8092628262864008</v>
      </c>
      <c r="N116" s="101">
        <f t="shared" si="18"/>
        <v>1.4419295859211105</v>
      </c>
      <c r="O116" s="101">
        <f t="shared" si="18"/>
        <v>0</v>
      </c>
      <c r="P116" s="101">
        <f t="shared" si="18"/>
        <v>1.4334976645897464</v>
      </c>
      <c r="Q116" s="101">
        <f t="shared" si="18"/>
        <v>1.4334976645897464</v>
      </c>
      <c r="R116" s="101">
        <f t="shared" si="18"/>
        <v>1.443925199590216</v>
      </c>
      <c r="S116" s="101">
        <f t="shared" si="18"/>
        <v>1.9651373200500377</v>
      </c>
      <c r="T116" s="101">
        <f t="shared" si="18"/>
        <v>1.593503792826042</v>
      </c>
      <c r="U116" s="101">
        <f t="shared" si="18"/>
        <v>1.399729153232091</v>
      </c>
      <c r="V116" s="101">
        <f t="shared" si="18"/>
        <v>1.2077168736189998</v>
      </c>
      <c r="W116" s="101">
        <f t="shared" si="18"/>
        <v>1.2071379131919726</v>
      </c>
      <c r="X116" s="101">
        <f t="shared" si="18"/>
        <v>1.0001140642937896</v>
      </c>
      <c r="Y116" s="101">
        <f t="shared" si="18"/>
        <v>1.8756312022936001</v>
      </c>
      <c r="Z116" s="101">
        <f t="shared" si="18"/>
        <v>3.4709348232859556</v>
      </c>
      <c r="AA116" s="101">
        <f t="shared" si="18"/>
        <v>0.28660511948586709</v>
      </c>
      <c r="AB116" s="101">
        <f t="shared" si="18"/>
        <v>1.7972393634164692</v>
      </c>
      <c r="AC116" s="101">
        <f t="shared" si="18"/>
        <v>1</v>
      </c>
      <c r="AD116" s="101">
        <f t="shared" si="18"/>
        <v>1</v>
      </c>
      <c r="AE116" s="101">
        <f t="shared" si="18"/>
        <v>1</v>
      </c>
      <c r="AF116" s="101">
        <f t="shared" si="18"/>
        <v>1</v>
      </c>
      <c r="AG116" s="101">
        <f t="shared" si="18"/>
        <v>1</v>
      </c>
      <c r="AH116" s="101">
        <f t="shared" si="18"/>
        <v>1</v>
      </c>
      <c r="AI116" s="101">
        <f t="shared" si="18"/>
        <v>1</v>
      </c>
      <c r="AJ116" s="101">
        <f t="shared" si="18"/>
        <v>1</v>
      </c>
      <c r="AK116" s="101">
        <f t="shared" si="18"/>
        <v>1</v>
      </c>
      <c r="AL116" s="101">
        <f t="shared" si="18"/>
        <v>1</v>
      </c>
      <c r="AM116" s="101">
        <f t="shared" si="18"/>
        <v>1</v>
      </c>
      <c r="AN116" s="101">
        <f t="shared" si="18"/>
        <v>1</v>
      </c>
      <c r="AO116" s="101">
        <f t="shared" si="18"/>
        <v>1</v>
      </c>
      <c r="AP116" s="101">
        <f t="shared" si="18"/>
        <v>1</v>
      </c>
    </row>
    <row r="117" spans="2:44" x14ac:dyDescent="0.25">
      <c r="E117" s="28" t="s">
        <v>552</v>
      </c>
      <c r="G117" s="28" t="s">
        <v>342</v>
      </c>
      <c r="H117" s="92">
        <f>H112 / H111</f>
        <v>1.7625059312990805</v>
      </c>
      <c r="I117" t="s">
        <v>190</v>
      </c>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c r="AR117" t="s">
        <v>553</v>
      </c>
    </row>
    <row r="118" spans="2:44" x14ac:dyDescent="0.25">
      <c r="E118" s="28" t="s">
        <v>554</v>
      </c>
      <c r="G118" s="28" t="s">
        <v>342</v>
      </c>
      <c r="J118" s="92">
        <f t="shared" ref="J118:AP118" si="19">IF(J$24, $H117, J116)</f>
        <v>1.9807134114327527</v>
      </c>
      <c r="K118" s="92">
        <f t="shared" si="19"/>
        <v>1.4480350502291977</v>
      </c>
      <c r="L118" s="92">
        <f t="shared" si="19"/>
        <v>0</v>
      </c>
      <c r="M118" s="92">
        <f t="shared" si="19"/>
        <v>1.8092628262864008</v>
      </c>
      <c r="N118" s="92">
        <f t="shared" si="19"/>
        <v>1.4419295859211105</v>
      </c>
      <c r="O118" s="92">
        <f t="shared" si="19"/>
        <v>0</v>
      </c>
      <c r="P118" s="92">
        <f t="shared" si="19"/>
        <v>1.4334976645897464</v>
      </c>
      <c r="Q118" s="92">
        <f t="shared" si="19"/>
        <v>1.4334976645897464</v>
      </c>
      <c r="R118" s="92">
        <f t="shared" si="19"/>
        <v>1.443925199590216</v>
      </c>
      <c r="S118" s="92">
        <f t="shared" si="19"/>
        <v>1.9651373200500377</v>
      </c>
      <c r="T118" s="92">
        <f t="shared" si="19"/>
        <v>1.593503792826042</v>
      </c>
      <c r="U118" s="92">
        <f t="shared" si="19"/>
        <v>1.399729153232091</v>
      </c>
      <c r="V118" s="92">
        <f t="shared" si="19"/>
        <v>1.2077168736189998</v>
      </c>
      <c r="W118" s="92">
        <f t="shared" si="19"/>
        <v>1.2071379131919726</v>
      </c>
      <c r="X118" s="92">
        <f t="shared" si="19"/>
        <v>1.7625059312990805</v>
      </c>
      <c r="Y118" s="92">
        <f t="shared" si="19"/>
        <v>1.7625059312990805</v>
      </c>
      <c r="Z118" s="92">
        <f t="shared" si="19"/>
        <v>1.7625059312990805</v>
      </c>
      <c r="AA118" s="92">
        <f t="shared" si="19"/>
        <v>1.7625059312990805</v>
      </c>
      <c r="AB118" s="92">
        <f t="shared" si="19"/>
        <v>1.7625059312990805</v>
      </c>
      <c r="AC118" s="92">
        <f t="shared" si="19"/>
        <v>1</v>
      </c>
      <c r="AD118" s="92">
        <f t="shared" si="19"/>
        <v>1</v>
      </c>
      <c r="AE118" s="92">
        <f t="shared" si="19"/>
        <v>1</v>
      </c>
      <c r="AF118" s="92">
        <f t="shared" si="19"/>
        <v>1</v>
      </c>
      <c r="AG118" s="92">
        <f t="shared" si="19"/>
        <v>1</v>
      </c>
      <c r="AH118" s="92">
        <f t="shared" si="19"/>
        <v>1</v>
      </c>
      <c r="AI118" s="92">
        <f t="shared" si="19"/>
        <v>1</v>
      </c>
      <c r="AJ118" s="92">
        <f t="shared" si="19"/>
        <v>1</v>
      </c>
      <c r="AK118" s="92">
        <f t="shared" si="19"/>
        <v>1</v>
      </c>
      <c r="AL118" s="92">
        <f t="shared" si="19"/>
        <v>1</v>
      </c>
      <c r="AM118" s="92">
        <f t="shared" si="19"/>
        <v>1</v>
      </c>
      <c r="AN118" s="92">
        <f t="shared" si="19"/>
        <v>1</v>
      </c>
      <c r="AO118" s="92">
        <f t="shared" si="19"/>
        <v>1</v>
      </c>
      <c r="AP118" s="92">
        <f t="shared" si="19"/>
        <v>1</v>
      </c>
    </row>
    <row r="119" spans="2:44" x14ac:dyDescent="0.25">
      <c r="D119" s="32"/>
      <c r="J119" s="123"/>
      <c r="K119" s="123"/>
      <c r="L119" s="123"/>
      <c r="M119" s="123"/>
      <c r="N119" s="123"/>
      <c r="O119" s="123"/>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row>
    <row r="120" spans="2:44" x14ac:dyDescent="0.25">
      <c r="E120" s="28" t="s">
        <v>555</v>
      </c>
      <c r="G120" s="28" t="s">
        <v>342</v>
      </c>
      <c r="J120" s="92">
        <f>IF(OR(J90 = 0, J99 = 0), 1, J118 / J90)</f>
        <v>1.4079387889187407</v>
      </c>
      <c r="K120" s="92">
        <f t="shared" ref="K120:AP120" si="20">IF(OR(K90 = 0, K99 = 0), 1, K118 / K90)</f>
        <v>1.3728393551613138</v>
      </c>
      <c r="L120" s="92">
        <f t="shared" si="20"/>
        <v>1</v>
      </c>
      <c r="M120" s="92">
        <f t="shared" si="20"/>
        <v>1.542931132727829</v>
      </c>
      <c r="N120" s="92">
        <f t="shared" si="20"/>
        <v>1.4107194075974603</v>
      </c>
      <c r="O120" s="92">
        <f t="shared" si="20"/>
        <v>1</v>
      </c>
      <c r="P120" s="92">
        <f t="shared" si="20"/>
        <v>1.2286132710247419</v>
      </c>
      <c r="Q120" s="92">
        <f t="shared" si="20"/>
        <v>1</v>
      </c>
      <c r="R120" s="92">
        <f t="shared" si="20"/>
        <v>1.3881919804509955</v>
      </c>
      <c r="S120" s="92">
        <f t="shared" si="20"/>
        <v>1.1575747853248401</v>
      </c>
      <c r="T120" s="92">
        <f t="shared" si="20"/>
        <v>1.3463932335714721</v>
      </c>
      <c r="U120" s="92">
        <f t="shared" si="20"/>
        <v>1.1900633079110059</v>
      </c>
      <c r="V120" s="92">
        <f t="shared" si="20"/>
        <v>1.1813612752414633</v>
      </c>
      <c r="W120" s="92">
        <f t="shared" si="20"/>
        <v>1.1215346660985024</v>
      </c>
      <c r="X120" s="92">
        <f t="shared" si="20"/>
        <v>0.96023526268053783</v>
      </c>
      <c r="Y120" s="92">
        <f t="shared" si="20"/>
        <v>0.96023526268053783</v>
      </c>
      <c r="Z120" s="92">
        <f t="shared" si="20"/>
        <v>0.96023526268053783</v>
      </c>
      <c r="AA120" s="92">
        <f t="shared" si="20"/>
        <v>0.96023526268053783</v>
      </c>
      <c r="AB120" s="92">
        <f t="shared" si="20"/>
        <v>0.96023526268053783</v>
      </c>
      <c r="AC120" s="92">
        <f t="shared" si="20"/>
        <v>1</v>
      </c>
      <c r="AD120" s="92">
        <f t="shared" si="20"/>
        <v>1</v>
      </c>
      <c r="AE120" s="92">
        <f t="shared" si="20"/>
        <v>1</v>
      </c>
      <c r="AF120" s="92">
        <f t="shared" si="20"/>
        <v>1</v>
      </c>
      <c r="AG120" s="92">
        <f t="shared" si="20"/>
        <v>1</v>
      </c>
      <c r="AH120" s="92">
        <f t="shared" si="20"/>
        <v>1</v>
      </c>
      <c r="AI120" s="92">
        <f t="shared" si="20"/>
        <v>1</v>
      </c>
      <c r="AJ120" s="92">
        <f t="shared" si="20"/>
        <v>1</v>
      </c>
      <c r="AK120" s="92">
        <f t="shared" si="20"/>
        <v>1</v>
      </c>
      <c r="AL120" s="92">
        <f t="shared" si="20"/>
        <v>1</v>
      </c>
      <c r="AM120" s="92">
        <f t="shared" si="20"/>
        <v>1</v>
      </c>
      <c r="AN120" s="92">
        <f t="shared" si="20"/>
        <v>1</v>
      </c>
      <c r="AO120" s="92">
        <f t="shared" si="20"/>
        <v>1</v>
      </c>
      <c r="AP120" s="92">
        <f t="shared" si="20"/>
        <v>1</v>
      </c>
    </row>
    <row r="121" spans="2:44" x14ac:dyDescent="0.25">
      <c r="E121" s="28" t="s">
        <v>556</v>
      </c>
      <c r="G121" s="28" t="s">
        <v>342</v>
      </c>
      <c r="H121" s="92">
        <f>H117 / H89</f>
        <v>0.96023526268053783</v>
      </c>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2:44" x14ac:dyDescent="0.25">
      <c r="E122" s="28" t="s">
        <v>557</v>
      </c>
      <c r="G122" s="28" t="s">
        <v>342</v>
      </c>
      <c r="I122" t="s">
        <v>190</v>
      </c>
      <c r="J122" s="92">
        <f t="shared" ref="J122:AP122" si="21">IF(J$24, $H121, J120)</f>
        <v>1.4079387889187407</v>
      </c>
      <c r="K122" s="92">
        <f t="shared" si="21"/>
        <v>1.3728393551613138</v>
      </c>
      <c r="L122" s="92">
        <f t="shared" si="21"/>
        <v>1</v>
      </c>
      <c r="M122" s="92">
        <f t="shared" si="21"/>
        <v>1.542931132727829</v>
      </c>
      <c r="N122" s="92">
        <f t="shared" si="21"/>
        <v>1.4107194075974603</v>
      </c>
      <c r="O122" s="92">
        <f t="shared" si="21"/>
        <v>1</v>
      </c>
      <c r="P122" s="92">
        <f t="shared" si="21"/>
        <v>1.2286132710247419</v>
      </c>
      <c r="Q122" s="92">
        <f t="shared" si="21"/>
        <v>1</v>
      </c>
      <c r="R122" s="92">
        <f t="shared" si="21"/>
        <v>1.3881919804509955</v>
      </c>
      <c r="S122" s="92">
        <f t="shared" si="21"/>
        <v>1.1575747853248401</v>
      </c>
      <c r="T122" s="92">
        <f t="shared" si="21"/>
        <v>1.3463932335714721</v>
      </c>
      <c r="U122" s="92">
        <f t="shared" si="21"/>
        <v>1.1900633079110059</v>
      </c>
      <c r="V122" s="92">
        <f t="shared" si="21"/>
        <v>1.1813612752414633</v>
      </c>
      <c r="W122" s="92">
        <f t="shared" si="21"/>
        <v>1.1215346660985024</v>
      </c>
      <c r="X122" s="92">
        <f t="shared" si="21"/>
        <v>0.96023526268053783</v>
      </c>
      <c r="Y122" s="92">
        <f t="shared" si="21"/>
        <v>0.96023526268053783</v>
      </c>
      <c r="Z122" s="92">
        <f t="shared" si="21"/>
        <v>0.96023526268053783</v>
      </c>
      <c r="AA122" s="92">
        <f t="shared" si="21"/>
        <v>0.96023526268053783</v>
      </c>
      <c r="AB122" s="92">
        <f t="shared" si="21"/>
        <v>0.96023526268053783</v>
      </c>
      <c r="AC122" s="92">
        <f t="shared" si="21"/>
        <v>1</v>
      </c>
      <c r="AD122" s="92">
        <f t="shared" si="21"/>
        <v>1</v>
      </c>
      <c r="AE122" s="92">
        <f t="shared" si="21"/>
        <v>1</v>
      </c>
      <c r="AF122" s="92">
        <f t="shared" si="21"/>
        <v>1</v>
      </c>
      <c r="AG122" s="92">
        <f t="shared" si="21"/>
        <v>1</v>
      </c>
      <c r="AH122" s="92">
        <f t="shared" si="21"/>
        <v>1</v>
      </c>
      <c r="AI122" s="92">
        <f t="shared" si="21"/>
        <v>1</v>
      </c>
      <c r="AJ122" s="92">
        <f t="shared" si="21"/>
        <v>1</v>
      </c>
      <c r="AK122" s="92">
        <f t="shared" si="21"/>
        <v>1</v>
      </c>
      <c r="AL122" s="92">
        <f t="shared" si="21"/>
        <v>1</v>
      </c>
      <c r="AM122" s="92">
        <f t="shared" si="21"/>
        <v>1</v>
      </c>
      <c r="AN122" s="92">
        <f t="shared" si="21"/>
        <v>1</v>
      </c>
      <c r="AO122" s="92">
        <f t="shared" si="21"/>
        <v>1</v>
      </c>
      <c r="AP122" s="92">
        <f t="shared" si="21"/>
        <v>1</v>
      </c>
      <c r="AR122" t="s">
        <v>558</v>
      </c>
    </row>
    <row r="123" spans="2:44" x14ac:dyDescent="0.25">
      <c r="F123" s="28"/>
      <c r="G123" s="28"/>
    </row>
    <row r="124" spans="2:44" x14ac:dyDescent="0.25">
      <c r="B124" s="107" t="s">
        <v>559</v>
      </c>
      <c r="C124" s="108"/>
      <c r="D124" s="107"/>
      <c r="E124" s="107"/>
      <c r="F124" s="108"/>
      <c r="G124" s="108"/>
      <c r="H124" s="108"/>
      <c r="I124" s="108"/>
      <c r="J124" s="108"/>
      <c r="K124" s="108"/>
      <c r="L124" s="108"/>
      <c r="M124" s="108"/>
      <c r="N124" s="108"/>
      <c r="O124" s="108"/>
      <c r="P124" s="108"/>
      <c r="Q124" s="108"/>
      <c r="R124" s="108"/>
      <c r="S124" s="108"/>
      <c r="T124" s="108"/>
      <c r="U124" s="108"/>
      <c r="V124" s="108"/>
      <c r="W124" s="108"/>
      <c r="X124" s="108"/>
      <c r="Y124" s="108"/>
      <c r="Z124" s="108"/>
      <c r="AA124" s="108"/>
      <c r="AB124" s="108"/>
      <c r="AC124" s="108"/>
      <c r="AD124" s="108"/>
      <c r="AE124" s="108"/>
      <c r="AF124" s="108"/>
      <c r="AG124" s="108"/>
      <c r="AH124" s="108"/>
      <c r="AI124" s="108"/>
      <c r="AJ124" s="108"/>
      <c r="AK124" s="108"/>
      <c r="AL124" s="108"/>
      <c r="AM124" s="108"/>
      <c r="AN124" s="108"/>
      <c r="AO124" s="108"/>
      <c r="AP124" s="108"/>
      <c r="AQ124" s="108"/>
      <c r="AR124" s="108"/>
    </row>
    <row r="125" spans="2:44" x14ac:dyDescent="0.25">
      <c r="I125" t="s">
        <v>190</v>
      </c>
      <c r="AR125" t="s">
        <v>560</v>
      </c>
    </row>
    <row r="126" spans="2:44" x14ac:dyDescent="0.25">
      <c r="C126" s="29" t="s">
        <v>561</v>
      </c>
    </row>
    <row r="127" spans="2:44" x14ac:dyDescent="0.25">
      <c r="C127" s="29" t="s">
        <v>562</v>
      </c>
    </row>
    <row r="129" spans="3:44" x14ac:dyDescent="0.25">
      <c r="C129" s="31" t="str">
        <f ca="1">INDEX('Version control'!$H$34:$H$56,MATCH($A$1,'Version control'!$F$34:$F$56,0),1)&amp;"-H: Peaking probabilities, by network level"</f>
        <v>Section 105-H: Peaking probabilities, by network level</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E131" s="32" t="s">
        <v>563</v>
      </c>
      <c r="G131" s="28"/>
    </row>
    <row r="132" spans="3:44" x14ac:dyDescent="0.25">
      <c r="F132" s="78" t="s">
        <v>353</v>
      </c>
      <c r="G132" s="64" t="s">
        <v>203</v>
      </c>
      <c r="H132" s="110">
        <f>'Inputs by network level'!K40</f>
        <v>0.51</v>
      </c>
    </row>
    <row r="133" spans="3:44" x14ac:dyDescent="0.25">
      <c r="F133" s="72" t="s">
        <v>354</v>
      </c>
      <c r="G133" s="28" t="s">
        <v>203</v>
      </c>
      <c r="H133" s="25">
        <f>'Inputs by network level'!K41</f>
        <v>0.32</v>
      </c>
    </row>
    <row r="134" spans="3:44" x14ac:dyDescent="0.25">
      <c r="F134" s="80" t="s">
        <v>313</v>
      </c>
      <c r="G134" s="67" t="s">
        <v>203</v>
      </c>
      <c r="H134" s="144">
        <f>'Inputs by network level'!K42</f>
        <v>0.17</v>
      </c>
    </row>
    <row r="135" spans="3:44" x14ac:dyDescent="0.25">
      <c r="F135" s="78" t="s">
        <v>355</v>
      </c>
      <c r="G135" s="64" t="s">
        <v>203</v>
      </c>
      <c r="H135" s="110">
        <f>'Inputs by network level'!K43</f>
        <v>0.39</v>
      </c>
    </row>
    <row r="136" spans="3:44" x14ac:dyDescent="0.25">
      <c r="F136" s="72" t="s">
        <v>364</v>
      </c>
      <c r="G136" s="28" t="s">
        <v>203</v>
      </c>
      <c r="H136" s="160">
        <f>SUM(H132:H133) - H135</f>
        <v>0.44000000000000006</v>
      </c>
    </row>
    <row r="137" spans="3:44" x14ac:dyDescent="0.25">
      <c r="F137" s="80" t="s">
        <v>313</v>
      </c>
      <c r="G137" s="67" t="s">
        <v>203</v>
      </c>
      <c r="H137" s="162">
        <f>H134</f>
        <v>0.17</v>
      </c>
    </row>
    <row r="138" spans="3:44" x14ac:dyDescent="0.25">
      <c r="F138" s="29"/>
      <c r="G138" s="28"/>
    </row>
    <row r="139" spans="3:44" x14ac:dyDescent="0.25">
      <c r="E139" s="32" t="s">
        <v>564</v>
      </c>
      <c r="G139" s="28"/>
    </row>
    <row r="140" spans="3:44" x14ac:dyDescent="0.25">
      <c r="F140" s="78" t="s">
        <v>534</v>
      </c>
      <c r="G140" s="64" t="s">
        <v>203</v>
      </c>
      <c r="H140" s="110">
        <f>'Inputs by network level'!L40</f>
        <v>0</v>
      </c>
    </row>
    <row r="141" spans="3:44" x14ac:dyDescent="0.25">
      <c r="F141" s="72" t="s">
        <v>535</v>
      </c>
      <c r="G141" s="28" t="s">
        <v>203</v>
      </c>
      <c r="H141" s="25">
        <f>'Inputs by network level'!L41</f>
        <v>0</v>
      </c>
    </row>
    <row r="142" spans="3:44" x14ac:dyDescent="0.25">
      <c r="F142" s="80" t="s">
        <v>313</v>
      </c>
      <c r="G142" s="67" t="s">
        <v>203</v>
      </c>
      <c r="H142" s="144">
        <f>'Inputs by network level'!L42</f>
        <v>0</v>
      </c>
    </row>
    <row r="143" spans="3:44" x14ac:dyDescent="0.25">
      <c r="F143" s="78" t="s">
        <v>355</v>
      </c>
      <c r="G143" s="64" t="s">
        <v>203</v>
      </c>
      <c r="H143" s="110">
        <f>'Inputs by network level'!L43</f>
        <v>0</v>
      </c>
    </row>
    <row r="144" spans="3:44" x14ac:dyDescent="0.25">
      <c r="F144" s="72" t="s">
        <v>364</v>
      </c>
      <c r="G144" s="28" t="s">
        <v>203</v>
      </c>
      <c r="H144" s="160">
        <f>SUM(H140:H141) - H143</f>
        <v>0</v>
      </c>
    </row>
    <row r="145" spans="5:8" x14ac:dyDescent="0.25">
      <c r="F145" s="80" t="s">
        <v>313</v>
      </c>
      <c r="G145" s="67" t="s">
        <v>203</v>
      </c>
      <c r="H145" s="162">
        <f>H142</f>
        <v>0</v>
      </c>
    </row>
    <row r="146" spans="5:8" x14ac:dyDescent="0.25">
      <c r="F146" s="29"/>
      <c r="G146" s="28"/>
    </row>
    <row r="147" spans="5:8" x14ac:dyDescent="0.25">
      <c r="E147" s="32" t="s">
        <v>565</v>
      </c>
      <c r="G147" s="28"/>
    </row>
    <row r="148" spans="5:8" x14ac:dyDescent="0.25">
      <c r="F148" s="78" t="s">
        <v>534</v>
      </c>
      <c r="G148" s="64" t="s">
        <v>203</v>
      </c>
      <c r="H148" s="110">
        <f>'Inputs by network level'!M40</f>
        <v>0</v>
      </c>
    </row>
    <row r="149" spans="5:8" x14ac:dyDescent="0.25">
      <c r="F149" s="72" t="s">
        <v>535</v>
      </c>
      <c r="G149" s="28" t="s">
        <v>203</v>
      </c>
      <c r="H149" s="25">
        <f>'Inputs by network level'!M41</f>
        <v>0</v>
      </c>
    </row>
    <row r="150" spans="5:8" x14ac:dyDescent="0.25">
      <c r="F150" s="80" t="s">
        <v>313</v>
      </c>
      <c r="G150" s="67" t="s">
        <v>203</v>
      </c>
      <c r="H150" s="144">
        <f>'Inputs by network level'!M42</f>
        <v>0</v>
      </c>
    </row>
    <row r="151" spans="5:8" x14ac:dyDescent="0.25">
      <c r="F151" s="78" t="s">
        <v>355</v>
      </c>
      <c r="G151" s="64" t="s">
        <v>203</v>
      </c>
      <c r="H151" s="110">
        <f>'Inputs by network level'!M43</f>
        <v>0</v>
      </c>
    </row>
    <row r="152" spans="5:8" x14ac:dyDescent="0.25">
      <c r="F152" s="72" t="s">
        <v>364</v>
      </c>
      <c r="G152" s="28" t="s">
        <v>203</v>
      </c>
      <c r="H152" s="160">
        <f>SUM(H148:H149) - H151</f>
        <v>0</v>
      </c>
    </row>
    <row r="153" spans="5:8" x14ac:dyDescent="0.25">
      <c r="F153" s="80" t="s">
        <v>313</v>
      </c>
      <c r="G153" s="67" t="s">
        <v>203</v>
      </c>
      <c r="H153" s="162">
        <f>H150</f>
        <v>0</v>
      </c>
    </row>
    <row r="154" spans="5:8" x14ac:dyDescent="0.25">
      <c r="F154" s="29"/>
      <c r="G154" s="28"/>
    </row>
    <row r="155" spans="5:8" x14ac:dyDescent="0.25">
      <c r="E155" s="32" t="s">
        <v>566</v>
      </c>
      <c r="G155" s="28"/>
    </row>
    <row r="156" spans="5:8" x14ac:dyDescent="0.25">
      <c r="F156" s="78" t="s">
        <v>534</v>
      </c>
      <c r="G156" s="64" t="s">
        <v>203</v>
      </c>
      <c r="H156" s="110">
        <f>'Inputs by network level'!N40</f>
        <v>0.46</v>
      </c>
    </row>
    <row r="157" spans="5:8" x14ac:dyDescent="0.25">
      <c r="F157" s="72" t="s">
        <v>535</v>
      </c>
      <c r="G157" s="28" t="s">
        <v>203</v>
      </c>
      <c r="H157" s="25">
        <f>'Inputs by network level'!N41</f>
        <v>0.35</v>
      </c>
    </row>
    <row r="158" spans="5:8" x14ac:dyDescent="0.25">
      <c r="F158" s="80" t="s">
        <v>313</v>
      </c>
      <c r="G158" s="67" t="s">
        <v>203</v>
      </c>
      <c r="H158" s="144">
        <f>'Inputs by network level'!N42</f>
        <v>0.19</v>
      </c>
    </row>
    <row r="159" spans="5:8" x14ac:dyDescent="0.25">
      <c r="F159" s="78" t="s">
        <v>355</v>
      </c>
      <c r="G159" s="64" t="s">
        <v>203</v>
      </c>
      <c r="H159" s="110">
        <f>'Inputs by network level'!N43</f>
        <v>0.33</v>
      </c>
    </row>
    <row r="160" spans="5:8" x14ac:dyDescent="0.25">
      <c r="F160" s="72" t="s">
        <v>364</v>
      </c>
      <c r="G160" s="28" t="s">
        <v>203</v>
      </c>
      <c r="H160" s="160">
        <f>SUM(H156:H157) - H159</f>
        <v>0.48000000000000004</v>
      </c>
    </row>
    <row r="161" spans="5:8" x14ac:dyDescent="0.25">
      <c r="F161" s="80" t="s">
        <v>313</v>
      </c>
      <c r="G161" s="67" t="s">
        <v>203</v>
      </c>
      <c r="H161" s="162">
        <f>H158</f>
        <v>0.19</v>
      </c>
    </row>
    <row r="162" spans="5:8" x14ac:dyDescent="0.25">
      <c r="F162" s="29"/>
      <c r="G162" s="28"/>
    </row>
    <row r="163" spans="5:8" x14ac:dyDescent="0.25">
      <c r="E163" s="32" t="s">
        <v>567</v>
      </c>
      <c r="G163" s="28"/>
    </row>
    <row r="164" spans="5:8" x14ac:dyDescent="0.25">
      <c r="F164" s="78" t="s">
        <v>534</v>
      </c>
      <c r="G164" s="64" t="s">
        <v>203</v>
      </c>
      <c r="H164" s="110">
        <f>'Inputs by network level'!O40</f>
        <v>0.46</v>
      </c>
    </row>
    <row r="165" spans="5:8" x14ac:dyDescent="0.25">
      <c r="F165" s="72" t="s">
        <v>535</v>
      </c>
      <c r="G165" s="28" t="s">
        <v>203</v>
      </c>
      <c r="H165" s="25">
        <f>'Inputs by network level'!O41</f>
        <v>0.35</v>
      </c>
    </row>
    <row r="166" spans="5:8" x14ac:dyDescent="0.25">
      <c r="F166" s="80" t="s">
        <v>313</v>
      </c>
      <c r="G166" s="67" t="s">
        <v>203</v>
      </c>
      <c r="H166" s="144">
        <f>'Inputs by network level'!O42</f>
        <v>0.19</v>
      </c>
    </row>
    <row r="167" spans="5:8" x14ac:dyDescent="0.25">
      <c r="F167" s="78" t="s">
        <v>355</v>
      </c>
      <c r="G167" s="64" t="s">
        <v>203</v>
      </c>
      <c r="H167" s="110">
        <f>'Inputs by network level'!O43</f>
        <v>0.33</v>
      </c>
    </row>
    <row r="168" spans="5:8" x14ac:dyDescent="0.25">
      <c r="F168" s="72" t="s">
        <v>364</v>
      </c>
      <c r="G168" s="28" t="s">
        <v>203</v>
      </c>
      <c r="H168" s="160">
        <f>SUM(H164:H165) - H167</f>
        <v>0.48000000000000004</v>
      </c>
    </row>
    <row r="169" spans="5:8" x14ac:dyDescent="0.25">
      <c r="F169" s="80" t="s">
        <v>313</v>
      </c>
      <c r="G169" s="67" t="s">
        <v>203</v>
      </c>
      <c r="H169" s="162">
        <f>H166</f>
        <v>0.19</v>
      </c>
    </row>
    <row r="170" spans="5:8" x14ac:dyDescent="0.25">
      <c r="F170" s="29"/>
      <c r="G170" s="28"/>
    </row>
    <row r="171" spans="5:8" x14ac:dyDescent="0.25">
      <c r="E171" s="32" t="s">
        <v>568</v>
      </c>
      <c r="G171" s="28"/>
    </row>
    <row r="172" spans="5:8" x14ac:dyDescent="0.25">
      <c r="F172" s="78" t="s">
        <v>534</v>
      </c>
      <c r="G172" s="64" t="s">
        <v>203</v>
      </c>
      <c r="H172" s="110">
        <f>'Inputs by network level'!P40</f>
        <v>0</v>
      </c>
    </row>
    <row r="173" spans="5:8" x14ac:dyDescent="0.25">
      <c r="F173" s="72" t="s">
        <v>535</v>
      </c>
      <c r="G173" s="28" t="s">
        <v>203</v>
      </c>
      <c r="H173" s="25">
        <f>'Inputs by network level'!P41</f>
        <v>0</v>
      </c>
    </row>
    <row r="174" spans="5:8" x14ac:dyDescent="0.25">
      <c r="F174" s="80" t="s">
        <v>313</v>
      </c>
      <c r="G174" s="67" t="s">
        <v>203</v>
      </c>
      <c r="H174" s="144">
        <f>'Inputs by network level'!P42</f>
        <v>0</v>
      </c>
    </row>
    <row r="175" spans="5:8" x14ac:dyDescent="0.25">
      <c r="F175" s="78" t="s">
        <v>355</v>
      </c>
      <c r="G175" s="64" t="s">
        <v>203</v>
      </c>
      <c r="H175" s="110">
        <f>'Inputs by network level'!P43</f>
        <v>0</v>
      </c>
    </row>
    <row r="176" spans="5:8" x14ac:dyDescent="0.25">
      <c r="F176" s="72" t="s">
        <v>364</v>
      </c>
      <c r="G176" s="28" t="s">
        <v>203</v>
      </c>
      <c r="H176" s="160">
        <f>SUM(H172:H173) - H175</f>
        <v>0</v>
      </c>
    </row>
    <row r="177" spans="5:8" x14ac:dyDescent="0.25">
      <c r="F177" s="80" t="s">
        <v>313</v>
      </c>
      <c r="G177" s="67" t="s">
        <v>203</v>
      </c>
      <c r="H177" s="162">
        <f>H174</f>
        <v>0</v>
      </c>
    </row>
    <row r="178" spans="5:8" x14ac:dyDescent="0.25">
      <c r="F178" s="29"/>
      <c r="G178" s="28"/>
    </row>
    <row r="179" spans="5:8" x14ac:dyDescent="0.25">
      <c r="E179" s="32" t="s">
        <v>569</v>
      </c>
      <c r="G179" s="28"/>
    </row>
    <row r="180" spans="5:8" x14ac:dyDescent="0.25">
      <c r="F180" s="78" t="s">
        <v>534</v>
      </c>
      <c r="G180" s="64" t="s">
        <v>203</v>
      </c>
      <c r="H180" s="110">
        <f>'Inputs by network level'!Q40</f>
        <v>0.46</v>
      </c>
    </row>
    <row r="181" spans="5:8" x14ac:dyDescent="0.25">
      <c r="F181" s="72" t="s">
        <v>535</v>
      </c>
      <c r="G181" s="28" t="s">
        <v>203</v>
      </c>
      <c r="H181" s="25">
        <f>'Inputs by network level'!Q41</f>
        <v>0.35</v>
      </c>
    </row>
    <row r="182" spans="5:8" x14ac:dyDescent="0.25">
      <c r="F182" s="80" t="s">
        <v>313</v>
      </c>
      <c r="G182" s="67" t="s">
        <v>203</v>
      </c>
      <c r="H182" s="144">
        <f>'Inputs by network level'!Q42</f>
        <v>0.19</v>
      </c>
    </row>
    <row r="183" spans="5:8" x14ac:dyDescent="0.25">
      <c r="F183" s="78" t="s">
        <v>355</v>
      </c>
      <c r="G183" s="64" t="s">
        <v>203</v>
      </c>
      <c r="H183" s="110">
        <f>'Inputs by network level'!Q43</f>
        <v>0.33</v>
      </c>
    </row>
    <row r="184" spans="5:8" x14ac:dyDescent="0.25">
      <c r="F184" s="72" t="s">
        <v>364</v>
      </c>
      <c r="G184" s="28" t="s">
        <v>203</v>
      </c>
      <c r="H184" s="160">
        <f>SUM(H180:H181) - H183</f>
        <v>0.48000000000000004</v>
      </c>
    </row>
    <row r="185" spans="5:8" x14ac:dyDescent="0.25">
      <c r="F185" s="80" t="s">
        <v>313</v>
      </c>
      <c r="G185" s="67" t="s">
        <v>203</v>
      </c>
      <c r="H185" s="162">
        <f>H182</f>
        <v>0.19</v>
      </c>
    </row>
    <row r="186" spans="5:8" x14ac:dyDescent="0.25">
      <c r="F186" s="29"/>
      <c r="G186" s="28"/>
    </row>
    <row r="187" spans="5:8" x14ac:dyDescent="0.25">
      <c r="E187" s="32" t="s">
        <v>570</v>
      </c>
      <c r="G187" s="28"/>
    </row>
    <row r="188" spans="5:8" x14ac:dyDescent="0.25">
      <c r="F188" s="78" t="s">
        <v>534</v>
      </c>
      <c r="G188" s="64" t="s">
        <v>203</v>
      </c>
      <c r="H188" s="110">
        <f>'Inputs by network level'!R40</f>
        <v>0.46</v>
      </c>
    </row>
    <row r="189" spans="5:8" x14ac:dyDescent="0.25">
      <c r="F189" s="72" t="s">
        <v>535</v>
      </c>
      <c r="G189" s="28" t="s">
        <v>203</v>
      </c>
      <c r="H189" s="25">
        <f>'Inputs by network level'!R41</f>
        <v>0.35</v>
      </c>
    </row>
    <row r="190" spans="5:8" x14ac:dyDescent="0.25">
      <c r="F190" s="80" t="s">
        <v>313</v>
      </c>
      <c r="G190" s="67" t="s">
        <v>203</v>
      </c>
      <c r="H190" s="144">
        <f>'Inputs by network level'!R42</f>
        <v>0.19</v>
      </c>
    </row>
    <row r="191" spans="5:8" x14ac:dyDescent="0.25">
      <c r="F191" s="78" t="s">
        <v>355</v>
      </c>
      <c r="G191" s="64" t="s">
        <v>203</v>
      </c>
      <c r="H191" s="110">
        <f>'Inputs by network level'!R43</f>
        <v>0.33</v>
      </c>
    </row>
    <row r="192" spans="5:8" x14ac:dyDescent="0.25">
      <c r="F192" s="72" t="s">
        <v>364</v>
      </c>
      <c r="G192" s="28" t="s">
        <v>203</v>
      </c>
      <c r="H192" s="160">
        <f>SUM(H188:H189) - H191</f>
        <v>0.48000000000000004</v>
      </c>
    </row>
    <row r="193" spans="3:44" x14ac:dyDescent="0.25">
      <c r="F193" s="80" t="s">
        <v>313</v>
      </c>
      <c r="G193" s="67" t="s">
        <v>203</v>
      </c>
      <c r="H193" s="162">
        <f>H190</f>
        <v>0.19</v>
      </c>
    </row>
    <row r="194" spans="3:44" x14ac:dyDescent="0.25">
      <c r="F194" s="29"/>
      <c r="G194" s="28"/>
    </row>
    <row r="195" spans="3:44" x14ac:dyDescent="0.25">
      <c r="E195" s="32" t="s">
        <v>571</v>
      </c>
      <c r="G195" s="28"/>
    </row>
    <row r="196" spans="3:44" x14ac:dyDescent="0.25">
      <c r="F196" s="78" t="s">
        <v>534</v>
      </c>
      <c r="G196" s="64" t="s">
        <v>203</v>
      </c>
      <c r="H196" s="110">
        <f>'Inputs by network level'!S40</f>
        <v>0.46</v>
      </c>
    </row>
    <row r="197" spans="3:44" x14ac:dyDescent="0.25">
      <c r="F197" s="72" t="s">
        <v>535</v>
      </c>
      <c r="G197" s="28" t="s">
        <v>203</v>
      </c>
      <c r="H197" s="25">
        <f>'Inputs by network level'!S41</f>
        <v>0.35</v>
      </c>
    </row>
    <row r="198" spans="3:44" x14ac:dyDescent="0.25">
      <c r="F198" s="80" t="s">
        <v>313</v>
      </c>
      <c r="G198" s="67" t="s">
        <v>203</v>
      </c>
      <c r="H198" s="144">
        <f>'Inputs by network level'!S42</f>
        <v>0.19</v>
      </c>
    </row>
    <row r="199" spans="3:44" x14ac:dyDescent="0.25">
      <c r="F199" s="78" t="s">
        <v>355</v>
      </c>
      <c r="G199" s="64" t="s">
        <v>203</v>
      </c>
      <c r="H199" s="110">
        <f>'Inputs by network level'!S43</f>
        <v>0.33</v>
      </c>
    </row>
    <row r="200" spans="3:44" x14ac:dyDescent="0.25">
      <c r="F200" s="72" t="s">
        <v>364</v>
      </c>
      <c r="G200" s="28" t="s">
        <v>203</v>
      </c>
      <c r="H200" s="160">
        <f>SUM(H196:H197) - H199</f>
        <v>0.48000000000000004</v>
      </c>
      <c r="R200" s="63"/>
    </row>
    <row r="201" spans="3:44" x14ac:dyDescent="0.25">
      <c r="F201" s="80" t="s">
        <v>313</v>
      </c>
      <c r="G201" s="67" t="s">
        <v>203</v>
      </c>
      <c r="H201" s="162">
        <f>H198</f>
        <v>0.19</v>
      </c>
    </row>
    <row r="202" spans="3:44" x14ac:dyDescent="0.25">
      <c r="E202" s="29"/>
      <c r="F202" s="28"/>
      <c r="G202" s="28"/>
    </row>
    <row r="203" spans="3:44" x14ac:dyDescent="0.25">
      <c r="C203" s="31" t="str">
        <f ca="1">INDEX('Version control'!$H$34:$H$56,MATCH($A$1,'Version control'!$F$34:$F$56,0),1)&amp;"-I: Peaking probabilities, by network level and customer type"</f>
        <v>Section 105-I: Peaking probabilities, by network level and customer type</v>
      </c>
      <c r="D203" s="31"/>
      <c r="E203" s="31"/>
      <c r="F203" s="31"/>
      <c r="G203" s="31"/>
      <c r="H203" s="31"/>
      <c r="I203" s="31"/>
      <c r="J203" s="31"/>
      <c r="K203" s="31"/>
      <c r="L203" s="31"/>
      <c r="M203" s="31"/>
      <c r="N203" s="31"/>
      <c r="O203" s="31"/>
      <c r="P203" s="31"/>
      <c r="Q203" s="31"/>
      <c r="R203" s="31"/>
      <c r="S203" s="31"/>
      <c r="T203" s="31"/>
      <c r="U203" s="31"/>
      <c r="V203" s="31"/>
      <c r="W203" s="31"/>
      <c r="X203" s="31"/>
      <c r="Y203" s="31"/>
      <c r="Z203" s="31"/>
      <c r="AA203" s="31"/>
      <c r="AB203" s="31"/>
      <c r="AC203" s="31"/>
      <c r="AD203" s="31"/>
      <c r="AE203" s="31"/>
      <c r="AF203" s="31"/>
      <c r="AG203" s="31"/>
      <c r="AH203" s="31"/>
      <c r="AI203" s="31"/>
      <c r="AJ203" s="31"/>
      <c r="AK203" s="31"/>
      <c r="AL203" s="31"/>
      <c r="AM203" s="31"/>
      <c r="AN203" s="31"/>
      <c r="AO203" s="31"/>
      <c r="AP203" s="31"/>
      <c r="AQ203" s="31"/>
      <c r="AR203" s="31"/>
    </row>
    <row r="205" spans="3:44" x14ac:dyDescent="0.25">
      <c r="E205" s="32" t="s">
        <v>563</v>
      </c>
      <c r="G205" s="28"/>
    </row>
    <row r="206" spans="3:44" x14ac:dyDescent="0.25">
      <c r="E206" s="29"/>
      <c r="F206" s="78" t="s">
        <v>534</v>
      </c>
      <c r="G206" s="64" t="s">
        <v>203</v>
      </c>
      <c r="H206" s="110"/>
      <c r="I206" s="23"/>
      <c r="J206" s="158">
        <f t="shared" ref="J206:AP206" si="22">IF(J$24, $H135, $H132)</f>
        <v>0.51</v>
      </c>
      <c r="K206" s="158">
        <f t="shared" si="22"/>
        <v>0.51</v>
      </c>
      <c r="L206" s="158">
        <f t="shared" si="22"/>
        <v>0.51</v>
      </c>
      <c r="M206" s="158">
        <f t="shared" si="22"/>
        <v>0.51</v>
      </c>
      <c r="N206" s="158">
        <f t="shared" si="22"/>
        <v>0.51</v>
      </c>
      <c r="O206" s="158">
        <f t="shared" si="22"/>
        <v>0.51</v>
      </c>
      <c r="P206" s="158">
        <f t="shared" si="22"/>
        <v>0.51</v>
      </c>
      <c r="Q206" s="158">
        <f t="shared" si="22"/>
        <v>0.51</v>
      </c>
      <c r="R206" s="158">
        <f t="shared" si="22"/>
        <v>0.51</v>
      </c>
      <c r="S206" s="158">
        <f t="shared" si="22"/>
        <v>0.51</v>
      </c>
      <c r="T206" s="158">
        <f t="shared" si="22"/>
        <v>0.51</v>
      </c>
      <c r="U206" s="158">
        <f t="shared" si="22"/>
        <v>0.51</v>
      </c>
      <c r="V206" s="158">
        <f t="shared" si="22"/>
        <v>0.51</v>
      </c>
      <c r="W206" s="158">
        <f t="shared" si="22"/>
        <v>0.51</v>
      </c>
      <c r="X206" s="158">
        <f t="shared" si="22"/>
        <v>0.39</v>
      </c>
      <c r="Y206" s="158">
        <f t="shared" si="22"/>
        <v>0.39</v>
      </c>
      <c r="Z206" s="158">
        <f t="shared" si="22"/>
        <v>0.39</v>
      </c>
      <c r="AA206" s="158">
        <f t="shared" si="22"/>
        <v>0.39</v>
      </c>
      <c r="AB206" s="158">
        <f t="shared" si="22"/>
        <v>0.39</v>
      </c>
      <c r="AC206" s="158">
        <f t="shared" si="22"/>
        <v>0.51</v>
      </c>
      <c r="AD206" s="158">
        <f t="shared" si="22"/>
        <v>0.51</v>
      </c>
      <c r="AE206" s="158">
        <f t="shared" si="22"/>
        <v>0.51</v>
      </c>
      <c r="AF206" s="158">
        <f t="shared" si="22"/>
        <v>0.51</v>
      </c>
      <c r="AG206" s="158">
        <f t="shared" si="22"/>
        <v>0.51</v>
      </c>
      <c r="AH206" s="158">
        <f t="shared" si="22"/>
        <v>0.51</v>
      </c>
      <c r="AI206" s="158">
        <f t="shared" si="22"/>
        <v>0.51</v>
      </c>
      <c r="AJ206" s="158">
        <f t="shared" si="22"/>
        <v>0.51</v>
      </c>
      <c r="AK206" s="158">
        <f t="shared" si="22"/>
        <v>0.51</v>
      </c>
      <c r="AL206" s="158">
        <f t="shared" si="22"/>
        <v>0.51</v>
      </c>
      <c r="AM206" s="158">
        <f t="shared" si="22"/>
        <v>0.51</v>
      </c>
      <c r="AN206" s="158">
        <f t="shared" si="22"/>
        <v>0.51</v>
      </c>
      <c r="AO206" s="158">
        <f t="shared" si="22"/>
        <v>0.51</v>
      </c>
      <c r="AP206" s="158">
        <f t="shared" si="22"/>
        <v>0.51</v>
      </c>
    </row>
    <row r="207" spans="3:44" x14ac:dyDescent="0.25">
      <c r="E207" s="29"/>
      <c r="F207" s="72" t="s">
        <v>535</v>
      </c>
      <c r="G207" s="28" t="s">
        <v>203</v>
      </c>
      <c r="H207" s="25"/>
      <c r="J207" s="148">
        <f t="shared" ref="J207:AP207" si="23">IF(J$24, $H136, $H133)</f>
        <v>0.32</v>
      </c>
      <c r="K207" s="148">
        <f t="shared" si="23"/>
        <v>0.32</v>
      </c>
      <c r="L207" s="148">
        <f t="shared" si="23"/>
        <v>0.32</v>
      </c>
      <c r="M207" s="148">
        <f t="shared" si="23"/>
        <v>0.32</v>
      </c>
      <c r="N207" s="148">
        <f t="shared" si="23"/>
        <v>0.32</v>
      </c>
      <c r="O207" s="148">
        <f t="shared" si="23"/>
        <v>0.32</v>
      </c>
      <c r="P207" s="148">
        <f t="shared" si="23"/>
        <v>0.32</v>
      </c>
      <c r="Q207" s="148">
        <f t="shared" si="23"/>
        <v>0.32</v>
      </c>
      <c r="R207" s="148">
        <f t="shared" si="23"/>
        <v>0.32</v>
      </c>
      <c r="S207" s="148">
        <f t="shared" si="23"/>
        <v>0.32</v>
      </c>
      <c r="T207" s="148">
        <f t="shared" si="23"/>
        <v>0.32</v>
      </c>
      <c r="U207" s="148">
        <f t="shared" si="23"/>
        <v>0.32</v>
      </c>
      <c r="V207" s="148">
        <f t="shared" si="23"/>
        <v>0.32</v>
      </c>
      <c r="W207" s="148">
        <f t="shared" si="23"/>
        <v>0.32</v>
      </c>
      <c r="X207" s="148">
        <f t="shared" si="23"/>
        <v>0.44000000000000006</v>
      </c>
      <c r="Y207" s="148">
        <f t="shared" si="23"/>
        <v>0.44000000000000006</v>
      </c>
      <c r="Z207" s="148">
        <f t="shared" si="23"/>
        <v>0.44000000000000006</v>
      </c>
      <c r="AA207" s="148">
        <f t="shared" si="23"/>
        <v>0.44000000000000006</v>
      </c>
      <c r="AB207" s="148">
        <f t="shared" si="23"/>
        <v>0.44000000000000006</v>
      </c>
      <c r="AC207" s="148">
        <f t="shared" si="23"/>
        <v>0.32</v>
      </c>
      <c r="AD207" s="148">
        <f t="shared" si="23"/>
        <v>0.32</v>
      </c>
      <c r="AE207" s="148">
        <f t="shared" si="23"/>
        <v>0.32</v>
      </c>
      <c r="AF207" s="148">
        <f t="shared" si="23"/>
        <v>0.32</v>
      </c>
      <c r="AG207" s="148">
        <f t="shared" si="23"/>
        <v>0.32</v>
      </c>
      <c r="AH207" s="148">
        <f t="shared" si="23"/>
        <v>0.32</v>
      </c>
      <c r="AI207" s="148">
        <f t="shared" si="23"/>
        <v>0.32</v>
      </c>
      <c r="AJ207" s="148">
        <f t="shared" si="23"/>
        <v>0.32</v>
      </c>
      <c r="AK207" s="148">
        <f t="shared" si="23"/>
        <v>0.32</v>
      </c>
      <c r="AL207" s="148">
        <f t="shared" si="23"/>
        <v>0.32</v>
      </c>
      <c r="AM207" s="148">
        <f t="shared" si="23"/>
        <v>0.32</v>
      </c>
      <c r="AN207" s="148">
        <f t="shared" si="23"/>
        <v>0.32</v>
      </c>
      <c r="AO207" s="148">
        <f t="shared" si="23"/>
        <v>0.32</v>
      </c>
      <c r="AP207" s="148">
        <f t="shared" si="23"/>
        <v>0.32</v>
      </c>
    </row>
    <row r="208" spans="3:44" x14ac:dyDescent="0.25">
      <c r="E208" s="29"/>
      <c r="F208" s="80" t="s">
        <v>313</v>
      </c>
      <c r="G208" s="67" t="s">
        <v>203</v>
      </c>
      <c r="H208" s="144"/>
      <c r="I208" s="37"/>
      <c r="J208" s="159">
        <f t="shared" ref="J208:AP208" si="24">IF(J$24, $H137, $H134)</f>
        <v>0.17</v>
      </c>
      <c r="K208" s="159">
        <f t="shared" si="24"/>
        <v>0.17</v>
      </c>
      <c r="L208" s="159">
        <f t="shared" si="24"/>
        <v>0.17</v>
      </c>
      <c r="M208" s="159">
        <f t="shared" si="24"/>
        <v>0.17</v>
      </c>
      <c r="N208" s="159">
        <f t="shared" si="24"/>
        <v>0.17</v>
      </c>
      <c r="O208" s="159">
        <f t="shared" si="24"/>
        <v>0.17</v>
      </c>
      <c r="P208" s="159">
        <f t="shared" si="24"/>
        <v>0.17</v>
      </c>
      <c r="Q208" s="159">
        <f t="shared" si="24"/>
        <v>0.17</v>
      </c>
      <c r="R208" s="159">
        <f t="shared" si="24"/>
        <v>0.17</v>
      </c>
      <c r="S208" s="159">
        <f t="shared" si="24"/>
        <v>0.17</v>
      </c>
      <c r="T208" s="159">
        <f t="shared" si="24"/>
        <v>0.17</v>
      </c>
      <c r="U208" s="159">
        <f t="shared" si="24"/>
        <v>0.17</v>
      </c>
      <c r="V208" s="159">
        <f t="shared" si="24"/>
        <v>0.17</v>
      </c>
      <c r="W208" s="159">
        <f t="shared" si="24"/>
        <v>0.17</v>
      </c>
      <c r="X208" s="159">
        <f t="shared" si="24"/>
        <v>0.17</v>
      </c>
      <c r="Y208" s="159">
        <f t="shared" si="24"/>
        <v>0.17</v>
      </c>
      <c r="Z208" s="159">
        <f t="shared" si="24"/>
        <v>0.17</v>
      </c>
      <c r="AA208" s="159">
        <f t="shared" si="24"/>
        <v>0.17</v>
      </c>
      <c r="AB208" s="159">
        <f t="shared" si="24"/>
        <v>0.17</v>
      </c>
      <c r="AC208" s="159">
        <f t="shared" si="24"/>
        <v>0.17</v>
      </c>
      <c r="AD208" s="159">
        <f t="shared" si="24"/>
        <v>0.17</v>
      </c>
      <c r="AE208" s="159">
        <f t="shared" si="24"/>
        <v>0.17</v>
      </c>
      <c r="AF208" s="159">
        <f t="shared" si="24"/>
        <v>0.17</v>
      </c>
      <c r="AG208" s="159">
        <f t="shared" si="24"/>
        <v>0.17</v>
      </c>
      <c r="AH208" s="159">
        <f t="shared" si="24"/>
        <v>0.17</v>
      </c>
      <c r="AI208" s="159">
        <f t="shared" si="24"/>
        <v>0.17</v>
      </c>
      <c r="AJ208" s="159">
        <f t="shared" si="24"/>
        <v>0.17</v>
      </c>
      <c r="AK208" s="159">
        <f t="shared" si="24"/>
        <v>0.17</v>
      </c>
      <c r="AL208" s="159">
        <f t="shared" si="24"/>
        <v>0.17</v>
      </c>
      <c r="AM208" s="159">
        <f t="shared" si="24"/>
        <v>0.17</v>
      </c>
      <c r="AN208" s="159">
        <f t="shared" si="24"/>
        <v>0.17</v>
      </c>
      <c r="AO208" s="159">
        <f t="shared" si="24"/>
        <v>0.17</v>
      </c>
      <c r="AP208" s="159">
        <f t="shared" si="24"/>
        <v>0.17</v>
      </c>
    </row>
    <row r="209" spans="5:42" x14ac:dyDescent="0.25">
      <c r="E209" s="29"/>
      <c r="F209" s="72"/>
      <c r="G209" s="28"/>
      <c r="H209" s="25"/>
      <c r="J209" s="148"/>
      <c r="K209" s="148"/>
      <c r="L209" s="148"/>
      <c r="M209" s="148"/>
      <c r="N209" s="148"/>
      <c r="O209" s="148"/>
      <c r="P209" s="148"/>
      <c r="Q209" s="148"/>
      <c r="R209" s="148"/>
      <c r="S209" s="148"/>
      <c r="T209" s="148"/>
      <c r="U209" s="148"/>
      <c r="V209" s="148"/>
      <c r="W209" s="148"/>
      <c r="X209" s="148"/>
      <c r="Y209" s="148"/>
      <c r="Z209" s="148"/>
      <c r="AA209" s="148"/>
      <c r="AB209" s="148"/>
      <c r="AC209" s="148"/>
      <c r="AD209" s="148"/>
      <c r="AE209" s="148"/>
      <c r="AF209" s="148"/>
      <c r="AG209" s="148"/>
      <c r="AH209" s="148"/>
      <c r="AI209" s="148"/>
      <c r="AJ209" s="148"/>
      <c r="AK209" s="148"/>
      <c r="AL209" s="148"/>
      <c r="AM209" s="148"/>
      <c r="AN209" s="148"/>
      <c r="AO209" s="148"/>
      <c r="AP209" s="148"/>
    </row>
    <row r="210" spans="5:42" x14ac:dyDescent="0.25">
      <c r="E210" s="32" t="s">
        <v>564</v>
      </c>
      <c r="G210" s="28"/>
    </row>
    <row r="211" spans="5:42" x14ac:dyDescent="0.25">
      <c r="E211" s="29"/>
      <c r="F211" s="78" t="s">
        <v>534</v>
      </c>
      <c r="G211" s="64" t="s">
        <v>203</v>
      </c>
      <c r="H211" s="110"/>
      <c r="I211" s="23"/>
      <c r="J211" s="158">
        <f t="shared" ref="J211:AP211" si="25">IF(J$24, $H143, $H140)</f>
        <v>0</v>
      </c>
      <c r="K211" s="158">
        <f t="shared" si="25"/>
        <v>0</v>
      </c>
      <c r="L211" s="158">
        <f t="shared" si="25"/>
        <v>0</v>
      </c>
      <c r="M211" s="158">
        <f t="shared" si="25"/>
        <v>0</v>
      </c>
      <c r="N211" s="158">
        <f t="shared" si="25"/>
        <v>0</v>
      </c>
      <c r="O211" s="158">
        <f t="shared" si="25"/>
        <v>0</v>
      </c>
      <c r="P211" s="158">
        <f t="shared" si="25"/>
        <v>0</v>
      </c>
      <c r="Q211" s="158">
        <f t="shared" si="25"/>
        <v>0</v>
      </c>
      <c r="R211" s="158">
        <f t="shared" si="25"/>
        <v>0</v>
      </c>
      <c r="S211" s="158">
        <f t="shared" si="25"/>
        <v>0</v>
      </c>
      <c r="T211" s="158">
        <f t="shared" si="25"/>
        <v>0</v>
      </c>
      <c r="U211" s="158">
        <f t="shared" si="25"/>
        <v>0</v>
      </c>
      <c r="V211" s="158">
        <f t="shared" si="25"/>
        <v>0</v>
      </c>
      <c r="W211" s="158">
        <f t="shared" si="25"/>
        <v>0</v>
      </c>
      <c r="X211" s="158">
        <f t="shared" si="25"/>
        <v>0</v>
      </c>
      <c r="Y211" s="158">
        <f t="shared" si="25"/>
        <v>0</v>
      </c>
      <c r="Z211" s="158">
        <f t="shared" si="25"/>
        <v>0</v>
      </c>
      <c r="AA211" s="158">
        <f t="shared" si="25"/>
        <v>0</v>
      </c>
      <c r="AB211" s="158">
        <f t="shared" si="25"/>
        <v>0</v>
      </c>
      <c r="AC211" s="158">
        <f t="shared" si="25"/>
        <v>0</v>
      </c>
      <c r="AD211" s="158">
        <f t="shared" si="25"/>
        <v>0</v>
      </c>
      <c r="AE211" s="158">
        <f t="shared" si="25"/>
        <v>0</v>
      </c>
      <c r="AF211" s="158">
        <f t="shared" si="25"/>
        <v>0</v>
      </c>
      <c r="AG211" s="158">
        <f t="shared" si="25"/>
        <v>0</v>
      </c>
      <c r="AH211" s="158">
        <f t="shared" si="25"/>
        <v>0</v>
      </c>
      <c r="AI211" s="158">
        <f t="shared" si="25"/>
        <v>0</v>
      </c>
      <c r="AJ211" s="158">
        <f t="shared" si="25"/>
        <v>0</v>
      </c>
      <c r="AK211" s="158">
        <f t="shared" si="25"/>
        <v>0</v>
      </c>
      <c r="AL211" s="158">
        <f t="shared" si="25"/>
        <v>0</v>
      </c>
      <c r="AM211" s="158">
        <f t="shared" si="25"/>
        <v>0</v>
      </c>
      <c r="AN211" s="158">
        <f t="shared" si="25"/>
        <v>0</v>
      </c>
      <c r="AO211" s="158">
        <f t="shared" si="25"/>
        <v>0</v>
      </c>
      <c r="AP211" s="158">
        <f t="shared" si="25"/>
        <v>0</v>
      </c>
    </row>
    <row r="212" spans="5:42" x14ac:dyDescent="0.25">
      <c r="E212" s="29"/>
      <c r="F212" s="72" t="s">
        <v>535</v>
      </c>
      <c r="G212" s="28" t="s">
        <v>203</v>
      </c>
      <c r="H212" s="25"/>
      <c r="J212" s="148">
        <f t="shared" ref="J212:AP212" si="26">IF(J$24, $H144, $H141)</f>
        <v>0</v>
      </c>
      <c r="K212" s="148">
        <f t="shared" si="26"/>
        <v>0</v>
      </c>
      <c r="L212" s="148">
        <f t="shared" si="26"/>
        <v>0</v>
      </c>
      <c r="M212" s="148">
        <f t="shared" si="26"/>
        <v>0</v>
      </c>
      <c r="N212" s="148">
        <f t="shared" si="26"/>
        <v>0</v>
      </c>
      <c r="O212" s="148">
        <f t="shared" si="26"/>
        <v>0</v>
      </c>
      <c r="P212" s="148">
        <f t="shared" si="26"/>
        <v>0</v>
      </c>
      <c r="Q212" s="148">
        <f t="shared" si="26"/>
        <v>0</v>
      </c>
      <c r="R212" s="148">
        <f t="shared" si="26"/>
        <v>0</v>
      </c>
      <c r="S212" s="148">
        <f t="shared" si="26"/>
        <v>0</v>
      </c>
      <c r="T212" s="148">
        <f t="shared" si="26"/>
        <v>0</v>
      </c>
      <c r="U212" s="148">
        <f t="shared" si="26"/>
        <v>0</v>
      </c>
      <c r="V212" s="148">
        <f t="shared" si="26"/>
        <v>0</v>
      </c>
      <c r="W212" s="148">
        <f t="shared" si="26"/>
        <v>0</v>
      </c>
      <c r="X212" s="148">
        <f t="shared" si="26"/>
        <v>0</v>
      </c>
      <c r="Y212" s="148">
        <f t="shared" si="26"/>
        <v>0</v>
      </c>
      <c r="Z212" s="148">
        <f t="shared" si="26"/>
        <v>0</v>
      </c>
      <c r="AA212" s="148">
        <f t="shared" si="26"/>
        <v>0</v>
      </c>
      <c r="AB212" s="148">
        <f t="shared" si="26"/>
        <v>0</v>
      </c>
      <c r="AC212" s="148">
        <f t="shared" si="26"/>
        <v>0</v>
      </c>
      <c r="AD212" s="148">
        <f t="shared" si="26"/>
        <v>0</v>
      </c>
      <c r="AE212" s="148">
        <f t="shared" si="26"/>
        <v>0</v>
      </c>
      <c r="AF212" s="148">
        <f t="shared" si="26"/>
        <v>0</v>
      </c>
      <c r="AG212" s="148">
        <f t="shared" si="26"/>
        <v>0</v>
      </c>
      <c r="AH212" s="148">
        <f t="shared" si="26"/>
        <v>0</v>
      </c>
      <c r="AI212" s="148">
        <f t="shared" si="26"/>
        <v>0</v>
      </c>
      <c r="AJ212" s="148">
        <f t="shared" si="26"/>
        <v>0</v>
      </c>
      <c r="AK212" s="148">
        <f t="shared" si="26"/>
        <v>0</v>
      </c>
      <c r="AL212" s="148">
        <f t="shared" si="26"/>
        <v>0</v>
      </c>
      <c r="AM212" s="148">
        <f t="shared" si="26"/>
        <v>0</v>
      </c>
      <c r="AN212" s="148">
        <f t="shared" si="26"/>
        <v>0</v>
      </c>
      <c r="AO212" s="148">
        <f t="shared" si="26"/>
        <v>0</v>
      </c>
      <c r="AP212" s="148">
        <f t="shared" si="26"/>
        <v>0</v>
      </c>
    </row>
    <row r="213" spans="5:42" x14ac:dyDescent="0.25">
      <c r="E213" s="29"/>
      <c r="F213" s="80" t="s">
        <v>313</v>
      </c>
      <c r="G213" s="67" t="s">
        <v>203</v>
      </c>
      <c r="H213" s="144"/>
      <c r="I213" s="37"/>
      <c r="J213" s="159">
        <f t="shared" ref="J213:AP213" si="27">IF(J$24, $H145, $H142)</f>
        <v>0</v>
      </c>
      <c r="K213" s="159">
        <f t="shared" si="27"/>
        <v>0</v>
      </c>
      <c r="L213" s="159">
        <f t="shared" si="27"/>
        <v>0</v>
      </c>
      <c r="M213" s="159">
        <f t="shared" si="27"/>
        <v>0</v>
      </c>
      <c r="N213" s="159">
        <f t="shared" si="27"/>
        <v>0</v>
      </c>
      <c r="O213" s="159">
        <f t="shared" si="27"/>
        <v>0</v>
      </c>
      <c r="P213" s="159">
        <f t="shared" si="27"/>
        <v>0</v>
      </c>
      <c r="Q213" s="159">
        <f t="shared" si="27"/>
        <v>0</v>
      </c>
      <c r="R213" s="159">
        <f t="shared" si="27"/>
        <v>0</v>
      </c>
      <c r="S213" s="159">
        <f t="shared" si="27"/>
        <v>0</v>
      </c>
      <c r="T213" s="159">
        <f t="shared" si="27"/>
        <v>0</v>
      </c>
      <c r="U213" s="159">
        <f t="shared" si="27"/>
        <v>0</v>
      </c>
      <c r="V213" s="159">
        <f t="shared" si="27"/>
        <v>0</v>
      </c>
      <c r="W213" s="159">
        <f t="shared" si="27"/>
        <v>0</v>
      </c>
      <c r="X213" s="159">
        <f t="shared" si="27"/>
        <v>0</v>
      </c>
      <c r="Y213" s="159">
        <f t="shared" si="27"/>
        <v>0</v>
      </c>
      <c r="Z213" s="159">
        <f t="shared" si="27"/>
        <v>0</v>
      </c>
      <c r="AA213" s="159">
        <f t="shared" si="27"/>
        <v>0</v>
      </c>
      <c r="AB213" s="159">
        <f t="shared" si="27"/>
        <v>0</v>
      </c>
      <c r="AC213" s="159">
        <f t="shared" si="27"/>
        <v>0</v>
      </c>
      <c r="AD213" s="159">
        <f t="shared" si="27"/>
        <v>0</v>
      </c>
      <c r="AE213" s="159">
        <f t="shared" si="27"/>
        <v>0</v>
      </c>
      <c r="AF213" s="159">
        <f t="shared" si="27"/>
        <v>0</v>
      </c>
      <c r="AG213" s="159">
        <f t="shared" si="27"/>
        <v>0</v>
      </c>
      <c r="AH213" s="159">
        <f t="shared" si="27"/>
        <v>0</v>
      </c>
      <c r="AI213" s="159">
        <f t="shared" si="27"/>
        <v>0</v>
      </c>
      <c r="AJ213" s="159">
        <f t="shared" si="27"/>
        <v>0</v>
      </c>
      <c r="AK213" s="159">
        <f t="shared" si="27"/>
        <v>0</v>
      </c>
      <c r="AL213" s="159">
        <f t="shared" si="27"/>
        <v>0</v>
      </c>
      <c r="AM213" s="159">
        <f t="shared" si="27"/>
        <v>0</v>
      </c>
      <c r="AN213" s="159">
        <f t="shared" si="27"/>
        <v>0</v>
      </c>
      <c r="AO213" s="159">
        <f t="shared" si="27"/>
        <v>0</v>
      </c>
      <c r="AP213" s="159">
        <f t="shared" si="27"/>
        <v>0</v>
      </c>
    </row>
    <row r="214" spans="5:42" x14ac:dyDescent="0.25">
      <c r="E214" s="29"/>
      <c r="F214" s="72"/>
      <c r="G214" s="28"/>
      <c r="H214" s="25"/>
      <c r="J214" s="148"/>
      <c r="K214" s="148"/>
      <c r="L214" s="148"/>
      <c r="M214" s="148"/>
      <c r="N214" s="148"/>
      <c r="O214" s="148"/>
      <c r="P214" s="148"/>
      <c r="Q214" s="148"/>
      <c r="R214" s="148"/>
      <c r="S214" s="148"/>
      <c r="T214" s="148"/>
      <c r="U214" s="148"/>
      <c r="V214" s="148"/>
      <c r="W214" s="148"/>
      <c r="X214" s="148"/>
      <c r="Y214" s="148"/>
      <c r="Z214" s="148"/>
      <c r="AA214" s="148"/>
      <c r="AB214" s="148"/>
      <c r="AC214" s="148"/>
      <c r="AD214" s="148"/>
      <c r="AE214" s="148"/>
      <c r="AF214" s="148"/>
      <c r="AG214" s="148"/>
      <c r="AH214" s="148"/>
      <c r="AI214" s="148"/>
      <c r="AJ214" s="148"/>
      <c r="AK214" s="148"/>
      <c r="AL214" s="148"/>
      <c r="AM214" s="148"/>
      <c r="AN214" s="148"/>
      <c r="AO214" s="148"/>
      <c r="AP214" s="148"/>
    </row>
    <row r="215" spans="5:42" x14ac:dyDescent="0.25">
      <c r="E215" s="32" t="s">
        <v>565</v>
      </c>
      <c r="G215" s="28"/>
    </row>
    <row r="216" spans="5:42" x14ac:dyDescent="0.25">
      <c r="E216" s="29"/>
      <c r="F216" s="78" t="s">
        <v>534</v>
      </c>
      <c r="G216" s="64" t="s">
        <v>203</v>
      </c>
      <c r="H216" s="110"/>
      <c r="I216" s="23"/>
      <c r="J216" s="158">
        <f t="shared" ref="J216:AP216" si="28">IF(J$24, $H151, $H148)</f>
        <v>0</v>
      </c>
      <c r="K216" s="158">
        <f t="shared" si="28"/>
        <v>0</v>
      </c>
      <c r="L216" s="158">
        <f t="shared" si="28"/>
        <v>0</v>
      </c>
      <c r="M216" s="158">
        <f t="shared" si="28"/>
        <v>0</v>
      </c>
      <c r="N216" s="158">
        <f t="shared" si="28"/>
        <v>0</v>
      </c>
      <c r="O216" s="158">
        <f t="shared" si="28"/>
        <v>0</v>
      </c>
      <c r="P216" s="158">
        <f t="shared" si="28"/>
        <v>0</v>
      </c>
      <c r="Q216" s="158">
        <f t="shared" si="28"/>
        <v>0</v>
      </c>
      <c r="R216" s="158">
        <f t="shared" si="28"/>
        <v>0</v>
      </c>
      <c r="S216" s="158">
        <f t="shared" si="28"/>
        <v>0</v>
      </c>
      <c r="T216" s="158">
        <f t="shared" si="28"/>
        <v>0</v>
      </c>
      <c r="U216" s="158">
        <f t="shared" si="28"/>
        <v>0</v>
      </c>
      <c r="V216" s="158">
        <f t="shared" si="28"/>
        <v>0</v>
      </c>
      <c r="W216" s="158">
        <f t="shared" si="28"/>
        <v>0</v>
      </c>
      <c r="X216" s="158">
        <f t="shared" si="28"/>
        <v>0</v>
      </c>
      <c r="Y216" s="158">
        <f t="shared" si="28"/>
        <v>0</v>
      </c>
      <c r="Z216" s="158">
        <f t="shared" si="28"/>
        <v>0</v>
      </c>
      <c r="AA216" s="158">
        <f t="shared" si="28"/>
        <v>0</v>
      </c>
      <c r="AB216" s="158">
        <f t="shared" si="28"/>
        <v>0</v>
      </c>
      <c r="AC216" s="158">
        <f t="shared" si="28"/>
        <v>0</v>
      </c>
      <c r="AD216" s="158">
        <f t="shared" si="28"/>
        <v>0</v>
      </c>
      <c r="AE216" s="158">
        <f t="shared" si="28"/>
        <v>0</v>
      </c>
      <c r="AF216" s="158">
        <f t="shared" si="28"/>
        <v>0</v>
      </c>
      <c r="AG216" s="158">
        <f t="shared" si="28"/>
        <v>0</v>
      </c>
      <c r="AH216" s="158">
        <f t="shared" si="28"/>
        <v>0</v>
      </c>
      <c r="AI216" s="158">
        <f t="shared" si="28"/>
        <v>0</v>
      </c>
      <c r="AJ216" s="158">
        <f t="shared" si="28"/>
        <v>0</v>
      </c>
      <c r="AK216" s="158">
        <f t="shared" si="28"/>
        <v>0</v>
      </c>
      <c r="AL216" s="158">
        <f t="shared" si="28"/>
        <v>0</v>
      </c>
      <c r="AM216" s="158">
        <f t="shared" si="28"/>
        <v>0</v>
      </c>
      <c r="AN216" s="158">
        <f t="shared" si="28"/>
        <v>0</v>
      </c>
      <c r="AO216" s="158">
        <f t="shared" si="28"/>
        <v>0</v>
      </c>
      <c r="AP216" s="158">
        <f t="shared" si="28"/>
        <v>0</v>
      </c>
    </row>
    <row r="217" spans="5:42" x14ac:dyDescent="0.25">
      <c r="E217" s="29"/>
      <c r="F217" s="72" t="s">
        <v>535</v>
      </c>
      <c r="G217" s="28" t="s">
        <v>203</v>
      </c>
      <c r="H217" s="25"/>
      <c r="J217" s="148">
        <f t="shared" ref="J217:AP217" si="29">IF(J$24, $H152, $H149)</f>
        <v>0</v>
      </c>
      <c r="K217" s="148">
        <f t="shared" si="29"/>
        <v>0</v>
      </c>
      <c r="L217" s="148">
        <f t="shared" si="29"/>
        <v>0</v>
      </c>
      <c r="M217" s="148">
        <f t="shared" si="29"/>
        <v>0</v>
      </c>
      <c r="N217" s="148">
        <f t="shared" si="29"/>
        <v>0</v>
      </c>
      <c r="O217" s="148">
        <f t="shared" si="29"/>
        <v>0</v>
      </c>
      <c r="P217" s="148">
        <f t="shared" si="29"/>
        <v>0</v>
      </c>
      <c r="Q217" s="148">
        <f t="shared" si="29"/>
        <v>0</v>
      </c>
      <c r="R217" s="148">
        <f t="shared" si="29"/>
        <v>0</v>
      </c>
      <c r="S217" s="148">
        <f t="shared" si="29"/>
        <v>0</v>
      </c>
      <c r="T217" s="148">
        <f t="shared" si="29"/>
        <v>0</v>
      </c>
      <c r="U217" s="148">
        <f t="shared" si="29"/>
        <v>0</v>
      </c>
      <c r="V217" s="148">
        <f t="shared" si="29"/>
        <v>0</v>
      </c>
      <c r="W217" s="148">
        <f t="shared" si="29"/>
        <v>0</v>
      </c>
      <c r="X217" s="148">
        <f t="shared" si="29"/>
        <v>0</v>
      </c>
      <c r="Y217" s="148">
        <f t="shared" si="29"/>
        <v>0</v>
      </c>
      <c r="Z217" s="148">
        <f t="shared" si="29"/>
        <v>0</v>
      </c>
      <c r="AA217" s="148">
        <f t="shared" si="29"/>
        <v>0</v>
      </c>
      <c r="AB217" s="148">
        <f t="shared" si="29"/>
        <v>0</v>
      </c>
      <c r="AC217" s="148">
        <f t="shared" si="29"/>
        <v>0</v>
      </c>
      <c r="AD217" s="148">
        <f t="shared" si="29"/>
        <v>0</v>
      </c>
      <c r="AE217" s="148">
        <f t="shared" si="29"/>
        <v>0</v>
      </c>
      <c r="AF217" s="148">
        <f t="shared" si="29"/>
        <v>0</v>
      </c>
      <c r="AG217" s="148">
        <f t="shared" si="29"/>
        <v>0</v>
      </c>
      <c r="AH217" s="148">
        <f t="shared" si="29"/>
        <v>0</v>
      </c>
      <c r="AI217" s="148">
        <f t="shared" si="29"/>
        <v>0</v>
      </c>
      <c r="AJ217" s="148">
        <f t="shared" si="29"/>
        <v>0</v>
      </c>
      <c r="AK217" s="148">
        <f t="shared" si="29"/>
        <v>0</v>
      </c>
      <c r="AL217" s="148">
        <f t="shared" si="29"/>
        <v>0</v>
      </c>
      <c r="AM217" s="148">
        <f t="shared" si="29"/>
        <v>0</v>
      </c>
      <c r="AN217" s="148">
        <f t="shared" si="29"/>
        <v>0</v>
      </c>
      <c r="AO217" s="148">
        <f t="shared" si="29"/>
        <v>0</v>
      </c>
      <c r="AP217" s="148">
        <f t="shared" si="29"/>
        <v>0</v>
      </c>
    </row>
    <row r="218" spans="5:42" x14ac:dyDescent="0.25">
      <c r="E218" s="29"/>
      <c r="F218" s="80" t="s">
        <v>313</v>
      </c>
      <c r="G218" s="67" t="s">
        <v>203</v>
      </c>
      <c r="H218" s="144"/>
      <c r="I218" s="37"/>
      <c r="J218" s="159">
        <f t="shared" ref="J218:AP218" si="30">IF(J$24, $H153, $H150)</f>
        <v>0</v>
      </c>
      <c r="K218" s="159">
        <f t="shared" si="30"/>
        <v>0</v>
      </c>
      <c r="L218" s="159">
        <f t="shared" si="30"/>
        <v>0</v>
      </c>
      <c r="M218" s="159">
        <f t="shared" si="30"/>
        <v>0</v>
      </c>
      <c r="N218" s="159">
        <f t="shared" si="30"/>
        <v>0</v>
      </c>
      <c r="O218" s="159">
        <f t="shared" si="30"/>
        <v>0</v>
      </c>
      <c r="P218" s="159">
        <f t="shared" si="30"/>
        <v>0</v>
      </c>
      <c r="Q218" s="159">
        <f t="shared" si="30"/>
        <v>0</v>
      </c>
      <c r="R218" s="159">
        <f t="shared" si="30"/>
        <v>0</v>
      </c>
      <c r="S218" s="159">
        <f t="shared" si="30"/>
        <v>0</v>
      </c>
      <c r="T218" s="159">
        <f t="shared" si="30"/>
        <v>0</v>
      </c>
      <c r="U218" s="159">
        <f t="shared" si="30"/>
        <v>0</v>
      </c>
      <c r="V218" s="159">
        <f t="shared" si="30"/>
        <v>0</v>
      </c>
      <c r="W218" s="159">
        <f t="shared" si="30"/>
        <v>0</v>
      </c>
      <c r="X218" s="159">
        <f t="shared" si="30"/>
        <v>0</v>
      </c>
      <c r="Y218" s="159">
        <f t="shared" si="30"/>
        <v>0</v>
      </c>
      <c r="Z218" s="159">
        <f t="shared" si="30"/>
        <v>0</v>
      </c>
      <c r="AA218" s="159">
        <f t="shared" si="30"/>
        <v>0</v>
      </c>
      <c r="AB218" s="159">
        <f t="shared" si="30"/>
        <v>0</v>
      </c>
      <c r="AC218" s="159">
        <f t="shared" si="30"/>
        <v>0</v>
      </c>
      <c r="AD218" s="159">
        <f t="shared" si="30"/>
        <v>0</v>
      </c>
      <c r="AE218" s="159">
        <f t="shared" si="30"/>
        <v>0</v>
      </c>
      <c r="AF218" s="159">
        <f t="shared" si="30"/>
        <v>0</v>
      </c>
      <c r="AG218" s="159">
        <f t="shared" si="30"/>
        <v>0</v>
      </c>
      <c r="AH218" s="159">
        <f t="shared" si="30"/>
        <v>0</v>
      </c>
      <c r="AI218" s="159">
        <f t="shared" si="30"/>
        <v>0</v>
      </c>
      <c r="AJ218" s="159">
        <f t="shared" si="30"/>
        <v>0</v>
      </c>
      <c r="AK218" s="159">
        <f t="shared" si="30"/>
        <v>0</v>
      </c>
      <c r="AL218" s="159">
        <f t="shared" si="30"/>
        <v>0</v>
      </c>
      <c r="AM218" s="159">
        <f t="shared" si="30"/>
        <v>0</v>
      </c>
      <c r="AN218" s="159">
        <f t="shared" si="30"/>
        <v>0</v>
      </c>
      <c r="AO218" s="159">
        <f t="shared" si="30"/>
        <v>0</v>
      </c>
      <c r="AP218" s="159">
        <f t="shared" si="30"/>
        <v>0</v>
      </c>
    </row>
    <row r="219" spans="5:42" x14ac:dyDescent="0.25">
      <c r="E219" s="29"/>
      <c r="F219" s="72"/>
      <c r="G219" s="28"/>
      <c r="H219" s="25"/>
      <c r="J219" s="148"/>
      <c r="K219" s="148"/>
      <c r="L219" s="148"/>
      <c r="M219" s="148"/>
      <c r="N219" s="148"/>
      <c r="O219" s="148"/>
      <c r="P219" s="148"/>
      <c r="Q219" s="148"/>
      <c r="R219" s="148"/>
      <c r="S219" s="148"/>
      <c r="T219" s="148"/>
      <c r="U219" s="148"/>
      <c r="V219" s="148"/>
      <c r="W219" s="148"/>
      <c r="X219" s="148"/>
      <c r="Y219" s="148"/>
      <c r="Z219" s="148"/>
      <c r="AA219" s="148"/>
      <c r="AB219" s="148"/>
      <c r="AC219" s="148"/>
      <c r="AD219" s="148"/>
      <c r="AE219" s="148"/>
      <c r="AF219" s="148"/>
      <c r="AG219" s="148"/>
      <c r="AH219" s="148"/>
      <c r="AI219" s="148"/>
      <c r="AJ219" s="148"/>
      <c r="AK219" s="148"/>
      <c r="AL219" s="148"/>
      <c r="AM219" s="148"/>
      <c r="AN219" s="148"/>
      <c r="AO219" s="148"/>
      <c r="AP219" s="148"/>
    </row>
    <row r="220" spans="5:42" x14ac:dyDescent="0.25">
      <c r="E220" s="32" t="s">
        <v>566</v>
      </c>
      <c r="G220" s="28"/>
    </row>
    <row r="221" spans="5:42" x14ac:dyDescent="0.25">
      <c r="E221" s="29"/>
      <c r="F221" s="78" t="s">
        <v>534</v>
      </c>
      <c r="G221" s="64" t="s">
        <v>203</v>
      </c>
      <c r="H221" s="110"/>
      <c r="I221" s="23"/>
      <c r="J221" s="158">
        <f t="shared" ref="J221:AP221" si="31">IF(J$24, $H159, $H156)</f>
        <v>0.46</v>
      </c>
      <c r="K221" s="158">
        <f t="shared" si="31"/>
        <v>0.46</v>
      </c>
      <c r="L221" s="158">
        <f t="shared" si="31"/>
        <v>0.46</v>
      </c>
      <c r="M221" s="158">
        <f t="shared" si="31"/>
        <v>0.46</v>
      </c>
      <c r="N221" s="158">
        <f t="shared" si="31"/>
        <v>0.46</v>
      </c>
      <c r="O221" s="158">
        <f t="shared" si="31"/>
        <v>0.46</v>
      </c>
      <c r="P221" s="158">
        <f t="shared" si="31"/>
        <v>0.46</v>
      </c>
      <c r="Q221" s="158">
        <f t="shared" si="31"/>
        <v>0.46</v>
      </c>
      <c r="R221" s="158">
        <f t="shared" si="31"/>
        <v>0.46</v>
      </c>
      <c r="S221" s="158">
        <f t="shared" si="31"/>
        <v>0.46</v>
      </c>
      <c r="T221" s="158">
        <f t="shared" si="31"/>
        <v>0.46</v>
      </c>
      <c r="U221" s="158">
        <f t="shared" si="31"/>
        <v>0.46</v>
      </c>
      <c r="V221" s="158">
        <f t="shared" si="31"/>
        <v>0.46</v>
      </c>
      <c r="W221" s="158">
        <f t="shared" si="31"/>
        <v>0.46</v>
      </c>
      <c r="X221" s="158">
        <f t="shared" si="31"/>
        <v>0.33</v>
      </c>
      <c r="Y221" s="158">
        <f t="shared" si="31"/>
        <v>0.33</v>
      </c>
      <c r="Z221" s="158">
        <f t="shared" si="31"/>
        <v>0.33</v>
      </c>
      <c r="AA221" s="158">
        <f t="shared" si="31"/>
        <v>0.33</v>
      </c>
      <c r="AB221" s="158">
        <f t="shared" si="31"/>
        <v>0.33</v>
      </c>
      <c r="AC221" s="158">
        <f t="shared" si="31"/>
        <v>0.46</v>
      </c>
      <c r="AD221" s="158">
        <f t="shared" si="31"/>
        <v>0.46</v>
      </c>
      <c r="AE221" s="158">
        <f t="shared" si="31"/>
        <v>0.46</v>
      </c>
      <c r="AF221" s="158">
        <f t="shared" si="31"/>
        <v>0.46</v>
      </c>
      <c r="AG221" s="158">
        <f t="shared" si="31"/>
        <v>0.46</v>
      </c>
      <c r="AH221" s="158">
        <f t="shared" si="31"/>
        <v>0.46</v>
      </c>
      <c r="AI221" s="158">
        <f t="shared" si="31"/>
        <v>0.46</v>
      </c>
      <c r="AJ221" s="158">
        <f t="shared" si="31"/>
        <v>0.46</v>
      </c>
      <c r="AK221" s="158">
        <f t="shared" si="31"/>
        <v>0.46</v>
      </c>
      <c r="AL221" s="158">
        <f t="shared" si="31"/>
        <v>0.46</v>
      </c>
      <c r="AM221" s="158">
        <f t="shared" si="31"/>
        <v>0.46</v>
      </c>
      <c r="AN221" s="158">
        <f t="shared" si="31"/>
        <v>0.46</v>
      </c>
      <c r="AO221" s="158">
        <f t="shared" si="31"/>
        <v>0.46</v>
      </c>
      <c r="AP221" s="158">
        <f t="shared" si="31"/>
        <v>0.46</v>
      </c>
    </row>
    <row r="222" spans="5:42" x14ac:dyDescent="0.25">
      <c r="E222" s="29"/>
      <c r="F222" s="72" t="s">
        <v>535</v>
      </c>
      <c r="G222" s="28" t="s">
        <v>203</v>
      </c>
      <c r="H222" s="25"/>
      <c r="J222" s="148">
        <f t="shared" ref="J222:AP222" si="32">IF(J$24, $H160, $H157)</f>
        <v>0.35</v>
      </c>
      <c r="K222" s="148">
        <f t="shared" si="32"/>
        <v>0.35</v>
      </c>
      <c r="L222" s="148">
        <f t="shared" si="32"/>
        <v>0.35</v>
      </c>
      <c r="M222" s="148">
        <f t="shared" si="32"/>
        <v>0.35</v>
      </c>
      <c r="N222" s="148">
        <f t="shared" si="32"/>
        <v>0.35</v>
      </c>
      <c r="O222" s="148">
        <f t="shared" si="32"/>
        <v>0.35</v>
      </c>
      <c r="P222" s="148">
        <f t="shared" si="32"/>
        <v>0.35</v>
      </c>
      <c r="Q222" s="148">
        <f t="shared" si="32"/>
        <v>0.35</v>
      </c>
      <c r="R222" s="148">
        <f t="shared" si="32"/>
        <v>0.35</v>
      </c>
      <c r="S222" s="148">
        <f t="shared" si="32"/>
        <v>0.35</v>
      </c>
      <c r="T222" s="148">
        <f t="shared" si="32"/>
        <v>0.35</v>
      </c>
      <c r="U222" s="148">
        <f t="shared" si="32"/>
        <v>0.35</v>
      </c>
      <c r="V222" s="148">
        <f t="shared" si="32"/>
        <v>0.35</v>
      </c>
      <c r="W222" s="148">
        <f t="shared" si="32"/>
        <v>0.35</v>
      </c>
      <c r="X222" s="148">
        <f t="shared" si="32"/>
        <v>0.48000000000000004</v>
      </c>
      <c r="Y222" s="148">
        <f t="shared" si="32"/>
        <v>0.48000000000000004</v>
      </c>
      <c r="Z222" s="148">
        <f t="shared" si="32"/>
        <v>0.48000000000000004</v>
      </c>
      <c r="AA222" s="148">
        <f t="shared" si="32"/>
        <v>0.48000000000000004</v>
      </c>
      <c r="AB222" s="148">
        <f t="shared" si="32"/>
        <v>0.48000000000000004</v>
      </c>
      <c r="AC222" s="148">
        <f t="shared" si="32"/>
        <v>0.35</v>
      </c>
      <c r="AD222" s="148">
        <f t="shared" si="32"/>
        <v>0.35</v>
      </c>
      <c r="AE222" s="148">
        <f t="shared" si="32"/>
        <v>0.35</v>
      </c>
      <c r="AF222" s="148">
        <f t="shared" si="32"/>
        <v>0.35</v>
      </c>
      <c r="AG222" s="148">
        <f t="shared" si="32"/>
        <v>0.35</v>
      </c>
      <c r="AH222" s="148">
        <f t="shared" si="32"/>
        <v>0.35</v>
      </c>
      <c r="AI222" s="148">
        <f t="shared" si="32"/>
        <v>0.35</v>
      </c>
      <c r="AJ222" s="148">
        <f t="shared" si="32"/>
        <v>0.35</v>
      </c>
      <c r="AK222" s="148">
        <f t="shared" si="32"/>
        <v>0.35</v>
      </c>
      <c r="AL222" s="148">
        <f t="shared" si="32"/>
        <v>0.35</v>
      </c>
      <c r="AM222" s="148">
        <f t="shared" si="32"/>
        <v>0.35</v>
      </c>
      <c r="AN222" s="148">
        <f t="shared" si="32"/>
        <v>0.35</v>
      </c>
      <c r="AO222" s="148">
        <f t="shared" si="32"/>
        <v>0.35</v>
      </c>
      <c r="AP222" s="148">
        <f t="shared" si="32"/>
        <v>0.35</v>
      </c>
    </row>
    <row r="223" spans="5:42" x14ac:dyDescent="0.25">
      <c r="E223" s="29"/>
      <c r="F223" s="80" t="s">
        <v>313</v>
      </c>
      <c r="G223" s="67" t="s">
        <v>203</v>
      </c>
      <c r="H223" s="144"/>
      <c r="I223" s="37"/>
      <c r="J223" s="159">
        <f t="shared" ref="J223:AP223" si="33">IF(J$24, $H161, $H158)</f>
        <v>0.19</v>
      </c>
      <c r="K223" s="159">
        <f t="shared" si="33"/>
        <v>0.19</v>
      </c>
      <c r="L223" s="159">
        <f t="shared" si="33"/>
        <v>0.19</v>
      </c>
      <c r="M223" s="159">
        <f t="shared" si="33"/>
        <v>0.19</v>
      </c>
      <c r="N223" s="159">
        <f t="shared" si="33"/>
        <v>0.19</v>
      </c>
      <c r="O223" s="159">
        <f t="shared" si="33"/>
        <v>0.19</v>
      </c>
      <c r="P223" s="159">
        <f t="shared" si="33"/>
        <v>0.19</v>
      </c>
      <c r="Q223" s="159">
        <f t="shared" si="33"/>
        <v>0.19</v>
      </c>
      <c r="R223" s="159">
        <f t="shared" si="33"/>
        <v>0.19</v>
      </c>
      <c r="S223" s="159">
        <f t="shared" si="33"/>
        <v>0.19</v>
      </c>
      <c r="T223" s="159">
        <f t="shared" si="33"/>
        <v>0.19</v>
      </c>
      <c r="U223" s="159">
        <f t="shared" si="33"/>
        <v>0.19</v>
      </c>
      <c r="V223" s="159">
        <f t="shared" si="33"/>
        <v>0.19</v>
      </c>
      <c r="W223" s="159">
        <f t="shared" si="33"/>
        <v>0.19</v>
      </c>
      <c r="X223" s="159">
        <f t="shared" si="33"/>
        <v>0.19</v>
      </c>
      <c r="Y223" s="159">
        <f t="shared" si="33"/>
        <v>0.19</v>
      </c>
      <c r="Z223" s="159">
        <f t="shared" si="33"/>
        <v>0.19</v>
      </c>
      <c r="AA223" s="159">
        <f t="shared" si="33"/>
        <v>0.19</v>
      </c>
      <c r="AB223" s="159">
        <f t="shared" si="33"/>
        <v>0.19</v>
      </c>
      <c r="AC223" s="159">
        <f t="shared" si="33"/>
        <v>0.19</v>
      </c>
      <c r="AD223" s="159">
        <f t="shared" si="33"/>
        <v>0.19</v>
      </c>
      <c r="AE223" s="159">
        <f t="shared" si="33"/>
        <v>0.19</v>
      </c>
      <c r="AF223" s="159">
        <f t="shared" si="33"/>
        <v>0.19</v>
      </c>
      <c r="AG223" s="159">
        <f t="shared" si="33"/>
        <v>0.19</v>
      </c>
      <c r="AH223" s="159">
        <f t="shared" si="33"/>
        <v>0.19</v>
      </c>
      <c r="AI223" s="159">
        <f t="shared" si="33"/>
        <v>0.19</v>
      </c>
      <c r="AJ223" s="159">
        <f t="shared" si="33"/>
        <v>0.19</v>
      </c>
      <c r="AK223" s="159">
        <f t="shared" si="33"/>
        <v>0.19</v>
      </c>
      <c r="AL223" s="159">
        <f t="shared" si="33"/>
        <v>0.19</v>
      </c>
      <c r="AM223" s="159">
        <f t="shared" si="33"/>
        <v>0.19</v>
      </c>
      <c r="AN223" s="159">
        <f t="shared" si="33"/>
        <v>0.19</v>
      </c>
      <c r="AO223" s="159">
        <f t="shared" si="33"/>
        <v>0.19</v>
      </c>
      <c r="AP223" s="159">
        <f t="shared" si="33"/>
        <v>0.19</v>
      </c>
    </row>
    <row r="224" spans="5:42" x14ac:dyDescent="0.25">
      <c r="E224" s="29"/>
      <c r="F224" s="72"/>
      <c r="G224" s="28"/>
      <c r="H224" s="25"/>
      <c r="J224" s="148"/>
      <c r="K224" s="148"/>
      <c r="L224" s="148"/>
      <c r="M224" s="148"/>
      <c r="N224" s="148"/>
      <c r="O224" s="148"/>
      <c r="P224" s="148"/>
      <c r="Q224" s="148"/>
      <c r="R224" s="148"/>
      <c r="S224" s="148"/>
      <c r="T224" s="148"/>
      <c r="U224" s="148"/>
      <c r="V224" s="148"/>
      <c r="W224" s="148"/>
      <c r="X224" s="148"/>
      <c r="Y224" s="148"/>
      <c r="Z224" s="148"/>
      <c r="AA224" s="148"/>
      <c r="AB224" s="148"/>
      <c r="AC224" s="148"/>
      <c r="AD224" s="148"/>
      <c r="AE224" s="148"/>
      <c r="AF224" s="148"/>
      <c r="AG224" s="148"/>
      <c r="AH224" s="148"/>
      <c r="AI224" s="148"/>
      <c r="AJ224" s="148"/>
      <c r="AK224" s="148"/>
      <c r="AL224" s="148"/>
      <c r="AM224" s="148"/>
      <c r="AN224" s="148"/>
      <c r="AO224" s="148"/>
      <c r="AP224" s="148"/>
    </row>
    <row r="225" spans="5:42" x14ac:dyDescent="0.25">
      <c r="E225" s="32" t="s">
        <v>567</v>
      </c>
      <c r="G225" s="28"/>
    </row>
    <row r="226" spans="5:42" x14ac:dyDescent="0.25">
      <c r="E226" s="29"/>
      <c r="F226" s="78" t="s">
        <v>534</v>
      </c>
      <c r="G226" s="64" t="s">
        <v>203</v>
      </c>
      <c r="H226" s="110"/>
      <c r="I226" s="23"/>
      <c r="J226" s="158">
        <f t="shared" ref="J226:AP226" si="34">IF(J$24, $H167, $H164)</f>
        <v>0.46</v>
      </c>
      <c r="K226" s="158">
        <f t="shared" si="34"/>
        <v>0.46</v>
      </c>
      <c r="L226" s="158">
        <f t="shared" si="34"/>
        <v>0.46</v>
      </c>
      <c r="M226" s="158">
        <f t="shared" si="34"/>
        <v>0.46</v>
      </c>
      <c r="N226" s="158">
        <f t="shared" si="34"/>
        <v>0.46</v>
      </c>
      <c r="O226" s="158">
        <f t="shared" si="34"/>
        <v>0.46</v>
      </c>
      <c r="P226" s="158">
        <f t="shared" si="34"/>
        <v>0.46</v>
      </c>
      <c r="Q226" s="158">
        <f t="shared" si="34"/>
        <v>0.46</v>
      </c>
      <c r="R226" s="158">
        <f t="shared" si="34"/>
        <v>0.46</v>
      </c>
      <c r="S226" s="158">
        <f t="shared" si="34"/>
        <v>0.46</v>
      </c>
      <c r="T226" s="158">
        <f t="shared" si="34"/>
        <v>0.46</v>
      </c>
      <c r="U226" s="158">
        <f t="shared" si="34"/>
        <v>0.46</v>
      </c>
      <c r="V226" s="158">
        <f t="shared" si="34"/>
        <v>0.46</v>
      </c>
      <c r="W226" s="158">
        <f t="shared" si="34"/>
        <v>0.46</v>
      </c>
      <c r="X226" s="158">
        <f t="shared" si="34"/>
        <v>0.33</v>
      </c>
      <c r="Y226" s="158">
        <f t="shared" si="34"/>
        <v>0.33</v>
      </c>
      <c r="Z226" s="158">
        <f t="shared" si="34"/>
        <v>0.33</v>
      </c>
      <c r="AA226" s="158">
        <f t="shared" si="34"/>
        <v>0.33</v>
      </c>
      <c r="AB226" s="158">
        <f t="shared" si="34"/>
        <v>0.33</v>
      </c>
      <c r="AC226" s="158">
        <f t="shared" si="34"/>
        <v>0.46</v>
      </c>
      <c r="AD226" s="158">
        <f t="shared" si="34"/>
        <v>0.46</v>
      </c>
      <c r="AE226" s="158">
        <f t="shared" si="34"/>
        <v>0.46</v>
      </c>
      <c r="AF226" s="158">
        <f t="shared" si="34"/>
        <v>0.46</v>
      </c>
      <c r="AG226" s="158">
        <f t="shared" si="34"/>
        <v>0.46</v>
      </c>
      <c r="AH226" s="158">
        <f t="shared" si="34"/>
        <v>0.46</v>
      </c>
      <c r="AI226" s="158">
        <f t="shared" si="34"/>
        <v>0.46</v>
      </c>
      <c r="AJ226" s="158">
        <f t="shared" si="34"/>
        <v>0.46</v>
      </c>
      <c r="AK226" s="158">
        <f t="shared" si="34"/>
        <v>0.46</v>
      </c>
      <c r="AL226" s="158">
        <f t="shared" si="34"/>
        <v>0.46</v>
      </c>
      <c r="AM226" s="158">
        <f t="shared" si="34"/>
        <v>0.46</v>
      </c>
      <c r="AN226" s="158">
        <f t="shared" si="34"/>
        <v>0.46</v>
      </c>
      <c r="AO226" s="158">
        <f t="shared" si="34"/>
        <v>0.46</v>
      </c>
      <c r="AP226" s="158">
        <f t="shared" si="34"/>
        <v>0.46</v>
      </c>
    </row>
    <row r="227" spans="5:42" x14ac:dyDescent="0.25">
      <c r="E227" s="29"/>
      <c r="F227" s="72" t="s">
        <v>535</v>
      </c>
      <c r="G227" s="28" t="s">
        <v>203</v>
      </c>
      <c r="H227" s="25"/>
      <c r="J227" s="148">
        <f t="shared" ref="J227:AP227" si="35">IF(J$24, $H168, $H165)</f>
        <v>0.35</v>
      </c>
      <c r="K227" s="148">
        <f t="shared" si="35"/>
        <v>0.35</v>
      </c>
      <c r="L227" s="148">
        <f t="shared" si="35"/>
        <v>0.35</v>
      </c>
      <c r="M227" s="148">
        <f t="shared" si="35"/>
        <v>0.35</v>
      </c>
      <c r="N227" s="148">
        <f t="shared" si="35"/>
        <v>0.35</v>
      </c>
      <c r="O227" s="148">
        <f t="shared" si="35"/>
        <v>0.35</v>
      </c>
      <c r="P227" s="148">
        <f t="shared" si="35"/>
        <v>0.35</v>
      </c>
      <c r="Q227" s="148">
        <f t="shared" si="35"/>
        <v>0.35</v>
      </c>
      <c r="R227" s="148">
        <f t="shared" si="35"/>
        <v>0.35</v>
      </c>
      <c r="S227" s="148">
        <f t="shared" si="35"/>
        <v>0.35</v>
      </c>
      <c r="T227" s="148">
        <f t="shared" si="35"/>
        <v>0.35</v>
      </c>
      <c r="U227" s="148">
        <f t="shared" si="35"/>
        <v>0.35</v>
      </c>
      <c r="V227" s="148">
        <f t="shared" si="35"/>
        <v>0.35</v>
      </c>
      <c r="W227" s="148">
        <f t="shared" si="35"/>
        <v>0.35</v>
      </c>
      <c r="X227" s="148">
        <f t="shared" si="35"/>
        <v>0.48000000000000004</v>
      </c>
      <c r="Y227" s="148">
        <f t="shared" si="35"/>
        <v>0.48000000000000004</v>
      </c>
      <c r="Z227" s="148">
        <f t="shared" si="35"/>
        <v>0.48000000000000004</v>
      </c>
      <c r="AA227" s="148">
        <f t="shared" si="35"/>
        <v>0.48000000000000004</v>
      </c>
      <c r="AB227" s="148">
        <f t="shared" si="35"/>
        <v>0.48000000000000004</v>
      </c>
      <c r="AC227" s="148">
        <f t="shared" si="35"/>
        <v>0.35</v>
      </c>
      <c r="AD227" s="148">
        <f t="shared" si="35"/>
        <v>0.35</v>
      </c>
      <c r="AE227" s="148">
        <f t="shared" si="35"/>
        <v>0.35</v>
      </c>
      <c r="AF227" s="148">
        <f t="shared" si="35"/>
        <v>0.35</v>
      </c>
      <c r="AG227" s="148">
        <f t="shared" si="35"/>
        <v>0.35</v>
      </c>
      <c r="AH227" s="148">
        <f t="shared" si="35"/>
        <v>0.35</v>
      </c>
      <c r="AI227" s="148">
        <f t="shared" si="35"/>
        <v>0.35</v>
      </c>
      <c r="AJ227" s="148">
        <f t="shared" si="35"/>
        <v>0.35</v>
      </c>
      <c r="AK227" s="148">
        <f t="shared" si="35"/>
        <v>0.35</v>
      </c>
      <c r="AL227" s="148">
        <f t="shared" si="35"/>
        <v>0.35</v>
      </c>
      <c r="AM227" s="148">
        <f t="shared" si="35"/>
        <v>0.35</v>
      </c>
      <c r="AN227" s="148">
        <f t="shared" si="35"/>
        <v>0.35</v>
      </c>
      <c r="AO227" s="148">
        <f t="shared" si="35"/>
        <v>0.35</v>
      </c>
      <c r="AP227" s="148">
        <f t="shared" si="35"/>
        <v>0.35</v>
      </c>
    </row>
    <row r="228" spans="5:42" x14ac:dyDescent="0.25">
      <c r="E228" s="29"/>
      <c r="F228" s="80" t="s">
        <v>313</v>
      </c>
      <c r="G228" s="67" t="s">
        <v>203</v>
      </c>
      <c r="H228" s="144"/>
      <c r="I228" s="37"/>
      <c r="J228" s="159">
        <f t="shared" ref="J228:AP228" si="36">IF(J$24, $H169, $H166)</f>
        <v>0.19</v>
      </c>
      <c r="K228" s="159">
        <f t="shared" si="36"/>
        <v>0.19</v>
      </c>
      <c r="L228" s="159">
        <f t="shared" si="36"/>
        <v>0.19</v>
      </c>
      <c r="M228" s="159">
        <f t="shared" si="36"/>
        <v>0.19</v>
      </c>
      <c r="N228" s="159">
        <f t="shared" si="36"/>
        <v>0.19</v>
      </c>
      <c r="O228" s="159">
        <f t="shared" si="36"/>
        <v>0.19</v>
      </c>
      <c r="P228" s="159">
        <f t="shared" si="36"/>
        <v>0.19</v>
      </c>
      <c r="Q228" s="159">
        <f t="shared" si="36"/>
        <v>0.19</v>
      </c>
      <c r="R228" s="159">
        <f t="shared" si="36"/>
        <v>0.19</v>
      </c>
      <c r="S228" s="159">
        <f t="shared" si="36"/>
        <v>0.19</v>
      </c>
      <c r="T228" s="159">
        <f t="shared" si="36"/>
        <v>0.19</v>
      </c>
      <c r="U228" s="159">
        <f t="shared" si="36"/>
        <v>0.19</v>
      </c>
      <c r="V228" s="159">
        <f t="shared" si="36"/>
        <v>0.19</v>
      </c>
      <c r="W228" s="159">
        <f t="shared" si="36"/>
        <v>0.19</v>
      </c>
      <c r="X228" s="159">
        <f t="shared" si="36"/>
        <v>0.19</v>
      </c>
      <c r="Y228" s="159">
        <f t="shared" si="36"/>
        <v>0.19</v>
      </c>
      <c r="Z228" s="159">
        <f t="shared" si="36"/>
        <v>0.19</v>
      </c>
      <c r="AA228" s="159">
        <f t="shared" si="36"/>
        <v>0.19</v>
      </c>
      <c r="AB228" s="159">
        <f t="shared" si="36"/>
        <v>0.19</v>
      </c>
      <c r="AC228" s="159">
        <f t="shared" si="36"/>
        <v>0.19</v>
      </c>
      <c r="AD228" s="159">
        <f t="shared" si="36"/>
        <v>0.19</v>
      </c>
      <c r="AE228" s="159">
        <f t="shared" si="36"/>
        <v>0.19</v>
      </c>
      <c r="AF228" s="159">
        <f t="shared" si="36"/>
        <v>0.19</v>
      </c>
      <c r="AG228" s="159">
        <f t="shared" si="36"/>
        <v>0.19</v>
      </c>
      <c r="AH228" s="159">
        <f t="shared" si="36"/>
        <v>0.19</v>
      </c>
      <c r="AI228" s="159">
        <f t="shared" si="36"/>
        <v>0.19</v>
      </c>
      <c r="AJ228" s="159">
        <f t="shared" si="36"/>
        <v>0.19</v>
      </c>
      <c r="AK228" s="159">
        <f t="shared" si="36"/>
        <v>0.19</v>
      </c>
      <c r="AL228" s="159">
        <f t="shared" si="36"/>
        <v>0.19</v>
      </c>
      <c r="AM228" s="159">
        <f t="shared" si="36"/>
        <v>0.19</v>
      </c>
      <c r="AN228" s="159">
        <f t="shared" si="36"/>
        <v>0.19</v>
      </c>
      <c r="AO228" s="159">
        <f t="shared" si="36"/>
        <v>0.19</v>
      </c>
      <c r="AP228" s="159">
        <f t="shared" si="36"/>
        <v>0.19</v>
      </c>
    </row>
    <row r="229" spans="5:42" x14ac:dyDescent="0.25">
      <c r="E229" s="29"/>
      <c r="F229" s="72"/>
      <c r="G229" s="28"/>
      <c r="H229" s="25"/>
      <c r="J229" s="148"/>
      <c r="K229" s="148"/>
      <c r="L229" s="148"/>
      <c r="M229" s="148"/>
      <c r="N229" s="148"/>
      <c r="O229" s="148"/>
      <c r="P229" s="148"/>
      <c r="Q229" s="148"/>
      <c r="R229" s="148"/>
      <c r="S229" s="148"/>
      <c r="T229" s="148"/>
      <c r="U229" s="148"/>
      <c r="V229" s="148"/>
      <c r="W229" s="148"/>
      <c r="X229" s="148"/>
      <c r="Y229" s="148"/>
      <c r="Z229" s="148"/>
      <c r="AA229" s="148"/>
      <c r="AB229" s="148"/>
      <c r="AC229" s="148"/>
      <c r="AD229" s="148"/>
      <c r="AE229" s="148"/>
      <c r="AF229" s="148"/>
      <c r="AG229" s="148"/>
      <c r="AH229" s="148"/>
      <c r="AI229" s="148"/>
      <c r="AJ229" s="148"/>
      <c r="AK229" s="148"/>
      <c r="AL229" s="148"/>
      <c r="AM229" s="148"/>
      <c r="AN229" s="148"/>
      <c r="AO229" s="148"/>
      <c r="AP229" s="148"/>
    </row>
    <row r="230" spans="5:42" x14ac:dyDescent="0.25">
      <c r="E230" s="32" t="s">
        <v>568</v>
      </c>
      <c r="G230" s="28"/>
    </row>
    <row r="231" spans="5:42" x14ac:dyDescent="0.25">
      <c r="E231" s="29"/>
      <c r="F231" s="78" t="s">
        <v>534</v>
      </c>
      <c r="G231" s="64" t="s">
        <v>203</v>
      </c>
      <c r="H231" s="110"/>
      <c r="I231" s="23"/>
      <c r="J231" s="158">
        <f t="shared" ref="J231:AP231" si="37">IF(J$24, $H175, $H172)</f>
        <v>0</v>
      </c>
      <c r="K231" s="158">
        <f t="shared" si="37"/>
        <v>0</v>
      </c>
      <c r="L231" s="158">
        <f t="shared" si="37"/>
        <v>0</v>
      </c>
      <c r="M231" s="158">
        <f t="shared" si="37"/>
        <v>0</v>
      </c>
      <c r="N231" s="158">
        <f t="shared" si="37"/>
        <v>0</v>
      </c>
      <c r="O231" s="158">
        <f t="shared" si="37"/>
        <v>0</v>
      </c>
      <c r="P231" s="158">
        <f t="shared" si="37"/>
        <v>0</v>
      </c>
      <c r="Q231" s="158">
        <f t="shared" si="37"/>
        <v>0</v>
      </c>
      <c r="R231" s="158">
        <f t="shared" si="37"/>
        <v>0</v>
      </c>
      <c r="S231" s="158">
        <f t="shared" si="37"/>
        <v>0</v>
      </c>
      <c r="T231" s="158">
        <f t="shared" si="37"/>
        <v>0</v>
      </c>
      <c r="U231" s="158">
        <f t="shared" si="37"/>
        <v>0</v>
      </c>
      <c r="V231" s="158">
        <f t="shared" si="37"/>
        <v>0</v>
      </c>
      <c r="W231" s="158">
        <f t="shared" si="37"/>
        <v>0</v>
      </c>
      <c r="X231" s="158">
        <f t="shared" si="37"/>
        <v>0</v>
      </c>
      <c r="Y231" s="158">
        <f t="shared" si="37"/>
        <v>0</v>
      </c>
      <c r="Z231" s="158">
        <f t="shared" si="37"/>
        <v>0</v>
      </c>
      <c r="AA231" s="158">
        <f t="shared" si="37"/>
        <v>0</v>
      </c>
      <c r="AB231" s="158">
        <f t="shared" si="37"/>
        <v>0</v>
      </c>
      <c r="AC231" s="158">
        <f t="shared" si="37"/>
        <v>0</v>
      </c>
      <c r="AD231" s="158">
        <f t="shared" si="37"/>
        <v>0</v>
      </c>
      <c r="AE231" s="158">
        <f t="shared" si="37"/>
        <v>0</v>
      </c>
      <c r="AF231" s="158">
        <f t="shared" si="37"/>
        <v>0</v>
      </c>
      <c r="AG231" s="158">
        <f t="shared" si="37"/>
        <v>0</v>
      </c>
      <c r="AH231" s="158">
        <f t="shared" si="37"/>
        <v>0</v>
      </c>
      <c r="AI231" s="158">
        <f t="shared" si="37"/>
        <v>0</v>
      </c>
      <c r="AJ231" s="158">
        <f t="shared" si="37"/>
        <v>0</v>
      </c>
      <c r="AK231" s="158">
        <f t="shared" si="37"/>
        <v>0</v>
      </c>
      <c r="AL231" s="158">
        <f t="shared" si="37"/>
        <v>0</v>
      </c>
      <c r="AM231" s="158">
        <f t="shared" si="37"/>
        <v>0</v>
      </c>
      <c r="AN231" s="158">
        <f t="shared" si="37"/>
        <v>0</v>
      </c>
      <c r="AO231" s="158">
        <f t="shared" si="37"/>
        <v>0</v>
      </c>
      <c r="AP231" s="158">
        <f t="shared" si="37"/>
        <v>0</v>
      </c>
    </row>
    <row r="232" spans="5:42" x14ac:dyDescent="0.25">
      <c r="E232" s="29"/>
      <c r="F232" s="72" t="s">
        <v>535</v>
      </c>
      <c r="G232" s="28" t="s">
        <v>203</v>
      </c>
      <c r="H232" s="25"/>
      <c r="J232" s="148">
        <f t="shared" ref="J232:AP232" si="38">IF(J$24, $H176, $H173)</f>
        <v>0</v>
      </c>
      <c r="K232" s="148">
        <f t="shared" si="38"/>
        <v>0</v>
      </c>
      <c r="L232" s="148">
        <f t="shared" si="38"/>
        <v>0</v>
      </c>
      <c r="M232" s="148">
        <f t="shared" si="38"/>
        <v>0</v>
      </c>
      <c r="N232" s="148">
        <f t="shared" si="38"/>
        <v>0</v>
      </c>
      <c r="O232" s="148">
        <f t="shared" si="38"/>
        <v>0</v>
      </c>
      <c r="P232" s="148">
        <f t="shared" si="38"/>
        <v>0</v>
      </c>
      <c r="Q232" s="148">
        <f t="shared" si="38"/>
        <v>0</v>
      </c>
      <c r="R232" s="148">
        <f t="shared" si="38"/>
        <v>0</v>
      </c>
      <c r="S232" s="148">
        <f t="shared" si="38"/>
        <v>0</v>
      </c>
      <c r="T232" s="148">
        <f t="shared" si="38"/>
        <v>0</v>
      </c>
      <c r="U232" s="148">
        <f t="shared" si="38"/>
        <v>0</v>
      </c>
      <c r="V232" s="148">
        <f t="shared" si="38"/>
        <v>0</v>
      </c>
      <c r="W232" s="148">
        <f t="shared" si="38"/>
        <v>0</v>
      </c>
      <c r="X232" s="148">
        <f t="shared" si="38"/>
        <v>0</v>
      </c>
      <c r="Y232" s="148">
        <f t="shared" si="38"/>
        <v>0</v>
      </c>
      <c r="Z232" s="148">
        <f t="shared" si="38"/>
        <v>0</v>
      </c>
      <c r="AA232" s="148">
        <f t="shared" si="38"/>
        <v>0</v>
      </c>
      <c r="AB232" s="148">
        <f t="shared" si="38"/>
        <v>0</v>
      </c>
      <c r="AC232" s="148">
        <f t="shared" si="38"/>
        <v>0</v>
      </c>
      <c r="AD232" s="148">
        <f t="shared" si="38"/>
        <v>0</v>
      </c>
      <c r="AE232" s="148">
        <f t="shared" si="38"/>
        <v>0</v>
      </c>
      <c r="AF232" s="148">
        <f t="shared" si="38"/>
        <v>0</v>
      </c>
      <c r="AG232" s="148">
        <f t="shared" si="38"/>
        <v>0</v>
      </c>
      <c r="AH232" s="148">
        <f t="shared" si="38"/>
        <v>0</v>
      </c>
      <c r="AI232" s="148">
        <f t="shared" si="38"/>
        <v>0</v>
      </c>
      <c r="AJ232" s="148">
        <f t="shared" si="38"/>
        <v>0</v>
      </c>
      <c r="AK232" s="148">
        <f t="shared" si="38"/>
        <v>0</v>
      </c>
      <c r="AL232" s="148">
        <f t="shared" si="38"/>
        <v>0</v>
      </c>
      <c r="AM232" s="148">
        <f t="shared" si="38"/>
        <v>0</v>
      </c>
      <c r="AN232" s="148">
        <f t="shared" si="38"/>
        <v>0</v>
      </c>
      <c r="AO232" s="148">
        <f t="shared" si="38"/>
        <v>0</v>
      </c>
      <c r="AP232" s="148">
        <f t="shared" si="38"/>
        <v>0</v>
      </c>
    </row>
    <row r="233" spans="5:42" x14ac:dyDescent="0.25">
      <c r="E233" s="29"/>
      <c r="F233" s="80" t="s">
        <v>313</v>
      </c>
      <c r="G233" s="67" t="s">
        <v>203</v>
      </c>
      <c r="H233" s="144"/>
      <c r="I233" s="37"/>
      <c r="J233" s="159">
        <f t="shared" ref="J233:AP233" si="39">IF(J$24, $H177, $H174)</f>
        <v>0</v>
      </c>
      <c r="K233" s="159">
        <f t="shared" si="39"/>
        <v>0</v>
      </c>
      <c r="L233" s="159">
        <f t="shared" si="39"/>
        <v>0</v>
      </c>
      <c r="M233" s="159">
        <f t="shared" si="39"/>
        <v>0</v>
      </c>
      <c r="N233" s="159">
        <f t="shared" si="39"/>
        <v>0</v>
      </c>
      <c r="O233" s="159">
        <f t="shared" si="39"/>
        <v>0</v>
      </c>
      <c r="P233" s="159">
        <f t="shared" si="39"/>
        <v>0</v>
      </c>
      <c r="Q233" s="159">
        <f t="shared" si="39"/>
        <v>0</v>
      </c>
      <c r="R233" s="159">
        <f t="shared" si="39"/>
        <v>0</v>
      </c>
      <c r="S233" s="159">
        <f t="shared" si="39"/>
        <v>0</v>
      </c>
      <c r="T233" s="159">
        <f t="shared" si="39"/>
        <v>0</v>
      </c>
      <c r="U233" s="159">
        <f t="shared" si="39"/>
        <v>0</v>
      </c>
      <c r="V233" s="159">
        <f t="shared" si="39"/>
        <v>0</v>
      </c>
      <c r="W233" s="159">
        <f t="shared" si="39"/>
        <v>0</v>
      </c>
      <c r="X233" s="159">
        <f t="shared" si="39"/>
        <v>0</v>
      </c>
      <c r="Y233" s="159">
        <f t="shared" si="39"/>
        <v>0</v>
      </c>
      <c r="Z233" s="159">
        <f t="shared" si="39"/>
        <v>0</v>
      </c>
      <c r="AA233" s="159">
        <f t="shared" si="39"/>
        <v>0</v>
      </c>
      <c r="AB233" s="159">
        <f t="shared" si="39"/>
        <v>0</v>
      </c>
      <c r="AC233" s="159">
        <f t="shared" si="39"/>
        <v>0</v>
      </c>
      <c r="AD233" s="159">
        <f t="shared" si="39"/>
        <v>0</v>
      </c>
      <c r="AE233" s="159">
        <f t="shared" si="39"/>
        <v>0</v>
      </c>
      <c r="AF233" s="159">
        <f t="shared" si="39"/>
        <v>0</v>
      </c>
      <c r="AG233" s="159">
        <f t="shared" si="39"/>
        <v>0</v>
      </c>
      <c r="AH233" s="159">
        <f t="shared" si="39"/>
        <v>0</v>
      </c>
      <c r="AI233" s="159">
        <f t="shared" si="39"/>
        <v>0</v>
      </c>
      <c r="AJ233" s="159">
        <f t="shared" si="39"/>
        <v>0</v>
      </c>
      <c r="AK233" s="159">
        <f t="shared" si="39"/>
        <v>0</v>
      </c>
      <c r="AL233" s="159">
        <f t="shared" si="39"/>
        <v>0</v>
      </c>
      <c r="AM233" s="159">
        <f t="shared" si="39"/>
        <v>0</v>
      </c>
      <c r="AN233" s="159">
        <f t="shared" si="39"/>
        <v>0</v>
      </c>
      <c r="AO233" s="159">
        <f t="shared" si="39"/>
        <v>0</v>
      </c>
      <c r="AP233" s="159">
        <f t="shared" si="39"/>
        <v>0</v>
      </c>
    </row>
    <row r="234" spans="5:42" x14ac:dyDescent="0.25">
      <c r="E234" s="29"/>
      <c r="F234" s="72"/>
      <c r="G234" s="28"/>
      <c r="H234" s="25"/>
      <c r="J234" s="148"/>
      <c r="K234" s="148"/>
      <c r="L234" s="148"/>
      <c r="M234" s="148"/>
      <c r="N234" s="148"/>
      <c r="O234" s="148"/>
      <c r="P234" s="148"/>
      <c r="Q234" s="148"/>
      <c r="R234" s="148"/>
      <c r="S234" s="148"/>
      <c r="T234" s="148"/>
      <c r="U234" s="148"/>
      <c r="V234" s="148"/>
      <c r="W234" s="148"/>
      <c r="X234" s="148"/>
      <c r="Y234" s="148"/>
      <c r="Z234" s="148"/>
      <c r="AA234" s="148"/>
      <c r="AB234" s="148"/>
      <c r="AC234" s="148"/>
      <c r="AD234" s="148"/>
      <c r="AE234" s="148"/>
      <c r="AF234" s="148"/>
      <c r="AG234" s="148"/>
      <c r="AH234" s="148"/>
      <c r="AI234" s="148"/>
      <c r="AJ234" s="148"/>
      <c r="AK234" s="148"/>
      <c r="AL234" s="148"/>
      <c r="AM234" s="148"/>
      <c r="AN234" s="148"/>
      <c r="AO234" s="148"/>
      <c r="AP234" s="148"/>
    </row>
    <row r="235" spans="5:42" x14ac:dyDescent="0.25">
      <c r="E235" s="32" t="s">
        <v>569</v>
      </c>
      <c r="G235" s="28"/>
    </row>
    <row r="236" spans="5:42" x14ac:dyDescent="0.25">
      <c r="E236" s="29"/>
      <c r="F236" s="78" t="s">
        <v>534</v>
      </c>
      <c r="G236" s="64" t="s">
        <v>203</v>
      </c>
      <c r="H236" s="110"/>
      <c r="I236" s="23"/>
      <c r="J236" s="158">
        <f t="shared" ref="J236:AP236" si="40">IF(J$24, $H183, $H180)</f>
        <v>0.46</v>
      </c>
      <c r="K236" s="158">
        <f t="shared" si="40"/>
        <v>0.46</v>
      </c>
      <c r="L236" s="158">
        <f t="shared" si="40"/>
        <v>0.46</v>
      </c>
      <c r="M236" s="158">
        <f t="shared" si="40"/>
        <v>0.46</v>
      </c>
      <c r="N236" s="158">
        <f t="shared" si="40"/>
        <v>0.46</v>
      </c>
      <c r="O236" s="158">
        <f t="shared" si="40"/>
        <v>0.46</v>
      </c>
      <c r="P236" s="158">
        <f t="shared" si="40"/>
        <v>0.46</v>
      </c>
      <c r="Q236" s="158">
        <f t="shared" si="40"/>
        <v>0.46</v>
      </c>
      <c r="R236" s="158">
        <f t="shared" si="40"/>
        <v>0.46</v>
      </c>
      <c r="S236" s="158">
        <f t="shared" si="40"/>
        <v>0.46</v>
      </c>
      <c r="T236" s="158">
        <f t="shared" si="40"/>
        <v>0.46</v>
      </c>
      <c r="U236" s="158">
        <f t="shared" si="40"/>
        <v>0.46</v>
      </c>
      <c r="V236" s="158">
        <f t="shared" si="40"/>
        <v>0.46</v>
      </c>
      <c r="W236" s="158">
        <f t="shared" si="40"/>
        <v>0.46</v>
      </c>
      <c r="X236" s="158">
        <f t="shared" si="40"/>
        <v>0.33</v>
      </c>
      <c r="Y236" s="158">
        <f t="shared" si="40"/>
        <v>0.33</v>
      </c>
      <c r="Z236" s="158">
        <f t="shared" si="40"/>
        <v>0.33</v>
      </c>
      <c r="AA236" s="158">
        <f t="shared" si="40"/>
        <v>0.33</v>
      </c>
      <c r="AB236" s="158">
        <f t="shared" si="40"/>
        <v>0.33</v>
      </c>
      <c r="AC236" s="158">
        <f t="shared" si="40"/>
        <v>0.46</v>
      </c>
      <c r="AD236" s="158">
        <f t="shared" si="40"/>
        <v>0.46</v>
      </c>
      <c r="AE236" s="158">
        <f t="shared" si="40"/>
        <v>0.46</v>
      </c>
      <c r="AF236" s="158">
        <f t="shared" si="40"/>
        <v>0.46</v>
      </c>
      <c r="AG236" s="158">
        <f t="shared" si="40"/>
        <v>0.46</v>
      </c>
      <c r="AH236" s="158">
        <f t="shared" si="40"/>
        <v>0.46</v>
      </c>
      <c r="AI236" s="158">
        <f t="shared" si="40"/>
        <v>0.46</v>
      </c>
      <c r="AJ236" s="158">
        <f t="shared" si="40"/>
        <v>0.46</v>
      </c>
      <c r="AK236" s="158">
        <f t="shared" si="40"/>
        <v>0.46</v>
      </c>
      <c r="AL236" s="158">
        <f t="shared" si="40"/>
        <v>0.46</v>
      </c>
      <c r="AM236" s="158">
        <f t="shared" si="40"/>
        <v>0.46</v>
      </c>
      <c r="AN236" s="158">
        <f t="shared" si="40"/>
        <v>0.46</v>
      </c>
      <c r="AO236" s="158">
        <f t="shared" si="40"/>
        <v>0.46</v>
      </c>
      <c r="AP236" s="158">
        <f t="shared" si="40"/>
        <v>0.46</v>
      </c>
    </row>
    <row r="237" spans="5:42" x14ac:dyDescent="0.25">
      <c r="E237" s="29"/>
      <c r="F237" s="72" t="s">
        <v>535</v>
      </c>
      <c r="G237" s="28" t="s">
        <v>203</v>
      </c>
      <c r="H237" s="25"/>
      <c r="J237" s="148">
        <f t="shared" ref="J237:AP237" si="41">IF(J$24, $H184, $H181)</f>
        <v>0.35</v>
      </c>
      <c r="K237" s="148">
        <f t="shared" si="41"/>
        <v>0.35</v>
      </c>
      <c r="L237" s="148">
        <f t="shared" si="41"/>
        <v>0.35</v>
      </c>
      <c r="M237" s="148">
        <f t="shared" si="41"/>
        <v>0.35</v>
      </c>
      <c r="N237" s="148">
        <f t="shared" si="41"/>
        <v>0.35</v>
      </c>
      <c r="O237" s="148">
        <f t="shared" si="41"/>
        <v>0.35</v>
      </c>
      <c r="P237" s="148">
        <f t="shared" si="41"/>
        <v>0.35</v>
      </c>
      <c r="Q237" s="148">
        <f t="shared" si="41"/>
        <v>0.35</v>
      </c>
      <c r="R237" s="148">
        <f t="shared" si="41"/>
        <v>0.35</v>
      </c>
      <c r="S237" s="148">
        <f t="shared" si="41"/>
        <v>0.35</v>
      </c>
      <c r="T237" s="148">
        <f t="shared" si="41"/>
        <v>0.35</v>
      </c>
      <c r="U237" s="148">
        <f t="shared" si="41"/>
        <v>0.35</v>
      </c>
      <c r="V237" s="148">
        <f t="shared" si="41"/>
        <v>0.35</v>
      </c>
      <c r="W237" s="148">
        <f t="shared" si="41"/>
        <v>0.35</v>
      </c>
      <c r="X237" s="148">
        <f t="shared" si="41"/>
        <v>0.48000000000000004</v>
      </c>
      <c r="Y237" s="148">
        <f t="shared" si="41"/>
        <v>0.48000000000000004</v>
      </c>
      <c r="Z237" s="148">
        <f t="shared" si="41"/>
        <v>0.48000000000000004</v>
      </c>
      <c r="AA237" s="148">
        <f t="shared" si="41"/>
        <v>0.48000000000000004</v>
      </c>
      <c r="AB237" s="148">
        <f t="shared" si="41"/>
        <v>0.48000000000000004</v>
      </c>
      <c r="AC237" s="148">
        <f t="shared" si="41"/>
        <v>0.35</v>
      </c>
      <c r="AD237" s="148">
        <f t="shared" si="41"/>
        <v>0.35</v>
      </c>
      <c r="AE237" s="148">
        <f t="shared" si="41"/>
        <v>0.35</v>
      </c>
      <c r="AF237" s="148">
        <f t="shared" si="41"/>
        <v>0.35</v>
      </c>
      <c r="AG237" s="148">
        <f t="shared" si="41"/>
        <v>0.35</v>
      </c>
      <c r="AH237" s="148">
        <f t="shared" si="41"/>
        <v>0.35</v>
      </c>
      <c r="AI237" s="148">
        <f t="shared" si="41"/>
        <v>0.35</v>
      </c>
      <c r="AJ237" s="148">
        <f t="shared" si="41"/>
        <v>0.35</v>
      </c>
      <c r="AK237" s="148">
        <f t="shared" si="41"/>
        <v>0.35</v>
      </c>
      <c r="AL237" s="148">
        <f t="shared" si="41"/>
        <v>0.35</v>
      </c>
      <c r="AM237" s="148">
        <f t="shared" si="41"/>
        <v>0.35</v>
      </c>
      <c r="AN237" s="148">
        <f t="shared" si="41"/>
        <v>0.35</v>
      </c>
      <c r="AO237" s="148">
        <f t="shared" si="41"/>
        <v>0.35</v>
      </c>
      <c r="AP237" s="148">
        <f t="shared" si="41"/>
        <v>0.35</v>
      </c>
    </row>
    <row r="238" spans="5:42" x14ac:dyDescent="0.25">
      <c r="E238" s="29"/>
      <c r="F238" s="80" t="s">
        <v>313</v>
      </c>
      <c r="G238" s="67" t="s">
        <v>203</v>
      </c>
      <c r="H238" s="144"/>
      <c r="I238" s="37"/>
      <c r="J238" s="159">
        <f t="shared" ref="J238:AP238" si="42">IF(J$24, $H185, $H182)</f>
        <v>0.19</v>
      </c>
      <c r="K238" s="159">
        <f t="shared" si="42"/>
        <v>0.19</v>
      </c>
      <c r="L238" s="159">
        <f t="shared" si="42"/>
        <v>0.19</v>
      </c>
      <c r="M238" s="159">
        <f t="shared" si="42"/>
        <v>0.19</v>
      </c>
      <c r="N238" s="159">
        <f t="shared" si="42"/>
        <v>0.19</v>
      </c>
      <c r="O238" s="159">
        <f t="shared" si="42"/>
        <v>0.19</v>
      </c>
      <c r="P238" s="159">
        <f t="shared" si="42"/>
        <v>0.19</v>
      </c>
      <c r="Q238" s="159">
        <f t="shared" si="42"/>
        <v>0.19</v>
      </c>
      <c r="R238" s="159">
        <f t="shared" si="42"/>
        <v>0.19</v>
      </c>
      <c r="S238" s="159">
        <f t="shared" si="42"/>
        <v>0.19</v>
      </c>
      <c r="T238" s="159">
        <f t="shared" si="42"/>
        <v>0.19</v>
      </c>
      <c r="U238" s="159">
        <f t="shared" si="42"/>
        <v>0.19</v>
      </c>
      <c r="V238" s="159">
        <f t="shared" si="42"/>
        <v>0.19</v>
      </c>
      <c r="W238" s="159">
        <f t="shared" si="42"/>
        <v>0.19</v>
      </c>
      <c r="X238" s="159">
        <f t="shared" si="42"/>
        <v>0.19</v>
      </c>
      <c r="Y238" s="159">
        <f t="shared" si="42"/>
        <v>0.19</v>
      </c>
      <c r="Z238" s="159">
        <f t="shared" si="42"/>
        <v>0.19</v>
      </c>
      <c r="AA238" s="159">
        <f t="shared" si="42"/>
        <v>0.19</v>
      </c>
      <c r="AB238" s="159">
        <f t="shared" si="42"/>
        <v>0.19</v>
      </c>
      <c r="AC238" s="159">
        <f t="shared" si="42"/>
        <v>0.19</v>
      </c>
      <c r="AD238" s="159">
        <f t="shared" si="42"/>
        <v>0.19</v>
      </c>
      <c r="AE238" s="159">
        <f t="shared" si="42"/>
        <v>0.19</v>
      </c>
      <c r="AF238" s="159">
        <f t="shared" si="42"/>
        <v>0.19</v>
      </c>
      <c r="AG238" s="159">
        <f t="shared" si="42"/>
        <v>0.19</v>
      </c>
      <c r="AH238" s="159">
        <f t="shared" si="42"/>
        <v>0.19</v>
      </c>
      <c r="AI238" s="159">
        <f t="shared" si="42"/>
        <v>0.19</v>
      </c>
      <c r="AJ238" s="159">
        <f t="shared" si="42"/>
        <v>0.19</v>
      </c>
      <c r="AK238" s="159">
        <f t="shared" si="42"/>
        <v>0.19</v>
      </c>
      <c r="AL238" s="159">
        <f t="shared" si="42"/>
        <v>0.19</v>
      </c>
      <c r="AM238" s="159">
        <f t="shared" si="42"/>
        <v>0.19</v>
      </c>
      <c r="AN238" s="159">
        <f t="shared" si="42"/>
        <v>0.19</v>
      </c>
      <c r="AO238" s="159">
        <f t="shared" si="42"/>
        <v>0.19</v>
      </c>
      <c r="AP238" s="159">
        <f t="shared" si="42"/>
        <v>0.19</v>
      </c>
    </row>
    <row r="239" spans="5:42" x14ac:dyDescent="0.25">
      <c r="E239" s="29"/>
      <c r="F239" s="72"/>
      <c r="G239" s="28"/>
      <c r="H239" s="25"/>
      <c r="J239" s="148"/>
      <c r="K239" s="148"/>
      <c r="L239" s="148"/>
      <c r="M239" s="148"/>
      <c r="N239" s="148"/>
      <c r="O239" s="148"/>
      <c r="P239" s="148"/>
      <c r="Q239" s="148"/>
      <c r="R239" s="148"/>
      <c r="S239" s="148"/>
      <c r="T239" s="148"/>
      <c r="U239" s="148"/>
      <c r="V239" s="148"/>
      <c r="W239" s="148"/>
      <c r="X239" s="148"/>
      <c r="Y239" s="148"/>
      <c r="Z239" s="148"/>
      <c r="AA239" s="148"/>
      <c r="AB239" s="148"/>
      <c r="AC239" s="148"/>
      <c r="AD239" s="148"/>
      <c r="AE239" s="148"/>
      <c r="AF239" s="148"/>
      <c r="AG239" s="148"/>
      <c r="AH239" s="148"/>
      <c r="AI239" s="148"/>
      <c r="AJ239" s="148"/>
      <c r="AK239" s="148"/>
      <c r="AL239" s="148"/>
      <c r="AM239" s="148"/>
      <c r="AN239" s="148"/>
      <c r="AO239" s="148"/>
      <c r="AP239" s="148"/>
    </row>
    <row r="240" spans="5:42" x14ac:dyDescent="0.25">
      <c r="E240" s="32" t="s">
        <v>570</v>
      </c>
      <c r="G240" s="28"/>
    </row>
    <row r="241" spans="3:44" x14ac:dyDescent="0.25">
      <c r="E241" s="29"/>
      <c r="F241" s="78" t="s">
        <v>534</v>
      </c>
      <c r="G241" s="64" t="s">
        <v>203</v>
      </c>
      <c r="H241" s="110"/>
      <c r="I241" s="23"/>
      <c r="J241" s="158">
        <f t="shared" ref="J241:AP241" si="43">IF(J$24, $H191, $H188)</f>
        <v>0.46</v>
      </c>
      <c r="K241" s="158">
        <f t="shared" si="43"/>
        <v>0.46</v>
      </c>
      <c r="L241" s="158">
        <f t="shared" si="43"/>
        <v>0.46</v>
      </c>
      <c r="M241" s="158">
        <f t="shared" si="43"/>
        <v>0.46</v>
      </c>
      <c r="N241" s="158">
        <f t="shared" si="43"/>
        <v>0.46</v>
      </c>
      <c r="O241" s="158">
        <f t="shared" si="43"/>
        <v>0.46</v>
      </c>
      <c r="P241" s="158">
        <f t="shared" si="43"/>
        <v>0.46</v>
      </c>
      <c r="Q241" s="158">
        <f t="shared" si="43"/>
        <v>0.46</v>
      </c>
      <c r="R241" s="158">
        <f t="shared" si="43"/>
        <v>0.46</v>
      </c>
      <c r="S241" s="158">
        <f t="shared" si="43"/>
        <v>0.46</v>
      </c>
      <c r="T241" s="158">
        <f t="shared" si="43"/>
        <v>0.46</v>
      </c>
      <c r="U241" s="158">
        <f t="shared" si="43"/>
        <v>0.46</v>
      </c>
      <c r="V241" s="158">
        <f t="shared" si="43"/>
        <v>0.46</v>
      </c>
      <c r="W241" s="158">
        <f t="shared" si="43"/>
        <v>0.46</v>
      </c>
      <c r="X241" s="158">
        <f t="shared" si="43"/>
        <v>0.33</v>
      </c>
      <c r="Y241" s="158">
        <f t="shared" si="43"/>
        <v>0.33</v>
      </c>
      <c r="Z241" s="158">
        <f t="shared" si="43"/>
        <v>0.33</v>
      </c>
      <c r="AA241" s="158">
        <f t="shared" si="43"/>
        <v>0.33</v>
      </c>
      <c r="AB241" s="158">
        <f t="shared" si="43"/>
        <v>0.33</v>
      </c>
      <c r="AC241" s="158">
        <f t="shared" si="43"/>
        <v>0.46</v>
      </c>
      <c r="AD241" s="158">
        <f t="shared" si="43"/>
        <v>0.46</v>
      </c>
      <c r="AE241" s="158">
        <f t="shared" si="43"/>
        <v>0.46</v>
      </c>
      <c r="AF241" s="158">
        <f t="shared" si="43"/>
        <v>0.46</v>
      </c>
      <c r="AG241" s="158">
        <f t="shared" si="43"/>
        <v>0.46</v>
      </c>
      <c r="AH241" s="158">
        <f t="shared" si="43"/>
        <v>0.46</v>
      </c>
      <c r="AI241" s="158">
        <f t="shared" si="43"/>
        <v>0.46</v>
      </c>
      <c r="AJ241" s="158">
        <f t="shared" si="43"/>
        <v>0.46</v>
      </c>
      <c r="AK241" s="158">
        <f t="shared" si="43"/>
        <v>0.46</v>
      </c>
      <c r="AL241" s="158">
        <f t="shared" si="43"/>
        <v>0.46</v>
      </c>
      <c r="AM241" s="158">
        <f t="shared" si="43"/>
        <v>0.46</v>
      </c>
      <c r="AN241" s="158">
        <f t="shared" si="43"/>
        <v>0.46</v>
      </c>
      <c r="AO241" s="158">
        <f t="shared" si="43"/>
        <v>0.46</v>
      </c>
      <c r="AP241" s="158">
        <f t="shared" si="43"/>
        <v>0.46</v>
      </c>
    </row>
    <row r="242" spans="3:44" x14ac:dyDescent="0.25">
      <c r="E242" s="29"/>
      <c r="F242" s="72" t="s">
        <v>535</v>
      </c>
      <c r="G242" s="28" t="s">
        <v>203</v>
      </c>
      <c r="H242" s="25"/>
      <c r="J242" s="148">
        <f t="shared" ref="J242:AP242" si="44">IF(J$24, $H192, $H189)</f>
        <v>0.35</v>
      </c>
      <c r="K242" s="148">
        <f t="shared" si="44"/>
        <v>0.35</v>
      </c>
      <c r="L242" s="148">
        <f t="shared" si="44"/>
        <v>0.35</v>
      </c>
      <c r="M242" s="148">
        <f t="shared" si="44"/>
        <v>0.35</v>
      </c>
      <c r="N242" s="148">
        <f t="shared" si="44"/>
        <v>0.35</v>
      </c>
      <c r="O242" s="148">
        <f t="shared" si="44"/>
        <v>0.35</v>
      </c>
      <c r="P242" s="148">
        <f t="shared" si="44"/>
        <v>0.35</v>
      </c>
      <c r="Q242" s="148">
        <f t="shared" si="44"/>
        <v>0.35</v>
      </c>
      <c r="R242" s="148">
        <f t="shared" si="44"/>
        <v>0.35</v>
      </c>
      <c r="S242" s="148">
        <f t="shared" si="44"/>
        <v>0.35</v>
      </c>
      <c r="T242" s="148">
        <f t="shared" si="44"/>
        <v>0.35</v>
      </c>
      <c r="U242" s="148">
        <f t="shared" si="44"/>
        <v>0.35</v>
      </c>
      <c r="V242" s="148">
        <f t="shared" si="44"/>
        <v>0.35</v>
      </c>
      <c r="W242" s="148">
        <f t="shared" si="44"/>
        <v>0.35</v>
      </c>
      <c r="X242" s="148">
        <f t="shared" si="44"/>
        <v>0.48000000000000004</v>
      </c>
      <c r="Y242" s="148">
        <f t="shared" si="44"/>
        <v>0.48000000000000004</v>
      </c>
      <c r="Z242" s="148">
        <f t="shared" si="44"/>
        <v>0.48000000000000004</v>
      </c>
      <c r="AA242" s="148">
        <f t="shared" si="44"/>
        <v>0.48000000000000004</v>
      </c>
      <c r="AB242" s="148">
        <f t="shared" si="44"/>
        <v>0.48000000000000004</v>
      </c>
      <c r="AC242" s="148">
        <f t="shared" si="44"/>
        <v>0.35</v>
      </c>
      <c r="AD242" s="148">
        <f t="shared" si="44"/>
        <v>0.35</v>
      </c>
      <c r="AE242" s="148">
        <f t="shared" si="44"/>
        <v>0.35</v>
      </c>
      <c r="AF242" s="148">
        <f t="shared" si="44"/>
        <v>0.35</v>
      </c>
      <c r="AG242" s="148">
        <f t="shared" si="44"/>
        <v>0.35</v>
      </c>
      <c r="AH242" s="148">
        <f t="shared" si="44"/>
        <v>0.35</v>
      </c>
      <c r="AI242" s="148">
        <f t="shared" si="44"/>
        <v>0.35</v>
      </c>
      <c r="AJ242" s="148">
        <f t="shared" si="44"/>
        <v>0.35</v>
      </c>
      <c r="AK242" s="148">
        <f t="shared" si="44"/>
        <v>0.35</v>
      </c>
      <c r="AL242" s="148">
        <f t="shared" si="44"/>
        <v>0.35</v>
      </c>
      <c r="AM242" s="148">
        <f t="shared" si="44"/>
        <v>0.35</v>
      </c>
      <c r="AN242" s="148">
        <f t="shared" si="44"/>
        <v>0.35</v>
      </c>
      <c r="AO242" s="148">
        <f t="shared" si="44"/>
        <v>0.35</v>
      </c>
      <c r="AP242" s="148">
        <f t="shared" si="44"/>
        <v>0.35</v>
      </c>
    </row>
    <row r="243" spans="3:44" x14ac:dyDescent="0.25">
      <c r="E243" s="29"/>
      <c r="F243" s="80" t="s">
        <v>313</v>
      </c>
      <c r="G243" s="67" t="s">
        <v>203</v>
      </c>
      <c r="H243" s="144"/>
      <c r="I243" s="37"/>
      <c r="J243" s="159">
        <f t="shared" ref="J243:AP243" si="45">IF(J$24, $H193, $H190)</f>
        <v>0.19</v>
      </c>
      <c r="K243" s="159">
        <f t="shared" si="45"/>
        <v>0.19</v>
      </c>
      <c r="L243" s="159">
        <f t="shared" si="45"/>
        <v>0.19</v>
      </c>
      <c r="M243" s="159">
        <f t="shared" si="45"/>
        <v>0.19</v>
      </c>
      <c r="N243" s="159">
        <f t="shared" si="45"/>
        <v>0.19</v>
      </c>
      <c r="O243" s="159">
        <f t="shared" si="45"/>
        <v>0.19</v>
      </c>
      <c r="P243" s="159">
        <f t="shared" si="45"/>
        <v>0.19</v>
      </c>
      <c r="Q243" s="159">
        <f t="shared" si="45"/>
        <v>0.19</v>
      </c>
      <c r="R243" s="159">
        <f t="shared" si="45"/>
        <v>0.19</v>
      </c>
      <c r="S243" s="159">
        <f t="shared" si="45"/>
        <v>0.19</v>
      </c>
      <c r="T243" s="159">
        <f t="shared" si="45"/>
        <v>0.19</v>
      </c>
      <c r="U243" s="159">
        <f t="shared" si="45"/>
        <v>0.19</v>
      </c>
      <c r="V243" s="159">
        <f t="shared" si="45"/>
        <v>0.19</v>
      </c>
      <c r="W243" s="159">
        <f t="shared" si="45"/>
        <v>0.19</v>
      </c>
      <c r="X243" s="159">
        <f t="shared" si="45"/>
        <v>0.19</v>
      </c>
      <c r="Y243" s="159">
        <f t="shared" si="45"/>
        <v>0.19</v>
      </c>
      <c r="Z243" s="159">
        <f t="shared" si="45"/>
        <v>0.19</v>
      </c>
      <c r="AA243" s="159">
        <f t="shared" si="45"/>
        <v>0.19</v>
      </c>
      <c r="AB243" s="159">
        <f t="shared" si="45"/>
        <v>0.19</v>
      </c>
      <c r="AC243" s="159">
        <f t="shared" si="45"/>
        <v>0.19</v>
      </c>
      <c r="AD243" s="159">
        <f t="shared" si="45"/>
        <v>0.19</v>
      </c>
      <c r="AE243" s="159">
        <f t="shared" si="45"/>
        <v>0.19</v>
      </c>
      <c r="AF243" s="159">
        <f t="shared" si="45"/>
        <v>0.19</v>
      </c>
      <c r="AG243" s="159">
        <f t="shared" si="45"/>
        <v>0.19</v>
      </c>
      <c r="AH243" s="159">
        <f t="shared" si="45"/>
        <v>0.19</v>
      </c>
      <c r="AI243" s="159">
        <f t="shared" si="45"/>
        <v>0.19</v>
      </c>
      <c r="AJ243" s="159">
        <f t="shared" si="45"/>
        <v>0.19</v>
      </c>
      <c r="AK243" s="159">
        <f t="shared" si="45"/>
        <v>0.19</v>
      </c>
      <c r="AL243" s="159">
        <f t="shared" si="45"/>
        <v>0.19</v>
      </c>
      <c r="AM243" s="159">
        <f t="shared" si="45"/>
        <v>0.19</v>
      </c>
      <c r="AN243" s="159">
        <f t="shared" si="45"/>
        <v>0.19</v>
      </c>
      <c r="AO243" s="159">
        <f t="shared" si="45"/>
        <v>0.19</v>
      </c>
      <c r="AP243" s="159">
        <f t="shared" si="45"/>
        <v>0.19</v>
      </c>
    </row>
    <row r="244" spans="3:44" x14ac:dyDescent="0.25">
      <c r="E244" s="29"/>
      <c r="F244" s="72"/>
      <c r="G244" s="28"/>
      <c r="H244" s="25"/>
      <c r="J244" s="148"/>
      <c r="K244" s="148"/>
      <c r="L244" s="148"/>
      <c r="M244" s="148"/>
      <c r="N244" s="148"/>
      <c r="O244" s="148"/>
      <c r="P244" s="148"/>
      <c r="Q244" s="148"/>
      <c r="R244" s="148"/>
      <c r="S244" s="148"/>
      <c r="T244" s="148"/>
      <c r="U244" s="148"/>
      <c r="V244" s="148"/>
      <c r="W244" s="148"/>
      <c r="X244" s="148"/>
      <c r="Y244" s="148"/>
      <c r="Z244" s="148"/>
      <c r="AA244" s="148"/>
      <c r="AB244" s="148"/>
      <c r="AC244" s="148"/>
      <c r="AD244" s="148"/>
      <c r="AE244" s="148"/>
      <c r="AF244" s="148"/>
      <c r="AG244" s="148"/>
      <c r="AH244" s="148"/>
      <c r="AI244" s="148"/>
      <c r="AJ244" s="148"/>
      <c r="AK244" s="148"/>
      <c r="AL244" s="148"/>
      <c r="AM244" s="148"/>
      <c r="AN244" s="148"/>
      <c r="AO244" s="148"/>
      <c r="AP244" s="148"/>
    </row>
    <row r="245" spans="3:44" x14ac:dyDescent="0.25">
      <c r="E245" s="32" t="s">
        <v>571</v>
      </c>
      <c r="G245" s="28"/>
    </row>
    <row r="246" spans="3:44" x14ac:dyDescent="0.25">
      <c r="E246" s="29"/>
      <c r="F246" s="78" t="s">
        <v>534</v>
      </c>
      <c r="G246" s="64" t="s">
        <v>203</v>
      </c>
      <c r="H246" s="110"/>
      <c r="I246" s="23"/>
      <c r="J246" s="158">
        <f t="shared" ref="J246:AP246" si="46">IF(J$24, $H199, $H196)</f>
        <v>0.46</v>
      </c>
      <c r="K246" s="158">
        <f t="shared" si="46"/>
        <v>0.46</v>
      </c>
      <c r="L246" s="158">
        <f t="shared" si="46"/>
        <v>0.46</v>
      </c>
      <c r="M246" s="158">
        <f t="shared" si="46"/>
        <v>0.46</v>
      </c>
      <c r="N246" s="158">
        <f t="shared" si="46"/>
        <v>0.46</v>
      </c>
      <c r="O246" s="158">
        <f t="shared" si="46"/>
        <v>0.46</v>
      </c>
      <c r="P246" s="158">
        <f t="shared" si="46"/>
        <v>0.46</v>
      </c>
      <c r="Q246" s="158">
        <f t="shared" si="46"/>
        <v>0.46</v>
      </c>
      <c r="R246" s="158">
        <f t="shared" si="46"/>
        <v>0.46</v>
      </c>
      <c r="S246" s="158">
        <f t="shared" si="46"/>
        <v>0.46</v>
      </c>
      <c r="T246" s="158">
        <f t="shared" si="46"/>
        <v>0.46</v>
      </c>
      <c r="U246" s="158">
        <f t="shared" si="46"/>
        <v>0.46</v>
      </c>
      <c r="V246" s="158">
        <f t="shared" si="46"/>
        <v>0.46</v>
      </c>
      <c r="W246" s="158">
        <f t="shared" si="46"/>
        <v>0.46</v>
      </c>
      <c r="X246" s="158">
        <f t="shared" si="46"/>
        <v>0.33</v>
      </c>
      <c r="Y246" s="158">
        <f t="shared" si="46"/>
        <v>0.33</v>
      </c>
      <c r="Z246" s="158">
        <f t="shared" si="46"/>
        <v>0.33</v>
      </c>
      <c r="AA246" s="158">
        <f t="shared" si="46"/>
        <v>0.33</v>
      </c>
      <c r="AB246" s="158">
        <f t="shared" si="46"/>
        <v>0.33</v>
      </c>
      <c r="AC246" s="158">
        <f t="shared" si="46"/>
        <v>0.46</v>
      </c>
      <c r="AD246" s="158">
        <f t="shared" si="46"/>
        <v>0.46</v>
      </c>
      <c r="AE246" s="158">
        <f t="shared" si="46"/>
        <v>0.46</v>
      </c>
      <c r="AF246" s="158">
        <f t="shared" si="46"/>
        <v>0.46</v>
      </c>
      <c r="AG246" s="158">
        <f t="shared" si="46"/>
        <v>0.46</v>
      </c>
      <c r="AH246" s="158">
        <f t="shared" si="46"/>
        <v>0.46</v>
      </c>
      <c r="AI246" s="158">
        <f t="shared" si="46"/>
        <v>0.46</v>
      </c>
      <c r="AJ246" s="158">
        <f t="shared" si="46"/>
        <v>0.46</v>
      </c>
      <c r="AK246" s="158">
        <f t="shared" si="46"/>
        <v>0.46</v>
      </c>
      <c r="AL246" s="158">
        <f t="shared" si="46"/>
        <v>0.46</v>
      </c>
      <c r="AM246" s="158">
        <f t="shared" si="46"/>
        <v>0.46</v>
      </c>
      <c r="AN246" s="158">
        <f t="shared" si="46"/>
        <v>0.46</v>
      </c>
      <c r="AO246" s="158">
        <f t="shared" si="46"/>
        <v>0.46</v>
      </c>
      <c r="AP246" s="158">
        <f t="shared" si="46"/>
        <v>0.46</v>
      </c>
    </row>
    <row r="247" spans="3:44" x14ac:dyDescent="0.25">
      <c r="E247" s="29"/>
      <c r="F247" s="72" t="s">
        <v>535</v>
      </c>
      <c r="G247" s="28" t="s">
        <v>203</v>
      </c>
      <c r="H247" s="25"/>
      <c r="J247" s="148">
        <f t="shared" ref="J247:AP247" si="47">IF(J$24, $H200, $H197)</f>
        <v>0.35</v>
      </c>
      <c r="K247" s="148">
        <f t="shared" si="47"/>
        <v>0.35</v>
      </c>
      <c r="L247" s="148">
        <f t="shared" si="47"/>
        <v>0.35</v>
      </c>
      <c r="M247" s="148">
        <f t="shared" si="47"/>
        <v>0.35</v>
      </c>
      <c r="N247" s="148">
        <f t="shared" si="47"/>
        <v>0.35</v>
      </c>
      <c r="O247" s="148">
        <f t="shared" si="47"/>
        <v>0.35</v>
      </c>
      <c r="P247" s="148">
        <f t="shared" si="47"/>
        <v>0.35</v>
      </c>
      <c r="Q247" s="148">
        <f t="shared" si="47"/>
        <v>0.35</v>
      </c>
      <c r="R247" s="148">
        <f t="shared" si="47"/>
        <v>0.35</v>
      </c>
      <c r="S247" s="148">
        <f t="shared" si="47"/>
        <v>0.35</v>
      </c>
      <c r="T247" s="148">
        <f t="shared" si="47"/>
        <v>0.35</v>
      </c>
      <c r="U247" s="148">
        <f t="shared" si="47"/>
        <v>0.35</v>
      </c>
      <c r="V247" s="148">
        <f t="shared" si="47"/>
        <v>0.35</v>
      </c>
      <c r="W247" s="148">
        <f t="shared" si="47"/>
        <v>0.35</v>
      </c>
      <c r="X247" s="148">
        <f t="shared" si="47"/>
        <v>0.48000000000000004</v>
      </c>
      <c r="Y247" s="148">
        <f t="shared" si="47"/>
        <v>0.48000000000000004</v>
      </c>
      <c r="Z247" s="148">
        <f t="shared" si="47"/>
        <v>0.48000000000000004</v>
      </c>
      <c r="AA247" s="148">
        <f t="shared" si="47"/>
        <v>0.48000000000000004</v>
      </c>
      <c r="AB247" s="148">
        <f t="shared" si="47"/>
        <v>0.48000000000000004</v>
      </c>
      <c r="AC247" s="148">
        <f t="shared" si="47"/>
        <v>0.35</v>
      </c>
      <c r="AD247" s="148">
        <f t="shared" si="47"/>
        <v>0.35</v>
      </c>
      <c r="AE247" s="148">
        <f t="shared" si="47"/>
        <v>0.35</v>
      </c>
      <c r="AF247" s="148">
        <f t="shared" si="47"/>
        <v>0.35</v>
      </c>
      <c r="AG247" s="148">
        <f t="shared" si="47"/>
        <v>0.35</v>
      </c>
      <c r="AH247" s="148">
        <f t="shared" si="47"/>
        <v>0.35</v>
      </c>
      <c r="AI247" s="148">
        <f t="shared" si="47"/>
        <v>0.35</v>
      </c>
      <c r="AJ247" s="148">
        <f t="shared" si="47"/>
        <v>0.35</v>
      </c>
      <c r="AK247" s="148">
        <f t="shared" si="47"/>
        <v>0.35</v>
      </c>
      <c r="AL247" s="148">
        <f t="shared" si="47"/>
        <v>0.35</v>
      </c>
      <c r="AM247" s="148">
        <f t="shared" si="47"/>
        <v>0.35</v>
      </c>
      <c r="AN247" s="148">
        <f t="shared" si="47"/>
        <v>0.35</v>
      </c>
      <c r="AO247" s="148">
        <f t="shared" si="47"/>
        <v>0.35</v>
      </c>
      <c r="AP247" s="148">
        <f t="shared" si="47"/>
        <v>0.35</v>
      </c>
    </row>
    <row r="248" spans="3:44" x14ac:dyDescent="0.25">
      <c r="E248" s="29"/>
      <c r="F248" s="80" t="s">
        <v>313</v>
      </c>
      <c r="G248" s="67" t="s">
        <v>203</v>
      </c>
      <c r="H248" s="144"/>
      <c r="I248" s="37"/>
      <c r="J248" s="159">
        <f t="shared" ref="J248:AP248" si="48">IF(J$24, $H201, $H198)</f>
        <v>0.19</v>
      </c>
      <c r="K248" s="159">
        <f t="shared" si="48"/>
        <v>0.19</v>
      </c>
      <c r="L248" s="159">
        <f t="shared" si="48"/>
        <v>0.19</v>
      </c>
      <c r="M248" s="159">
        <f t="shared" si="48"/>
        <v>0.19</v>
      </c>
      <c r="N248" s="159">
        <f t="shared" si="48"/>
        <v>0.19</v>
      </c>
      <c r="O248" s="159">
        <f t="shared" si="48"/>
        <v>0.19</v>
      </c>
      <c r="P248" s="159">
        <f t="shared" si="48"/>
        <v>0.19</v>
      </c>
      <c r="Q248" s="159">
        <f t="shared" si="48"/>
        <v>0.19</v>
      </c>
      <c r="R248" s="159">
        <f t="shared" si="48"/>
        <v>0.19</v>
      </c>
      <c r="S248" s="159">
        <f t="shared" si="48"/>
        <v>0.19</v>
      </c>
      <c r="T248" s="159">
        <f t="shared" si="48"/>
        <v>0.19</v>
      </c>
      <c r="U248" s="159">
        <f t="shared" si="48"/>
        <v>0.19</v>
      </c>
      <c r="V248" s="159">
        <f t="shared" si="48"/>
        <v>0.19</v>
      </c>
      <c r="W248" s="159">
        <f t="shared" si="48"/>
        <v>0.19</v>
      </c>
      <c r="X248" s="159">
        <f t="shared" si="48"/>
        <v>0.19</v>
      </c>
      <c r="Y248" s="159">
        <f t="shared" si="48"/>
        <v>0.19</v>
      </c>
      <c r="Z248" s="159">
        <f t="shared" si="48"/>
        <v>0.19</v>
      </c>
      <c r="AA248" s="159">
        <f t="shared" si="48"/>
        <v>0.19</v>
      </c>
      <c r="AB248" s="159">
        <f t="shared" si="48"/>
        <v>0.19</v>
      </c>
      <c r="AC248" s="159">
        <f t="shared" si="48"/>
        <v>0.19</v>
      </c>
      <c r="AD248" s="159">
        <f t="shared" si="48"/>
        <v>0.19</v>
      </c>
      <c r="AE248" s="159">
        <f t="shared" si="48"/>
        <v>0.19</v>
      </c>
      <c r="AF248" s="159">
        <f t="shared" si="48"/>
        <v>0.19</v>
      </c>
      <c r="AG248" s="159">
        <f t="shared" si="48"/>
        <v>0.19</v>
      </c>
      <c r="AH248" s="159">
        <f t="shared" si="48"/>
        <v>0.19</v>
      </c>
      <c r="AI248" s="159">
        <f t="shared" si="48"/>
        <v>0.19</v>
      </c>
      <c r="AJ248" s="159">
        <f t="shared" si="48"/>
        <v>0.19</v>
      </c>
      <c r="AK248" s="159">
        <f t="shared" si="48"/>
        <v>0.19</v>
      </c>
      <c r="AL248" s="159">
        <f t="shared" si="48"/>
        <v>0.19</v>
      </c>
      <c r="AM248" s="159">
        <f t="shared" si="48"/>
        <v>0.19</v>
      </c>
      <c r="AN248" s="159">
        <f t="shared" si="48"/>
        <v>0.19</v>
      </c>
      <c r="AO248" s="159">
        <f t="shared" si="48"/>
        <v>0.19</v>
      </c>
      <c r="AP248" s="159">
        <f t="shared" si="48"/>
        <v>0.19</v>
      </c>
    </row>
    <row r="249" spans="3:44" x14ac:dyDescent="0.25">
      <c r="D249" s="29"/>
      <c r="E249" s="72"/>
      <c r="G249" s="28"/>
      <c r="H249" s="25"/>
      <c r="J249" s="148"/>
      <c r="K249" s="148"/>
      <c r="L249" s="148"/>
      <c r="M249" s="148"/>
      <c r="N249" s="148"/>
      <c r="O249" s="148"/>
      <c r="P249" s="148"/>
      <c r="Q249" s="148"/>
      <c r="R249" s="148"/>
      <c r="S249" s="148"/>
      <c r="T249" s="148"/>
      <c r="U249" s="148"/>
      <c r="V249" s="148"/>
      <c r="W249" s="148"/>
      <c r="X249" s="148"/>
      <c r="Y249" s="148"/>
      <c r="Z249" s="148"/>
      <c r="AA249" s="148"/>
      <c r="AB249" s="148"/>
      <c r="AC249" s="148"/>
      <c r="AD249" s="148"/>
      <c r="AE249" s="148"/>
      <c r="AF249" s="148"/>
      <c r="AG249" s="148"/>
      <c r="AH249" s="148"/>
      <c r="AI249" s="148"/>
      <c r="AJ249" s="148"/>
      <c r="AK249" s="148"/>
      <c r="AL249" s="148"/>
      <c r="AM249" s="148"/>
      <c r="AN249" s="148"/>
      <c r="AO249" s="148"/>
      <c r="AP249" s="148"/>
    </row>
    <row r="250" spans="3:44" x14ac:dyDescent="0.25">
      <c r="C250" s="31" t="str">
        <f ca="1">INDEX('Version control'!$H$34:$H$56,MATCH($A$1,'Version control'!$F$34:$F$56,0),1)&amp;"-J: Ratio of coincidence factor to load factor, based on uniform distribution in timebands and peaking probabilities"</f>
        <v>Section 105-J: Ratio of coincidence factor to load factor, based on uniform distribution in timebands and peaking probabilities</v>
      </c>
      <c r="D250" s="31"/>
      <c r="E250" s="31"/>
      <c r="F250" s="31"/>
      <c r="G250" s="31"/>
      <c r="H250" s="31"/>
      <c r="I250" s="31"/>
      <c r="J250" s="31"/>
      <c r="K250" s="31"/>
      <c r="L250" s="31"/>
      <c r="M250" s="31"/>
      <c r="N250" s="31"/>
      <c r="O250" s="31"/>
      <c r="P250" s="31"/>
      <c r="Q250" s="31"/>
      <c r="R250" s="31"/>
      <c r="S250" s="31"/>
      <c r="T250" s="31"/>
      <c r="U250" s="31"/>
      <c r="V250" s="31"/>
      <c r="W250" s="31"/>
      <c r="X250" s="31"/>
      <c r="Y250" s="31"/>
      <c r="Z250" s="31"/>
      <c r="AA250" s="31"/>
      <c r="AB250" s="31"/>
      <c r="AC250" s="31"/>
      <c r="AD250" s="31"/>
      <c r="AE250" s="31"/>
      <c r="AF250" s="31"/>
      <c r="AG250" s="31"/>
      <c r="AH250" s="31"/>
      <c r="AI250" s="31"/>
      <c r="AJ250" s="31"/>
      <c r="AK250" s="31"/>
      <c r="AL250" s="31"/>
      <c r="AM250" s="31"/>
      <c r="AN250" s="31"/>
      <c r="AO250" s="31"/>
      <c r="AP250" s="31"/>
      <c r="AQ250" s="31"/>
      <c r="AR250" s="31"/>
    </row>
    <row r="251" spans="3:44" x14ac:dyDescent="0.25">
      <c r="D251" s="29"/>
      <c r="E251" s="72"/>
      <c r="G251" s="28"/>
      <c r="H251" s="25"/>
      <c r="J251" s="148"/>
      <c r="K251" s="148"/>
      <c r="L251" s="148"/>
      <c r="M251" s="148"/>
      <c r="N251" s="148"/>
      <c r="O251" s="148"/>
      <c r="P251" s="148"/>
      <c r="Q251" s="148"/>
      <c r="R251" s="148"/>
      <c r="S251" s="148"/>
      <c r="T251" s="148"/>
      <c r="U251" s="148"/>
      <c r="V251" s="148"/>
      <c r="W251" s="148"/>
      <c r="X251" s="148"/>
      <c r="Y251" s="148"/>
      <c r="Z251" s="148"/>
      <c r="AA251" s="148"/>
      <c r="AB251" s="148"/>
      <c r="AC251" s="148"/>
      <c r="AD251" s="148"/>
      <c r="AE251" s="148"/>
      <c r="AF251" s="148"/>
      <c r="AG251" s="148"/>
      <c r="AH251" s="148"/>
      <c r="AI251" s="148"/>
      <c r="AJ251" s="148"/>
      <c r="AK251" s="148"/>
      <c r="AL251" s="148"/>
      <c r="AM251" s="148"/>
      <c r="AN251" s="148"/>
      <c r="AO251" s="148"/>
      <c r="AP251" s="148"/>
    </row>
    <row r="252" spans="3:44" x14ac:dyDescent="0.25">
      <c r="E252" s="32" t="s">
        <v>572</v>
      </c>
      <c r="G252" s="28"/>
      <c r="J252" s="63"/>
    </row>
    <row r="253" spans="3:44" x14ac:dyDescent="0.25">
      <c r="F253" s="64" t="s">
        <v>534</v>
      </c>
      <c r="G253" s="64" t="s">
        <v>573</v>
      </c>
      <c r="H253" s="23"/>
      <c r="I253" s="23"/>
      <c r="J253" s="163">
        <f t="shared" ref="J253:AP253" si="49">1 / J29</f>
        <v>1.277139208173691E-3</v>
      </c>
      <c r="K253" s="163">
        <f t="shared" si="49"/>
        <v>1.277139208173691E-3</v>
      </c>
      <c r="L253" s="163">
        <f t="shared" si="49"/>
        <v>1.277139208173691E-3</v>
      </c>
      <c r="M253" s="163">
        <f t="shared" si="49"/>
        <v>1.277139208173691E-3</v>
      </c>
      <c r="N253" s="163">
        <f t="shared" si="49"/>
        <v>1.277139208173691E-3</v>
      </c>
      <c r="O253" s="163">
        <f t="shared" si="49"/>
        <v>1.277139208173691E-3</v>
      </c>
      <c r="P253" s="163">
        <f t="shared" si="49"/>
        <v>1.277139208173691E-3</v>
      </c>
      <c r="Q253" s="163">
        <f t="shared" si="49"/>
        <v>1.277139208173691E-3</v>
      </c>
      <c r="R253" s="163">
        <f t="shared" si="49"/>
        <v>1.277139208173691E-3</v>
      </c>
      <c r="S253" s="163">
        <f t="shared" si="49"/>
        <v>1.277139208173691E-3</v>
      </c>
      <c r="T253" s="163">
        <f t="shared" si="49"/>
        <v>1.277139208173691E-3</v>
      </c>
      <c r="U253" s="163">
        <f t="shared" si="49"/>
        <v>1.277139208173691E-3</v>
      </c>
      <c r="V253" s="163">
        <f t="shared" si="49"/>
        <v>1.277139208173691E-3</v>
      </c>
      <c r="W253" s="163">
        <f t="shared" si="49"/>
        <v>1.277139208173691E-3</v>
      </c>
      <c r="X253" s="163">
        <f t="shared" si="49"/>
        <v>3.9215686274509803E-3</v>
      </c>
      <c r="Y253" s="163">
        <f t="shared" si="49"/>
        <v>3.9215686274509803E-3</v>
      </c>
      <c r="Z253" s="163">
        <f t="shared" si="49"/>
        <v>3.9215686274509803E-3</v>
      </c>
      <c r="AA253" s="163">
        <f t="shared" si="49"/>
        <v>3.9215686274509803E-3</v>
      </c>
      <c r="AB253" s="163">
        <f t="shared" si="49"/>
        <v>3.9215686274509803E-3</v>
      </c>
      <c r="AC253" s="163">
        <f t="shared" si="49"/>
        <v>1.277139208173691E-3</v>
      </c>
      <c r="AD253" s="163">
        <f t="shared" si="49"/>
        <v>1.277139208173691E-3</v>
      </c>
      <c r="AE253" s="163">
        <f t="shared" si="49"/>
        <v>1.277139208173691E-3</v>
      </c>
      <c r="AF253" s="163">
        <f t="shared" si="49"/>
        <v>1.277139208173691E-3</v>
      </c>
      <c r="AG253" s="163">
        <f t="shared" si="49"/>
        <v>1.277139208173691E-3</v>
      </c>
      <c r="AH253" s="163">
        <f t="shared" si="49"/>
        <v>1.277139208173691E-3</v>
      </c>
      <c r="AI253" s="163">
        <f t="shared" si="49"/>
        <v>1.277139208173691E-3</v>
      </c>
      <c r="AJ253" s="163">
        <f t="shared" si="49"/>
        <v>1.277139208173691E-3</v>
      </c>
      <c r="AK253" s="163">
        <f t="shared" si="49"/>
        <v>1.277139208173691E-3</v>
      </c>
      <c r="AL253" s="163">
        <f t="shared" si="49"/>
        <v>1.277139208173691E-3</v>
      </c>
      <c r="AM253" s="163">
        <f t="shared" si="49"/>
        <v>1.277139208173691E-3</v>
      </c>
      <c r="AN253" s="163">
        <f t="shared" si="49"/>
        <v>1.277139208173691E-3</v>
      </c>
      <c r="AO253" s="163">
        <f t="shared" si="49"/>
        <v>1.277139208173691E-3</v>
      </c>
      <c r="AP253" s="163">
        <f t="shared" si="49"/>
        <v>1.277139208173691E-3</v>
      </c>
    </row>
    <row r="254" spans="3:44" x14ac:dyDescent="0.25">
      <c r="F254" s="28" t="s">
        <v>535</v>
      </c>
      <c r="G254" s="28" t="s">
        <v>573</v>
      </c>
      <c r="J254" s="92">
        <f t="shared" ref="J254:AP254" si="50">1 / J30</f>
        <v>2.7005130974885227E-4</v>
      </c>
      <c r="K254" s="92">
        <f t="shared" si="50"/>
        <v>2.7005130974885227E-4</v>
      </c>
      <c r="L254" s="92">
        <f t="shared" si="50"/>
        <v>2.7005130974885227E-4</v>
      </c>
      <c r="M254" s="92">
        <f t="shared" si="50"/>
        <v>2.7005130974885227E-4</v>
      </c>
      <c r="N254" s="92">
        <f t="shared" si="50"/>
        <v>2.7005130974885227E-4</v>
      </c>
      <c r="O254" s="92">
        <f t="shared" si="50"/>
        <v>2.7005130974885227E-4</v>
      </c>
      <c r="P254" s="92">
        <f t="shared" si="50"/>
        <v>2.7005130974885227E-4</v>
      </c>
      <c r="Q254" s="92">
        <f t="shared" si="50"/>
        <v>2.7005130974885227E-4</v>
      </c>
      <c r="R254" s="92">
        <f t="shared" si="50"/>
        <v>2.7005130974885227E-4</v>
      </c>
      <c r="S254" s="92">
        <f t="shared" si="50"/>
        <v>2.7005130974885227E-4</v>
      </c>
      <c r="T254" s="92">
        <f t="shared" si="50"/>
        <v>2.7005130974885227E-4</v>
      </c>
      <c r="U254" s="92">
        <f t="shared" si="50"/>
        <v>2.7005130974885227E-4</v>
      </c>
      <c r="V254" s="92">
        <f t="shared" si="50"/>
        <v>2.7005130974885227E-4</v>
      </c>
      <c r="W254" s="92">
        <f t="shared" si="50"/>
        <v>2.7005130974885227E-4</v>
      </c>
      <c r="X254" s="92">
        <f t="shared" si="50"/>
        <v>2.363507445048452E-4</v>
      </c>
      <c r="Y254" s="92">
        <f t="shared" si="50"/>
        <v>2.363507445048452E-4</v>
      </c>
      <c r="Z254" s="92">
        <f t="shared" si="50"/>
        <v>2.363507445048452E-4</v>
      </c>
      <c r="AA254" s="92">
        <f t="shared" si="50"/>
        <v>2.363507445048452E-4</v>
      </c>
      <c r="AB254" s="92">
        <f t="shared" si="50"/>
        <v>2.363507445048452E-4</v>
      </c>
      <c r="AC254" s="92">
        <f t="shared" si="50"/>
        <v>2.7005130974885227E-4</v>
      </c>
      <c r="AD254" s="92">
        <f t="shared" si="50"/>
        <v>2.7005130974885227E-4</v>
      </c>
      <c r="AE254" s="92">
        <f t="shared" si="50"/>
        <v>2.7005130974885227E-4</v>
      </c>
      <c r="AF254" s="92">
        <f t="shared" si="50"/>
        <v>2.7005130974885227E-4</v>
      </c>
      <c r="AG254" s="92">
        <f t="shared" si="50"/>
        <v>2.7005130974885227E-4</v>
      </c>
      <c r="AH254" s="92">
        <f t="shared" si="50"/>
        <v>2.7005130974885227E-4</v>
      </c>
      <c r="AI254" s="92">
        <f t="shared" si="50"/>
        <v>2.7005130974885227E-4</v>
      </c>
      <c r="AJ254" s="92">
        <f t="shared" si="50"/>
        <v>2.7005130974885227E-4</v>
      </c>
      <c r="AK254" s="92">
        <f t="shared" si="50"/>
        <v>2.7005130974885227E-4</v>
      </c>
      <c r="AL254" s="92">
        <f t="shared" si="50"/>
        <v>2.7005130974885227E-4</v>
      </c>
      <c r="AM254" s="92">
        <f t="shared" si="50"/>
        <v>2.7005130974885227E-4</v>
      </c>
      <c r="AN254" s="92">
        <f t="shared" si="50"/>
        <v>2.7005130974885227E-4</v>
      </c>
      <c r="AO254" s="92">
        <f t="shared" si="50"/>
        <v>2.7005130974885227E-4</v>
      </c>
      <c r="AP254" s="92">
        <f t="shared" si="50"/>
        <v>2.7005130974885227E-4</v>
      </c>
    </row>
    <row r="255" spans="3:44" x14ac:dyDescent="0.25">
      <c r="F255" s="67" t="s">
        <v>313</v>
      </c>
      <c r="G255" s="67" t="s">
        <v>573</v>
      </c>
      <c r="H255" s="37"/>
      <c r="I255" s="37"/>
      <c r="J255" s="82">
        <f t="shared" ref="J255:AP255" si="51">1 / J31</f>
        <v>2.3397285914833881E-4</v>
      </c>
      <c r="K255" s="82">
        <f t="shared" si="51"/>
        <v>2.3397285914833881E-4</v>
      </c>
      <c r="L255" s="82">
        <f t="shared" si="51"/>
        <v>2.3397285914833881E-4</v>
      </c>
      <c r="M255" s="82">
        <f t="shared" si="51"/>
        <v>2.3397285914833881E-4</v>
      </c>
      <c r="N255" s="82">
        <f t="shared" si="51"/>
        <v>2.3397285914833881E-4</v>
      </c>
      <c r="O255" s="82">
        <f t="shared" si="51"/>
        <v>2.3397285914833881E-4</v>
      </c>
      <c r="P255" s="82">
        <f t="shared" si="51"/>
        <v>2.3397285914833881E-4</v>
      </c>
      <c r="Q255" s="82">
        <f t="shared" si="51"/>
        <v>2.3397285914833881E-4</v>
      </c>
      <c r="R255" s="82">
        <f t="shared" si="51"/>
        <v>2.3397285914833881E-4</v>
      </c>
      <c r="S255" s="82">
        <f t="shared" si="51"/>
        <v>2.3397285914833881E-4</v>
      </c>
      <c r="T255" s="82">
        <f t="shared" si="51"/>
        <v>2.3397285914833881E-4</v>
      </c>
      <c r="U255" s="82">
        <f t="shared" si="51"/>
        <v>2.3397285914833881E-4</v>
      </c>
      <c r="V255" s="82">
        <f t="shared" si="51"/>
        <v>2.3397285914833881E-4</v>
      </c>
      <c r="W255" s="82">
        <f t="shared" si="51"/>
        <v>2.3397285914833881E-4</v>
      </c>
      <c r="X255" s="82">
        <f t="shared" si="51"/>
        <v>2.3397285914833881E-4</v>
      </c>
      <c r="Y255" s="82">
        <f t="shared" si="51"/>
        <v>2.3397285914833881E-4</v>
      </c>
      <c r="Z255" s="82">
        <f t="shared" si="51"/>
        <v>2.3397285914833881E-4</v>
      </c>
      <c r="AA255" s="82">
        <f t="shared" si="51"/>
        <v>2.3397285914833881E-4</v>
      </c>
      <c r="AB255" s="82">
        <f t="shared" si="51"/>
        <v>2.3397285914833881E-4</v>
      </c>
      <c r="AC255" s="82">
        <f t="shared" si="51"/>
        <v>2.3397285914833881E-4</v>
      </c>
      <c r="AD255" s="82">
        <f t="shared" si="51"/>
        <v>2.3397285914833881E-4</v>
      </c>
      <c r="AE255" s="82">
        <f t="shared" si="51"/>
        <v>2.3397285914833881E-4</v>
      </c>
      <c r="AF255" s="82">
        <f t="shared" si="51"/>
        <v>2.3397285914833881E-4</v>
      </c>
      <c r="AG255" s="82">
        <f t="shared" si="51"/>
        <v>2.3397285914833881E-4</v>
      </c>
      <c r="AH255" s="82">
        <f t="shared" si="51"/>
        <v>2.3397285914833881E-4</v>
      </c>
      <c r="AI255" s="82">
        <f t="shared" si="51"/>
        <v>2.3397285914833881E-4</v>
      </c>
      <c r="AJ255" s="82">
        <f t="shared" si="51"/>
        <v>2.3397285914833881E-4</v>
      </c>
      <c r="AK255" s="82">
        <f t="shared" si="51"/>
        <v>2.3397285914833881E-4</v>
      </c>
      <c r="AL255" s="82">
        <f t="shared" si="51"/>
        <v>2.3397285914833881E-4</v>
      </c>
      <c r="AM255" s="82">
        <f t="shared" si="51"/>
        <v>2.3397285914833881E-4</v>
      </c>
      <c r="AN255" s="82">
        <f t="shared" si="51"/>
        <v>2.3397285914833881E-4</v>
      </c>
      <c r="AO255" s="82">
        <f t="shared" si="51"/>
        <v>2.3397285914833881E-4</v>
      </c>
      <c r="AP255" s="82">
        <f t="shared" si="51"/>
        <v>2.3397285914833881E-4</v>
      </c>
    </row>
    <row r="256" spans="3:44" x14ac:dyDescent="0.25">
      <c r="G256" s="28"/>
      <c r="J256" s="92"/>
      <c r="K256" s="92"/>
      <c r="L256" s="92"/>
      <c r="M256" s="92"/>
      <c r="N256" s="92"/>
      <c r="O256" s="92"/>
      <c r="P256" s="92"/>
      <c r="Q256" s="92"/>
      <c r="R256" s="92"/>
      <c r="S256" s="92"/>
      <c r="T256" s="92"/>
      <c r="U256" s="92"/>
      <c r="V256" s="92"/>
      <c r="W256" s="92"/>
      <c r="X256" s="92"/>
      <c r="Y256" s="92"/>
      <c r="Z256" s="92"/>
      <c r="AA256" s="92"/>
      <c r="AB256" s="92"/>
      <c r="AC256" s="92"/>
      <c r="AD256" s="92"/>
      <c r="AE256" s="92"/>
      <c r="AF256" s="92"/>
      <c r="AG256" s="92"/>
      <c r="AH256" s="92"/>
      <c r="AI256" s="92"/>
      <c r="AJ256" s="92"/>
      <c r="AK256" s="92"/>
      <c r="AL256" s="92"/>
      <c r="AM256" s="92"/>
      <c r="AN256" s="92"/>
      <c r="AO256" s="92"/>
      <c r="AP256" s="92"/>
    </row>
    <row r="257" spans="5:42" x14ac:dyDescent="0.25">
      <c r="E257" s="32" t="s">
        <v>192</v>
      </c>
      <c r="G257" s="28"/>
      <c r="J257" s="92"/>
      <c r="K257" s="92"/>
      <c r="L257" s="92"/>
      <c r="M257" s="92"/>
      <c r="N257" s="92"/>
      <c r="O257" s="92"/>
      <c r="P257" s="92"/>
      <c r="Q257" s="92"/>
      <c r="R257" s="92"/>
      <c r="S257" s="92"/>
      <c r="T257" s="92"/>
      <c r="U257" s="92"/>
      <c r="V257" s="92"/>
      <c r="W257" s="92"/>
      <c r="X257" s="92"/>
      <c r="Y257" s="92"/>
      <c r="Z257" s="92"/>
      <c r="AA257" s="92"/>
      <c r="AB257" s="92"/>
      <c r="AC257" s="92"/>
      <c r="AD257" s="92"/>
      <c r="AE257" s="92"/>
      <c r="AF257" s="92"/>
      <c r="AG257" s="92"/>
      <c r="AH257" s="92"/>
      <c r="AI257" s="92"/>
      <c r="AJ257" s="92"/>
      <c r="AK257" s="92"/>
      <c r="AL257" s="92"/>
      <c r="AM257" s="92"/>
      <c r="AN257" s="92"/>
      <c r="AO257" s="92"/>
      <c r="AP257" s="92"/>
    </row>
    <row r="258" spans="5:42" x14ac:dyDescent="0.25">
      <c r="F258" s="164" t="s">
        <v>227</v>
      </c>
      <c r="G258" s="64" t="s">
        <v>342</v>
      </c>
      <c r="H258" s="23"/>
      <c r="I258" s="23"/>
      <c r="J258" s="129">
        <f t="shared" ref="J258:AP258" si="52">SUMPRODUCT(J206:J208,J$43:J$45,J$253:J$255) * hours_in_year</f>
        <v>1.2217919863511786</v>
      </c>
      <c r="K258" s="129">
        <f t="shared" si="52"/>
        <v>1.4649887353955688</v>
      </c>
      <c r="L258" s="129">
        <f t="shared" si="52"/>
        <v>0.63789742032065866</v>
      </c>
      <c r="M258" s="129">
        <f t="shared" si="52"/>
        <v>1.1421094191739032</v>
      </c>
      <c r="N258" s="129">
        <f t="shared" si="52"/>
        <v>1.3722534478019677</v>
      </c>
      <c r="O258" s="129">
        <f t="shared" si="52"/>
        <v>0.57804955915299028</v>
      </c>
      <c r="P258" s="129">
        <f t="shared" si="52"/>
        <v>1.3573501094857139</v>
      </c>
      <c r="Q258" s="129">
        <f t="shared" si="52"/>
        <v>1.3573501094857139</v>
      </c>
      <c r="R258" s="129">
        <f t="shared" si="52"/>
        <v>1.3590670710273043</v>
      </c>
      <c r="S258" s="129">
        <f t="shared" si="52"/>
        <v>5.7057471264367825</v>
      </c>
      <c r="T258" s="129">
        <f t="shared" si="52"/>
        <v>5.7057471264367825</v>
      </c>
      <c r="U258" s="129">
        <f t="shared" si="52"/>
        <v>5.7057471264367825</v>
      </c>
      <c r="V258" s="129">
        <f t="shared" si="52"/>
        <v>5.7057471264367825</v>
      </c>
      <c r="W258" s="129">
        <f t="shared" si="52"/>
        <v>5.7057471264367825</v>
      </c>
      <c r="X258" s="129">
        <f t="shared" si="52"/>
        <v>1.0039241360122464</v>
      </c>
      <c r="Y258" s="129">
        <f t="shared" si="52"/>
        <v>1.1154609208744268</v>
      </c>
      <c r="Z258" s="129">
        <f t="shared" si="52"/>
        <v>1.8039786486726981</v>
      </c>
      <c r="AA258" s="129">
        <f t="shared" si="52"/>
        <v>0.96904348690209374</v>
      </c>
      <c r="AB258" s="129">
        <f t="shared" si="52"/>
        <v>13.39764705882353</v>
      </c>
      <c r="AC258" s="129">
        <f t="shared" si="52"/>
        <v>1</v>
      </c>
      <c r="AD258" s="129">
        <f t="shared" si="52"/>
        <v>1</v>
      </c>
      <c r="AE258" s="129">
        <f t="shared" si="52"/>
        <v>1</v>
      </c>
      <c r="AF258" s="129">
        <f t="shared" si="52"/>
        <v>1</v>
      </c>
      <c r="AG258" s="129">
        <f t="shared" si="52"/>
        <v>5.7057471264367825</v>
      </c>
      <c r="AH258" s="129">
        <f t="shared" si="52"/>
        <v>5.7057471264367825</v>
      </c>
      <c r="AI258" s="129">
        <f t="shared" si="52"/>
        <v>1</v>
      </c>
      <c r="AJ258" s="129">
        <f t="shared" si="52"/>
        <v>1</v>
      </c>
      <c r="AK258" s="129">
        <f t="shared" si="52"/>
        <v>5.7057471264367825</v>
      </c>
      <c r="AL258" s="129">
        <f t="shared" si="52"/>
        <v>5.7057471264367825</v>
      </c>
      <c r="AM258" s="129">
        <f t="shared" si="52"/>
        <v>1</v>
      </c>
      <c r="AN258" s="129">
        <f t="shared" si="52"/>
        <v>1</v>
      </c>
      <c r="AO258" s="129">
        <f t="shared" si="52"/>
        <v>5.7057471264367825</v>
      </c>
      <c r="AP258" s="129">
        <f t="shared" si="52"/>
        <v>5.7057471264367825</v>
      </c>
    </row>
    <row r="259" spans="5:42" x14ac:dyDescent="0.25">
      <c r="F259" s="165" t="s">
        <v>228</v>
      </c>
      <c r="G259" s="28" t="s">
        <v>342</v>
      </c>
      <c r="J259" s="101">
        <f t="shared" ref="J259:AP259" si="53">SUMPRODUCT(J211:J213,J$43:J$45,J$253:J$255) * hours_in_year</f>
        <v>0</v>
      </c>
      <c r="K259" s="101">
        <f t="shared" si="53"/>
        <v>0</v>
      </c>
      <c r="L259" s="101">
        <f t="shared" si="53"/>
        <v>0</v>
      </c>
      <c r="M259" s="101">
        <f t="shared" si="53"/>
        <v>0</v>
      </c>
      <c r="N259" s="101">
        <f t="shared" si="53"/>
        <v>0</v>
      </c>
      <c r="O259" s="101">
        <f t="shared" si="53"/>
        <v>0</v>
      </c>
      <c r="P259" s="101">
        <f t="shared" si="53"/>
        <v>0</v>
      </c>
      <c r="Q259" s="101">
        <f t="shared" si="53"/>
        <v>0</v>
      </c>
      <c r="R259" s="101">
        <f t="shared" si="53"/>
        <v>0</v>
      </c>
      <c r="S259" s="101">
        <f t="shared" si="53"/>
        <v>0</v>
      </c>
      <c r="T259" s="101">
        <f t="shared" si="53"/>
        <v>0</v>
      </c>
      <c r="U259" s="101">
        <f t="shared" si="53"/>
        <v>0</v>
      </c>
      <c r="V259" s="101">
        <f t="shared" si="53"/>
        <v>0</v>
      </c>
      <c r="W259" s="101">
        <f t="shared" si="53"/>
        <v>0</v>
      </c>
      <c r="X259" s="101">
        <f t="shared" si="53"/>
        <v>0</v>
      </c>
      <c r="Y259" s="101">
        <f t="shared" si="53"/>
        <v>0</v>
      </c>
      <c r="Z259" s="101">
        <f t="shared" si="53"/>
        <v>0</v>
      </c>
      <c r="AA259" s="101">
        <f t="shared" si="53"/>
        <v>0</v>
      </c>
      <c r="AB259" s="101">
        <f t="shared" si="53"/>
        <v>0</v>
      </c>
      <c r="AC259" s="101">
        <f t="shared" si="53"/>
        <v>0</v>
      </c>
      <c r="AD259" s="101">
        <f t="shared" si="53"/>
        <v>0</v>
      </c>
      <c r="AE259" s="101">
        <f t="shared" si="53"/>
        <v>0</v>
      </c>
      <c r="AF259" s="101">
        <f t="shared" si="53"/>
        <v>0</v>
      </c>
      <c r="AG259" s="101">
        <f t="shared" si="53"/>
        <v>0</v>
      </c>
      <c r="AH259" s="101">
        <f t="shared" si="53"/>
        <v>0</v>
      </c>
      <c r="AI259" s="101">
        <f t="shared" si="53"/>
        <v>0</v>
      </c>
      <c r="AJ259" s="101">
        <f t="shared" si="53"/>
        <v>0</v>
      </c>
      <c r="AK259" s="101">
        <f t="shared" si="53"/>
        <v>0</v>
      </c>
      <c r="AL259" s="101">
        <f t="shared" si="53"/>
        <v>0</v>
      </c>
      <c r="AM259" s="101">
        <f t="shared" si="53"/>
        <v>0</v>
      </c>
      <c r="AN259" s="101">
        <f t="shared" si="53"/>
        <v>0</v>
      </c>
      <c r="AO259" s="101">
        <f t="shared" si="53"/>
        <v>0</v>
      </c>
      <c r="AP259" s="101">
        <f t="shared" si="53"/>
        <v>0</v>
      </c>
    </row>
    <row r="260" spans="5:42" x14ac:dyDescent="0.25">
      <c r="F260" s="165" t="s">
        <v>229</v>
      </c>
      <c r="G260" s="28" t="s">
        <v>342</v>
      </c>
      <c r="J260" s="101">
        <f t="shared" ref="J260:AP260" si="54">SUMPRODUCT(J216:J218,J$43:J$45,J$253:J$255) * hours_in_year</f>
        <v>0</v>
      </c>
      <c r="K260" s="101">
        <f t="shared" si="54"/>
        <v>0</v>
      </c>
      <c r="L260" s="101">
        <f t="shared" si="54"/>
        <v>0</v>
      </c>
      <c r="M260" s="101">
        <f t="shared" si="54"/>
        <v>0</v>
      </c>
      <c r="N260" s="101">
        <f t="shared" si="54"/>
        <v>0</v>
      </c>
      <c r="O260" s="101">
        <f t="shared" si="54"/>
        <v>0</v>
      </c>
      <c r="P260" s="101">
        <f t="shared" si="54"/>
        <v>0</v>
      </c>
      <c r="Q260" s="101">
        <f t="shared" si="54"/>
        <v>0</v>
      </c>
      <c r="R260" s="101">
        <f t="shared" si="54"/>
        <v>0</v>
      </c>
      <c r="S260" s="101">
        <f t="shared" si="54"/>
        <v>0</v>
      </c>
      <c r="T260" s="101">
        <f t="shared" si="54"/>
        <v>0</v>
      </c>
      <c r="U260" s="101">
        <f t="shared" si="54"/>
        <v>0</v>
      </c>
      <c r="V260" s="101">
        <f t="shared" si="54"/>
        <v>0</v>
      </c>
      <c r="W260" s="101">
        <f t="shared" si="54"/>
        <v>0</v>
      </c>
      <c r="X260" s="101">
        <f t="shared" si="54"/>
        <v>0</v>
      </c>
      <c r="Y260" s="101">
        <f t="shared" si="54"/>
        <v>0</v>
      </c>
      <c r="Z260" s="101">
        <f t="shared" si="54"/>
        <v>0</v>
      </c>
      <c r="AA260" s="101">
        <f t="shared" si="54"/>
        <v>0</v>
      </c>
      <c r="AB260" s="101">
        <f t="shared" si="54"/>
        <v>0</v>
      </c>
      <c r="AC260" s="101">
        <f t="shared" si="54"/>
        <v>0</v>
      </c>
      <c r="AD260" s="101">
        <f t="shared" si="54"/>
        <v>0</v>
      </c>
      <c r="AE260" s="101">
        <f t="shared" si="54"/>
        <v>0</v>
      </c>
      <c r="AF260" s="101">
        <f t="shared" si="54"/>
        <v>0</v>
      </c>
      <c r="AG260" s="101">
        <f t="shared" si="54"/>
        <v>0</v>
      </c>
      <c r="AH260" s="101">
        <f t="shared" si="54"/>
        <v>0</v>
      </c>
      <c r="AI260" s="101">
        <f t="shared" si="54"/>
        <v>0</v>
      </c>
      <c r="AJ260" s="101">
        <f t="shared" si="54"/>
        <v>0</v>
      </c>
      <c r="AK260" s="101">
        <f t="shared" si="54"/>
        <v>0</v>
      </c>
      <c r="AL260" s="101">
        <f t="shared" si="54"/>
        <v>0</v>
      </c>
      <c r="AM260" s="101">
        <f t="shared" si="54"/>
        <v>0</v>
      </c>
      <c r="AN260" s="101">
        <f t="shared" si="54"/>
        <v>0</v>
      </c>
      <c r="AO260" s="101">
        <f t="shared" si="54"/>
        <v>0</v>
      </c>
      <c r="AP260" s="101">
        <f t="shared" si="54"/>
        <v>0</v>
      </c>
    </row>
    <row r="261" spans="5:42" x14ac:dyDescent="0.25">
      <c r="F261" s="165" t="s">
        <v>230</v>
      </c>
      <c r="G261" s="28" t="s">
        <v>342</v>
      </c>
      <c r="J261" s="101">
        <f t="shared" ref="J261:AP261" si="55">SUMPRODUCT(J221:J223,J$43:J$45,J$253:J$255) * hours_in_year</f>
        <v>1.2019404046638895</v>
      </c>
      <c r="K261" s="101">
        <f t="shared" si="55"/>
        <v>1.4238384130670347</v>
      </c>
      <c r="L261" s="101">
        <f t="shared" si="55"/>
        <v>0.67654463695392009</v>
      </c>
      <c r="M261" s="101">
        <f t="shared" si="55"/>
        <v>1.1372082935056307</v>
      </c>
      <c r="N261" s="101">
        <f t="shared" si="55"/>
        <v>1.3485242622503608</v>
      </c>
      <c r="O261" s="101">
        <f t="shared" si="55"/>
        <v>0.61853047742426237</v>
      </c>
      <c r="P261" s="101">
        <f t="shared" si="55"/>
        <v>1.3339792247565812</v>
      </c>
      <c r="Q261" s="101">
        <f t="shared" si="55"/>
        <v>1.3339792247565812</v>
      </c>
      <c r="R261" s="101">
        <f t="shared" si="55"/>
        <v>1.336399406905687</v>
      </c>
      <c r="S261" s="101">
        <f t="shared" si="55"/>
        <v>5.1463601532567056</v>
      </c>
      <c r="T261" s="101">
        <f t="shared" si="55"/>
        <v>5.1463601532567056</v>
      </c>
      <c r="U261" s="101">
        <f t="shared" si="55"/>
        <v>5.1463601532567056</v>
      </c>
      <c r="V261" s="101">
        <f t="shared" si="55"/>
        <v>5.1463601532567056</v>
      </c>
      <c r="W261" s="101">
        <f t="shared" si="55"/>
        <v>5.1463601532567056</v>
      </c>
      <c r="X261" s="101">
        <f t="shared" si="55"/>
        <v>1.0032358112573923</v>
      </c>
      <c r="Y261" s="101">
        <f t="shared" si="55"/>
        <v>1.0519517197941668</v>
      </c>
      <c r="Z261" s="101">
        <f t="shared" si="55"/>
        <v>1.6476922696295766</v>
      </c>
      <c r="AA261" s="101">
        <f t="shared" si="55"/>
        <v>1.0143676975738083</v>
      </c>
      <c r="AB261" s="101">
        <f t="shared" si="55"/>
        <v>11.336470588235295</v>
      </c>
      <c r="AC261" s="101">
        <f t="shared" si="55"/>
        <v>1</v>
      </c>
      <c r="AD261" s="101">
        <f t="shared" si="55"/>
        <v>1</v>
      </c>
      <c r="AE261" s="101">
        <f t="shared" si="55"/>
        <v>1</v>
      </c>
      <c r="AF261" s="101">
        <f t="shared" si="55"/>
        <v>1</v>
      </c>
      <c r="AG261" s="101">
        <f t="shared" si="55"/>
        <v>5.1463601532567056</v>
      </c>
      <c r="AH261" s="101">
        <f t="shared" si="55"/>
        <v>5.1463601532567056</v>
      </c>
      <c r="AI261" s="101">
        <f t="shared" si="55"/>
        <v>1</v>
      </c>
      <c r="AJ261" s="101">
        <f t="shared" si="55"/>
        <v>1</v>
      </c>
      <c r="AK261" s="101">
        <f t="shared" si="55"/>
        <v>5.1463601532567056</v>
      </c>
      <c r="AL261" s="101">
        <f t="shared" si="55"/>
        <v>5.1463601532567056</v>
      </c>
      <c r="AM261" s="101">
        <f t="shared" si="55"/>
        <v>1</v>
      </c>
      <c r="AN261" s="101">
        <f t="shared" si="55"/>
        <v>1</v>
      </c>
      <c r="AO261" s="101">
        <f t="shared" si="55"/>
        <v>5.1463601532567056</v>
      </c>
      <c r="AP261" s="101">
        <f t="shared" si="55"/>
        <v>5.1463601532567056</v>
      </c>
    </row>
    <row r="262" spans="5:42" x14ac:dyDescent="0.25">
      <c r="F262" s="165" t="s">
        <v>231</v>
      </c>
      <c r="G262" s="28" t="s">
        <v>342</v>
      </c>
      <c r="J262" s="101">
        <f t="shared" ref="J262:AP262" si="56">SUMPRODUCT(J226:J228,J$43:J$45,J$253:J$255) * hours_in_year</f>
        <v>1.2019404046638895</v>
      </c>
      <c r="K262" s="101">
        <f t="shared" si="56"/>
        <v>1.4238384130670347</v>
      </c>
      <c r="L262" s="101">
        <f t="shared" si="56"/>
        <v>0.67654463695392009</v>
      </c>
      <c r="M262" s="101">
        <f t="shared" si="56"/>
        <v>1.1372082935056307</v>
      </c>
      <c r="N262" s="101">
        <f t="shared" si="56"/>
        <v>1.3485242622503608</v>
      </c>
      <c r="O262" s="101">
        <f t="shared" si="56"/>
        <v>0.61853047742426237</v>
      </c>
      <c r="P262" s="101">
        <f t="shared" si="56"/>
        <v>1.3339792247565812</v>
      </c>
      <c r="Q262" s="101">
        <f t="shared" si="56"/>
        <v>1.3339792247565812</v>
      </c>
      <c r="R262" s="101">
        <f t="shared" si="56"/>
        <v>1.336399406905687</v>
      </c>
      <c r="S262" s="101">
        <f t="shared" si="56"/>
        <v>5.1463601532567056</v>
      </c>
      <c r="T262" s="101">
        <f t="shared" si="56"/>
        <v>5.1463601532567056</v>
      </c>
      <c r="U262" s="101">
        <f t="shared" si="56"/>
        <v>5.1463601532567056</v>
      </c>
      <c r="V262" s="101">
        <f t="shared" si="56"/>
        <v>5.1463601532567056</v>
      </c>
      <c r="W262" s="101">
        <f t="shared" si="56"/>
        <v>5.1463601532567056</v>
      </c>
      <c r="X262" s="101">
        <f t="shared" si="56"/>
        <v>1.0032358112573923</v>
      </c>
      <c r="Y262" s="101">
        <f t="shared" si="56"/>
        <v>1.0519517197941668</v>
      </c>
      <c r="Z262" s="101">
        <f t="shared" si="56"/>
        <v>1.6476922696295766</v>
      </c>
      <c r="AA262" s="101">
        <f t="shared" si="56"/>
        <v>1.0143676975738083</v>
      </c>
      <c r="AB262" s="101">
        <f t="shared" si="56"/>
        <v>11.336470588235295</v>
      </c>
      <c r="AC262" s="101">
        <f t="shared" si="56"/>
        <v>1</v>
      </c>
      <c r="AD262" s="101">
        <f t="shared" si="56"/>
        <v>1</v>
      </c>
      <c r="AE262" s="101">
        <f t="shared" si="56"/>
        <v>1</v>
      </c>
      <c r="AF262" s="101">
        <f t="shared" si="56"/>
        <v>1</v>
      </c>
      <c r="AG262" s="101">
        <f t="shared" si="56"/>
        <v>5.1463601532567056</v>
      </c>
      <c r="AH262" s="101">
        <f t="shared" si="56"/>
        <v>5.1463601532567056</v>
      </c>
      <c r="AI262" s="101">
        <f t="shared" si="56"/>
        <v>1</v>
      </c>
      <c r="AJ262" s="101">
        <f t="shared" si="56"/>
        <v>1</v>
      </c>
      <c r="AK262" s="101">
        <f t="shared" si="56"/>
        <v>5.1463601532567056</v>
      </c>
      <c r="AL262" s="101">
        <f t="shared" si="56"/>
        <v>5.1463601532567056</v>
      </c>
      <c r="AM262" s="101">
        <f t="shared" si="56"/>
        <v>1</v>
      </c>
      <c r="AN262" s="101">
        <f t="shared" si="56"/>
        <v>1</v>
      </c>
      <c r="AO262" s="101">
        <f t="shared" si="56"/>
        <v>5.1463601532567056</v>
      </c>
      <c r="AP262" s="101">
        <f t="shared" si="56"/>
        <v>5.1463601532567056</v>
      </c>
    </row>
    <row r="263" spans="5:42" x14ac:dyDescent="0.25">
      <c r="F263" s="165" t="s">
        <v>232</v>
      </c>
      <c r="G263" s="28" t="s">
        <v>342</v>
      </c>
      <c r="J263" s="101">
        <f t="shared" ref="J263:AP263" si="57">SUMPRODUCT(J231:J233,J$43:J$45,J$253:J$255) * hours_in_year</f>
        <v>0</v>
      </c>
      <c r="K263" s="101">
        <f t="shared" si="57"/>
        <v>0</v>
      </c>
      <c r="L263" s="101">
        <f t="shared" si="57"/>
        <v>0</v>
      </c>
      <c r="M263" s="101">
        <f t="shared" si="57"/>
        <v>0</v>
      </c>
      <c r="N263" s="101">
        <f t="shared" si="57"/>
        <v>0</v>
      </c>
      <c r="O263" s="101">
        <f t="shared" si="57"/>
        <v>0</v>
      </c>
      <c r="P263" s="101">
        <f t="shared" si="57"/>
        <v>0</v>
      </c>
      <c r="Q263" s="101">
        <f t="shared" si="57"/>
        <v>0</v>
      </c>
      <c r="R263" s="101">
        <f t="shared" si="57"/>
        <v>0</v>
      </c>
      <c r="S263" s="101">
        <f t="shared" si="57"/>
        <v>0</v>
      </c>
      <c r="T263" s="101">
        <f t="shared" si="57"/>
        <v>0</v>
      </c>
      <c r="U263" s="101">
        <f t="shared" si="57"/>
        <v>0</v>
      </c>
      <c r="V263" s="101">
        <f t="shared" si="57"/>
        <v>0</v>
      </c>
      <c r="W263" s="101">
        <f t="shared" si="57"/>
        <v>0</v>
      </c>
      <c r="X263" s="101">
        <f t="shared" si="57"/>
        <v>0</v>
      </c>
      <c r="Y263" s="101">
        <f t="shared" si="57"/>
        <v>0</v>
      </c>
      <c r="Z263" s="101">
        <f t="shared" si="57"/>
        <v>0</v>
      </c>
      <c r="AA263" s="101">
        <f t="shared" si="57"/>
        <v>0</v>
      </c>
      <c r="AB263" s="101">
        <f t="shared" si="57"/>
        <v>0</v>
      </c>
      <c r="AC263" s="101">
        <f t="shared" si="57"/>
        <v>0</v>
      </c>
      <c r="AD263" s="101">
        <f t="shared" si="57"/>
        <v>0</v>
      </c>
      <c r="AE263" s="101">
        <f t="shared" si="57"/>
        <v>0</v>
      </c>
      <c r="AF263" s="101">
        <f t="shared" si="57"/>
        <v>0</v>
      </c>
      <c r="AG263" s="101">
        <f t="shared" si="57"/>
        <v>0</v>
      </c>
      <c r="AH263" s="101">
        <f t="shared" si="57"/>
        <v>0</v>
      </c>
      <c r="AI263" s="101">
        <f t="shared" si="57"/>
        <v>0</v>
      </c>
      <c r="AJ263" s="101">
        <f t="shared" si="57"/>
        <v>0</v>
      </c>
      <c r="AK263" s="101">
        <f t="shared" si="57"/>
        <v>0</v>
      </c>
      <c r="AL263" s="101">
        <f t="shared" si="57"/>
        <v>0</v>
      </c>
      <c r="AM263" s="101">
        <f t="shared" si="57"/>
        <v>0</v>
      </c>
      <c r="AN263" s="101">
        <f t="shared" si="57"/>
        <v>0</v>
      </c>
      <c r="AO263" s="101">
        <f t="shared" si="57"/>
        <v>0</v>
      </c>
      <c r="AP263" s="101">
        <f t="shared" si="57"/>
        <v>0</v>
      </c>
    </row>
    <row r="264" spans="5:42" x14ac:dyDescent="0.25">
      <c r="F264" s="165" t="s">
        <v>233</v>
      </c>
      <c r="G264" s="28" t="s">
        <v>342</v>
      </c>
      <c r="J264" s="101">
        <f t="shared" ref="J264:AP264" si="58">SUMPRODUCT(J236:J238,J$43:J$45,J$253:J$255) * hours_in_year</f>
        <v>1.2019404046638895</v>
      </c>
      <c r="K264" s="101">
        <f t="shared" si="58"/>
        <v>1.4238384130670347</v>
      </c>
      <c r="L264" s="101">
        <f t="shared" si="58"/>
        <v>0.67654463695392009</v>
      </c>
      <c r="M264" s="101">
        <f t="shared" si="58"/>
        <v>1.1372082935056307</v>
      </c>
      <c r="N264" s="101">
        <f t="shared" si="58"/>
        <v>1.3485242622503608</v>
      </c>
      <c r="O264" s="101">
        <f t="shared" si="58"/>
        <v>0.61853047742426237</v>
      </c>
      <c r="P264" s="101">
        <f t="shared" si="58"/>
        <v>1.3339792247565812</v>
      </c>
      <c r="Q264" s="101">
        <f t="shared" si="58"/>
        <v>1.3339792247565812</v>
      </c>
      <c r="R264" s="101">
        <f t="shared" si="58"/>
        <v>1.336399406905687</v>
      </c>
      <c r="S264" s="101">
        <f t="shared" si="58"/>
        <v>5.1463601532567056</v>
      </c>
      <c r="T264" s="101">
        <f t="shared" si="58"/>
        <v>5.1463601532567056</v>
      </c>
      <c r="U264" s="101">
        <f t="shared" si="58"/>
        <v>5.1463601532567056</v>
      </c>
      <c r="V264" s="101">
        <f t="shared" si="58"/>
        <v>5.1463601532567056</v>
      </c>
      <c r="W264" s="101">
        <f t="shared" si="58"/>
        <v>5.1463601532567056</v>
      </c>
      <c r="X264" s="101">
        <f t="shared" si="58"/>
        <v>1.0032358112573923</v>
      </c>
      <c r="Y264" s="101">
        <f t="shared" si="58"/>
        <v>1.0519517197941668</v>
      </c>
      <c r="Z264" s="101">
        <f t="shared" si="58"/>
        <v>1.6476922696295766</v>
      </c>
      <c r="AA264" s="101">
        <f t="shared" si="58"/>
        <v>1.0143676975738083</v>
      </c>
      <c r="AB264" s="101">
        <f t="shared" si="58"/>
        <v>11.336470588235295</v>
      </c>
      <c r="AC264" s="101">
        <f t="shared" si="58"/>
        <v>1</v>
      </c>
      <c r="AD264" s="101">
        <f t="shared" si="58"/>
        <v>1</v>
      </c>
      <c r="AE264" s="101">
        <f t="shared" si="58"/>
        <v>1</v>
      </c>
      <c r="AF264" s="101">
        <f t="shared" si="58"/>
        <v>1</v>
      </c>
      <c r="AG264" s="101">
        <f t="shared" si="58"/>
        <v>5.1463601532567056</v>
      </c>
      <c r="AH264" s="101">
        <f t="shared" si="58"/>
        <v>5.1463601532567056</v>
      </c>
      <c r="AI264" s="101">
        <f t="shared" si="58"/>
        <v>1</v>
      </c>
      <c r="AJ264" s="101">
        <f t="shared" si="58"/>
        <v>1</v>
      </c>
      <c r="AK264" s="101">
        <f t="shared" si="58"/>
        <v>5.1463601532567056</v>
      </c>
      <c r="AL264" s="101">
        <f t="shared" si="58"/>
        <v>5.1463601532567056</v>
      </c>
      <c r="AM264" s="101">
        <f t="shared" si="58"/>
        <v>1</v>
      </c>
      <c r="AN264" s="101">
        <f t="shared" si="58"/>
        <v>1</v>
      </c>
      <c r="AO264" s="101">
        <f t="shared" si="58"/>
        <v>5.1463601532567056</v>
      </c>
      <c r="AP264" s="101">
        <f t="shared" si="58"/>
        <v>5.1463601532567056</v>
      </c>
    </row>
    <row r="265" spans="5:42" x14ac:dyDescent="0.25">
      <c r="F265" s="165" t="s">
        <v>234</v>
      </c>
      <c r="G265" s="28" t="s">
        <v>342</v>
      </c>
      <c r="J265" s="101">
        <f t="shared" ref="J265:AP265" si="59">SUMPRODUCT(J241:J243,J$43:J$45,J$253:J$255) * hours_in_year</f>
        <v>1.2019404046638895</v>
      </c>
      <c r="K265" s="101">
        <f t="shared" si="59"/>
        <v>1.4238384130670347</v>
      </c>
      <c r="L265" s="101">
        <f t="shared" si="59"/>
        <v>0.67654463695392009</v>
      </c>
      <c r="M265" s="101">
        <f t="shared" si="59"/>
        <v>1.1372082935056307</v>
      </c>
      <c r="N265" s="101">
        <f t="shared" si="59"/>
        <v>1.3485242622503608</v>
      </c>
      <c r="O265" s="101">
        <f t="shared" si="59"/>
        <v>0.61853047742426237</v>
      </c>
      <c r="P265" s="101">
        <f t="shared" si="59"/>
        <v>1.3339792247565812</v>
      </c>
      <c r="Q265" s="101">
        <f t="shared" si="59"/>
        <v>1.3339792247565812</v>
      </c>
      <c r="R265" s="101">
        <f t="shared" si="59"/>
        <v>1.336399406905687</v>
      </c>
      <c r="S265" s="101">
        <f t="shared" si="59"/>
        <v>5.1463601532567056</v>
      </c>
      <c r="T265" s="101">
        <f t="shared" si="59"/>
        <v>5.1463601532567056</v>
      </c>
      <c r="U265" s="101">
        <f t="shared" si="59"/>
        <v>5.1463601532567056</v>
      </c>
      <c r="V265" s="101">
        <f t="shared" si="59"/>
        <v>5.1463601532567056</v>
      </c>
      <c r="W265" s="101">
        <f t="shared" si="59"/>
        <v>5.1463601532567056</v>
      </c>
      <c r="X265" s="101">
        <f t="shared" si="59"/>
        <v>1.0032358112573923</v>
      </c>
      <c r="Y265" s="101">
        <f t="shared" si="59"/>
        <v>1.0519517197941668</v>
      </c>
      <c r="Z265" s="101">
        <f t="shared" si="59"/>
        <v>1.6476922696295766</v>
      </c>
      <c r="AA265" s="101">
        <f t="shared" si="59"/>
        <v>1.0143676975738083</v>
      </c>
      <c r="AB265" s="101">
        <f t="shared" si="59"/>
        <v>11.336470588235295</v>
      </c>
      <c r="AC265" s="101">
        <f t="shared" si="59"/>
        <v>1</v>
      </c>
      <c r="AD265" s="101">
        <f t="shared" si="59"/>
        <v>1</v>
      </c>
      <c r="AE265" s="101">
        <f t="shared" si="59"/>
        <v>1</v>
      </c>
      <c r="AF265" s="101">
        <f t="shared" si="59"/>
        <v>1</v>
      </c>
      <c r="AG265" s="101">
        <f t="shared" si="59"/>
        <v>5.1463601532567056</v>
      </c>
      <c r="AH265" s="101">
        <f t="shared" si="59"/>
        <v>5.1463601532567056</v>
      </c>
      <c r="AI265" s="101">
        <f t="shared" si="59"/>
        <v>1</v>
      </c>
      <c r="AJ265" s="101">
        <f t="shared" si="59"/>
        <v>1</v>
      </c>
      <c r="AK265" s="101">
        <f t="shared" si="59"/>
        <v>5.1463601532567056</v>
      </c>
      <c r="AL265" s="101">
        <f t="shared" si="59"/>
        <v>5.1463601532567056</v>
      </c>
      <c r="AM265" s="101">
        <f t="shared" si="59"/>
        <v>1</v>
      </c>
      <c r="AN265" s="101">
        <f t="shared" si="59"/>
        <v>1</v>
      </c>
      <c r="AO265" s="101">
        <f t="shared" si="59"/>
        <v>5.1463601532567056</v>
      </c>
      <c r="AP265" s="101">
        <f t="shared" si="59"/>
        <v>5.1463601532567056</v>
      </c>
    </row>
    <row r="266" spans="5:42" x14ac:dyDescent="0.25">
      <c r="F266" s="166" t="s">
        <v>235</v>
      </c>
      <c r="G266" s="67" t="s">
        <v>342</v>
      </c>
      <c r="H266" s="37"/>
      <c r="I266" s="37"/>
      <c r="J266" s="103">
        <f t="shared" ref="J266:AP266" si="60">SUMPRODUCT(J246:J248,J$43:J$45,J$253:J$255) * hours_in_year</f>
        <v>1.2019404046638895</v>
      </c>
      <c r="K266" s="103">
        <f t="shared" si="60"/>
        <v>1.4238384130670347</v>
      </c>
      <c r="L266" s="103">
        <f t="shared" si="60"/>
        <v>0.67654463695392009</v>
      </c>
      <c r="M266" s="103">
        <f t="shared" si="60"/>
        <v>1.1372082935056307</v>
      </c>
      <c r="N266" s="103">
        <f t="shared" si="60"/>
        <v>1.3485242622503608</v>
      </c>
      <c r="O266" s="103">
        <f t="shared" si="60"/>
        <v>0.61853047742426237</v>
      </c>
      <c r="P266" s="103">
        <f t="shared" si="60"/>
        <v>1.3339792247565812</v>
      </c>
      <c r="Q266" s="103">
        <f t="shared" si="60"/>
        <v>1.3339792247565812</v>
      </c>
      <c r="R266" s="103">
        <f t="shared" si="60"/>
        <v>1.336399406905687</v>
      </c>
      <c r="S266" s="103">
        <f t="shared" si="60"/>
        <v>5.1463601532567056</v>
      </c>
      <c r="T266" s="103">
        <f t="shared" si="60"/>
        <v>5.1463601532567056</v>
      </c>
      <c r="U266" s="103">
        <f t="shared" si="60"/>
        <v>5.1463601532567056</v>
      </c>
      <c r="V266" s="103">
        <f t="shared" si="60"/>
        <v>5.1463601532567056</v>
      </c>
      <c r="W266" s="103">
        <f t="shared" si="60"/>
        <v>5.1463601532567056</v>
      </c>
      <c r="X266" s="103">
        <f t="shared" si="60"/>
        <v>1.0032358112573923</v>
      </c>
      <c r="Y266" s="103">
        <f t="shared" si="60"/>
        <v>1.0519517197941668</v>
      </c>
      <c r="Z266" s="103">
        <f t="shared" si="60"/>
        <v>1.6476922696295766</v>
      </c>
      <c r="AA266" s="103">
        <f t="shared" si="60"/>
        <v>1.0143676975738083</v>
      </c>
      <c r="AB266" s="103">
        <f t="shared" si="60"/>
        <v>11.336470588235295</v>
      </c>
      <c r="AC266" s="103">
        <f t="shared" si="60"/>
        <v>1</v>
      </c>
      <c r="AD266" s="103">
        <f t="shared" si="60"/>
        <v>1</v>
      </c>
      <c r="AE266" s="103">
        <f t="shared" si="60"/>
        <v>1</v>
      </c>
      <c r="AF266" s="103">
        <f t="shared" si="60"/>
        <v>1</v>
      </c>
      <c r="AG266" s="103">
        <f t="shared" si="60"/>
        <v>5.1463601532567056</v>
      </c>
      <c r="AH266" s="103">
        <f t="shared" si="60"/>
        <v>5.1463601532567056</v>
      </c>
      <c r="AI266" s="103">
        <f t="shared" si="60"/>
        <v>1</v>
      </c>
      <c r="AJ266" s="103">
        <f t="shared" si="60"/>
        <v>1</v>
      </c>
      <c r="AK266" s="103">
        <f t="shared" si="60"/>
        <v>5.1463601532567056</v>
      </c>
      <c r="AL266" s="103">
        <f t="shared" si="60"/>
        <v>5.1463601532567056</v>
      </c>
      <c r="AM266" s="103">
        <f t="shared" si="60"/>
        <v>1</v>
      </c>
      <c r="AN266" s="103">
        <f t="shared" si="60"/>
        <v>1</v>
      </c>
      <c r="AO266" s="103">
        <f t="shared" si="60"/>
        <v>5.1463601532567056</v>
      </c>
      <c r="AP266" s="103">
        <f t="shared" si="60"/>
        <v>5.1463601532567056</v>
      </c>
    </row>
    <row r="267" spans="5:42" x14ac:dyDescent="0.25">
      <c r="G267" s="28"/>
      <c r="J267" s="101"/>
      <c r="K267" s="101"/>
      <c r="L267" s="101"/>
      <c r="M267" s="101"/>
      <c r="N267" s="101"/>
      <c r="O267" s="101"/>
      <c r="P267" s="101"/>
      <c r="Q267" s="101"/>
      <c r="R267" s="101"/>
      <c r="S267" s="101"/>
      <c r="T267" s="101"/>
      <c r="U267" s="101"/>
      <c r="V267" s="101"/>
      <c r="W267" s="101"/>
      <c r="X267" s="101"/>
      <c r="Y267" s="101"/>
      <c r="Z267" s="101"/>
      <c r="AA267" s="101"/>
      <c r="AB267" s="101"/>
      <c r="AC267" s="101"/>
      <c r="AD267" s="101"/>
      <c r="AE267" s="101"/>
      <c r="AF267" s="101"/>
      <c r="AG267" s="101"/>
      <c r="AH267" s="101"/>
      <c r="AI267" s="101"/>
      <c r="AJ267" s="101"/>
      <c r="AK267" s="101"/>
      <c r="AL267" s="101"/>
      <c r="AM267" s="101"/>
      <c r="AN267" s="101"/>
      <c r="AO267" s="101"/>
      <c r="AP267" s="101"/>
    </row>
    <row r="268" spans="5:42" x14ac:dyDescent="0.25">
      <c r="E268" s="32" t="s">
        <v>193</v>
      </c>
      <c r="G268" s="28"/>
      <c r="J268" s="92"/>
      <c r="K268" s="92"/>
      <c r="L268" s="92"/>
      <c r="M268" s="92"/>
      <c r="N268" s="92"/>
      <c r="O268" s="92"/>
      <c r="P268" s="92"/>
      <c r="Q268" s="92"/>
      <c r="R268" s="92"/>
      <c r="S268" s="92"/>
      <c r="T268" s="92"/>
      <c r="U268" s="92"/>
      <c r="V268" s="92"/>
      <c r="W268" s="92"/>
      <c r="X268" s="92"/>
      <c r="Y268" s="92"/>
      <c r="Z268" s="92"/>
      <c r="AA268" s="92"/>
      <c r="AB268" s="92"/>
      <c r="AC268" s="92"/>
      <c r="AD268" s="92"/>
      <c r="AE268" s="92"/>
      <c r="AF268" s="92"/>
      <c r="AG268" s="92"/>
      <c r="AH268" s="92"/>
      <c r="AI268" s="92"/>
      <c r="AJ268" s="92"/>
      <c r="AK268" s="92"/>
      <c r="AL268" s="92"/>
      <c r="AM268" s="92"/>
      <c r="AN268" s="92"/>
      <c r="AO268" s="92"/>
      <c r="AP268" s="92"/>
    </row>
    <row r="269" spans="5:42" x14ac:dyDescent="0.25">
      <c r="F269" s="64" t="s">
        <v>227</v>
      </c>
      <c r="G269" s="64" t="s">
        <v>342</v>
      </c>
      <c r="H269" s="23"/>
      <c r="I269" s="23"/>
      <c r="J269" s="129">
        <f t="shared" ref="J269:AP269" si="61">SUMPRODUCT(J206:J208,J$52:J$54,J$253:J$255) * hours_in_year</f>
        <v>0</v>
      </c>
      <c r="K269" s="129">
        <f t="shared" si="61"/>
        <v>0.46568023472841202</v>
      </c>
      <c r="L269" s="129">
        <f t="shared" si="61"/>
        <v>0</v>
      </c>
      <c r="M269" s="129">
        <f t="shared" si="61"/>
        <v>0</v>
      </c>
      <c r="N269" s="129">
        <f t="shared" si="61"/>
        <v>0.3798903018028002</v>
      </c>
      <c r="O269" s="129">
        <f t="shared" si="61"/>
        <v>0</v>
      </c>
      <c r="P269" s="129">
        <f t="shared" si="61"/>
        <v>0.40859244482232721</v>
      </c>
      <c r="Q269" s="129">
        <f t="shared" si="61"/>
        <v>0.40859244482232721</v>
      </c>
      <c r="R269" s="129">
        <f t="shared" si="61"/>
        <v>0.40601185930223838</v>
      </c>
      <c r="S269" s="129">
        <f t="shared" si="61"/>
        <v>0.75700783148798267</v>
      </c>
      <c r="T269" s="129">
        <f t="shared" si="61"/>
        <v>0.75700783148798267</v>
      </c>
      <c r="U269" s="129">
        <f t="shared" si="61"/>
        <v>0.75700783148798267</v>
      </c>
      <c r="V269" s="129">
        <f t="shared" si="61"/>
        <v>0.75700783148798267</v>
      </c>
      <c r="W269" s="129">
        <f t="shared" si="61"/>
        <v>0.75700783148798267</v>
      </c>
      <c r="X269" s="129">
        <f t="shared" si="61"/>
        <v>0</v>
      </c>
      <c r="Y269" s="129">
        <f t="shared" si="61"/>
        <v>0</v>
      </c>
      <c r="Z269" s="129">
        <f t="shared" si="61"/>
        <v>0</v>
      </c>
      <c r="AA269" s="129">
        <f t="shared" si="61"/>
        <v>0</v>
      </c>
      <c r="AB269" s="129">
        <f t="shared" si="61"/>
        <v>0.91099030961947547</v>
      </c>
      <c r="AC269" s="129">
        <f t="shared" si="61"/>
        <v>0</v>
      </c>
      <c r="AD269" s="129">
        <f t="shared" si="61"/>
        <v>0</v>
      </c>
      <c r="AE269" s="129">
        <f t="shared" si="61"/>
        <v>0</v>
      </c>
      <c r="AF269" s="129">
        <f t="shared" si="61"/>
        <v>0</v>
      </c>
      <c r="AG269" s="129">
        <f t="shared" si="61"/>
        <v>0.75700783148798267</v>
      </c>
      <c r="AH269" s="129">
        <f t="shared" si="61"/>
        <v>0.75700783148798267</v>
      </c>
      <c r="AI269" s="129">
        <f t="shared" si="61"/>
        <v>0</v>
      </c>
      <c r="AJ269" s="129">
        <f t="shared" si="61"/>
        <v>0</v>
      </c>
      <c r="AK269" s="129">
        <f t="shared" si="61"/>
        <v>0.75700783148798267</v>
      </c>
      <c r="AL269" s="129">
        <f t="shared" si="61"/>
        <v>0.75700783148798267</v>
      </c>
      <c r="AM269" s="129">
        <f t="shared" si="61"/>
        <v>0</v>
      </c>
      <c r="AN269" s="129">
        <f t="shared" si="61"/>
        <v>0</v>
      </c>
      <c r="AO269" s="129">
        <f t="shared" si="61"/>
        <v>0.75700783148798267</v>
      </c>
      <c r="AP269" s="129">
        <f t="shared" si="61"/>
        <v>0.75700783148798267</v>
      </c>
    </row>
    <row r="270" spans="5:42" x14ac:dyDescent="0.25">
      <c r="F270" s="28" t="s">
        <v>228</v>
      </c>
      <c r="G270" s="28" t="s">
        <v>342</v>
      </c>
      <c r="J270" s="101">
        <f t="shared" ref="J270:AP270" si="62">SUMPRODUCT(J211:J213,J$52:J$54,J$253:J$255) * hours_in_year</f>
        <v>0</v>
      </c>
      <c r="K270" s="101">
        <f t="shared" si="62"/>
        <v>0</v>
      </c>
      <c r="L270" s="101">
        <f t="shared" si="62"/>
        <v>0</v>
      </c>
      <c r="M270" s="101">
        <f t="shared" si="62"/>
        <v>0</v>
      </c>
      <c r="N270" s="101">
        <f t="shared" si="62"/>
        <v>0</v>
      </c>
      <c r="O270" s="101">
        <f t="shared" si="62"/>
        <v>0</v>
      </c>
      <c r="P270" s="101">
        <f t="shared" si="62"/>
        <v>0</v>
      </c>
      <c r="Q270" s="101">
        <f t="shared" si="62"/>
        <v>0</v>
      </c>
      <c r="R270" s="101">
        <f t="shared" si="62"/>
        <v>0</v>
      </c>
      <c r="S270" s="101">
        <f t="shared" si="62"/>
        <v>0</v>
      </c>
      <c r="T270" s="101">
        <f t="shared" si="62"/>
        <v>0</v>
      </c>
      <c r="U270" s="101">
        <f t="shared" si="62"/>
        <v>0</v>
      </c>
      <c r="V270" s="101">
        <f t="shared" si="62"/>
        <v>0</v>
      </c>
      <c r="W270" s="101">
        <f t="shared" si="62"/>
        <v>0</v>
      </c>
      <c r="X270" s="101">
        <f t="shared" si="62"/>
        <v>0</v>
      </c>
      <c r="Y270" s="101">
        <f t="shared" si="62"/>
        <v>0</v>
      </c>
      <c r="Z270" s="101">
        <f t="shared" si="62"/>
        <v>0</v>
      </c>
      <c r="AA270" s="101">
        <f t="shared" si="62"/>
        <v>0</v>
      </c>
      <c r="AB270" s="101">
        <f t="shared" si="62"/>
        <v>0</v>
      </c>
      <c r="AC270" s="101">
        <f t="shared" si="62"/>
        <v>0</v>
      </c>
      <c r="AD270" s="101">
        <f t="shared" si="62"/>
        <v>0</v>
      </c>
      <c r="AE270" s="101">
        <f t="shared" si="62"/>
        <v>0</v>
      </c>
      <c r="AF270" s="101">
        <f t="shared" si="62"/>
        <v>0</v>
      </c>
      <c r="AG270" s="101">
        <f t="shared" si="62"/>
        <v>0</v>
      </c>
      <c r="AH270" s="101">
        <f t="shared" si="62"/>
        <v>0</v>
      </c>
      <c r="AI270" s="101">
        <f t="shared" si="62"/>
        <v>0</v>
      </c>
      <c r="AJ270" s="101">
        <f t="shared" si="62"/>
        <v>0</v>
      </c>
      <c r="AK270" s="101">
        <f t="shared" si="62"/>
        <v>0</v>
      </c>
      <c r="AL270" s="101">
        <f t="shared" si="62"/>
        <v>0</v>
      </c>
      <c r="AM270" s="101">
        <f t="shared" si="62"/>
        <v>0</v>
      </c>
      <c r="AN270" s="101">
        <f t="shared" si="62"/>
        <v>0</v>
      </c>
      <c r="AO270" s="101">
        <f t="shared" si="62"/>
        <v>0</v>
      </c>
      <c r="AP270" s="101">
        <f t="shared" si="62"/>
        <v>0</v>
      </c>
    </row>
    <row r="271" spans="5:42" x14ac:dyDescent="0.25">
      <c r="F271" s="28" t="s">
        <v>229</v>
      </c>
      <c r="G271" s="28" t="s">
        <v>342</v>
      </c>
      <c r="J271" s="101">
        <f t="shared" ref="J271:AP271" si="63">SUMPRODUCT(J216:J218,J$52:J$54,J$253:J$255) * hours_in_year</f>
        <v>0</v>
      </c>
      <c r="K271" s="101">
        <f t="shared" si="63"/>
        <v>0</v>
      </c>
      <c r="L271" s="101">
        <f t="shared" si="63"/>
        <v>0</v>
      </c>
      <c r="M271" s="101">
        <f t="shared" si="63"/>
        <v>0</v>
      </c>
      <c r="N271" s="101">
        <f t="shared" si="63"/>
        <v>0</v>
      </c>
      <c r="O271" s="101">
        <f t="shared" si="63"/>
        <v>0</v>
      </c>
      <c r="P271" s="101">
        <f t="shared" si="63"/>
        <v>0</v>
      </c>
      <c r="Q271" s="101">
        <f t="shared" si="63"/>
        <v>0</v>
      </c>
      <c r="R271" s="101">
        <f t="shared" si="63"/>
        <v>0</v>
      </c>
      <c r="S271" s="101">
        <f t="shared" si="63"/>
        <v>0</v>
      </c>
      <c r="T271" s="101">
        <f t="shared" si="63"/>
        <v>0</v>
      </c>
      <c r="U271" s="101">
        <f t="shared" si="63"/>
        <v>0</v>
      </c>
      <c r="V271" s="101">
        <f t="shared" si="63"/>
        <v>0</v>
      </c>
      <c r="W271" s="101">
        <f t="shared" si="63"/>
        <v>0</v>
      </c>
      <c r="X271" s="101">
        <f t="shared" si="63"/>
        <v>0</v>
      </c>
      <c r="Y271" s="101">
        <f t="shared" si="63"/>
        <v>0</v>
      </c>
      <c r="Z271" s="101">
        <f t="shared" si="63"/>
        <v>0</v>
      </c>
      <c r="AA271" s="101">
        <f t="shared" si="63"/>
        <v>0</v>
      </c>
      <c r="AB271" s="101">
        <f t="shared" si="63"/>
        <v>0</v>
      </c>
      <c r="AC271" s="101">
        <f t="shared" si="63"/>
        <v>0</v>
      </c>
      <c r="AD271" s="101">
        <f t="shared" si="63"/>
        <v>0</v>
      </c>
      <c r="AE271" s="101">
        <f t="shared" si="63"/>
        <v>0</v>
      </c>
      <c r="AF271" s="101">
        <f t="shared" si="63"/>
        <v>0</v>
      </c>
      <c r="AG271" s="101">
        <f t="shared" si="63"/>
        <v>0</v>
      </c>
      <c r="AH271" s="101">
        <f t="shared" si="63"/>
        <v>0</v>
      </c>
      <c r="AI271" s="101">
        <f t="shared" si="63"/>
        <v>0</v>
      </c>
      <c r="AJ271" s="101">
        <f t="shared" si="63"/>
        <v>0</v>
      </c>
      <c r="AK271" s="101">
        <f t="shared" si="63"/>
        <v>0</v>
      </c>
      <c r="AL271" s="101">
        <f t="shared" si="63"/>
        <v>0</v>
      </c>
      <c r="AM271" s="101">
        <f t="shared" si="63"/>
        <v>0</v>
      </c>
      <c r="AN271" s="101">
        <f t="shared" si="63"/>
        <v>0</v>
      </c>
      <c r="AO271" s="101">
        <f t="shared" si="63"/>
        <v>0</v>
      </c>
      <c r="AP271" s="101">
        <f t="shared" si="63"/>
        <v>0</v>
      </c>
    </row>
    <row r="272" spans="5:42" x14ac:dyDescent="0.25">
      <c r="F272" s="28" t="s">
        <v>230</v>
      </c>
      <c r="G272" s="28" t="s">
        <v>342</v>
      </c>
      <c r="J272" s="101">
        <f t="shared" ref="J272:AP272" si="64">SUMPRODUCT(J221:J223,J$52:J$54,J$253:J$255) * hours_in_year</f>
        <v>0</v>
      </c>
      <c r="K272" s="101">
        <f t="shared" si="64"/>
        <v>0.50478226224001987</v>
      </c>
      <c r="L272" s="101">
        <f t="shared" si="64"/>
        <v>0</v>
      </c>
      <c r="M272" s="101">
        <f t="shared" si="64"/>
        <v>0</v>
      </c>
      <c r="N272" s="101">
        <f t="shared" si="64"/>
        <v>0.42318690911540574</v>
      </c>
      <c r="O272" s="101">
        <f t="shared" si="64"/>
        <v>0</v>
      </c>
      <c r="P272" s="101">
        <f t="shared" si="64"/>
        <v>0.45399847163400642</v>
      </c>
      <c r="Q272" s="101">
        <f t="shared" si="64"/>
        <v>0.45399847163400642</v>
      </c>
      <c r="R272" s="101">
        <f t="shared" si="64"/>
        <v>0.45122854692136299</v>
      </c>
      <c r="S272" s="101">
        <f t="shared" si="64"/>
        <v>0.82797731568998101</v>
      </c>
      <c r="T272" s="101">
        <f t="shared" si="64"/>
        <v>0.82797731568998101</v>
      </c>
      <c r="U272" s="101">
        <f t="shared" si="64"/>
        <v>0.82797731568998101</v>
      </c>
      <c r="V272" s="101">
        <f t="shared" si="64"/>
        <v>0.82797731568998101</v>
      </c>
      <c r="W272" s="101">
        <f t="shared" si="64"/>
        <v>0.82797731568998101</v>
      </c>
      <c r="X272" s="101">
        <f t="shared" si="64"/>
        <v>0</v>
      </c>
      <c r="Y272" s="101">
        <f t="shared" si="64"/>
        <v>0</v>
      </c>
      <c r="Z272" s="101">
        <f t="shared" si="64"/>
        <v>0</v>
      </c>
      <c r="AA272" s="101">
        <f t="shared" si="64"/>
        <v>0</v>
      </c>
      <c r="AB272" s="101">
        <f t="shared" si="64"/>
        <v>0.99380761049397315</v>
      </c>
      <c r="AC272" s="101">
        <f t="shared" si="64"/>
        <v>0</v>
      </c>
      <c r="AD272" s="101">
        <f t="shared" si="64"/>
        <v>0</v>
      </c>
      <c r="AE272" s="101">
        <f t="shared" si="64"/>
        <v>0</v>
      </c>
      <c r="AF272" s="101">
        <f t="shared" si="64"/>
        <v>0</v>
      </c>
      <c r="AG272" s="101">
        <f t="shared" si="64"/>
        <v>0.82797731568998101</v>
      </c>
      <c r="AH272" s="101">
        <f t="shared" si="64"/>
        <v>0.82797731568998101</v>
      </c>
      <c r="AI272" s="101">
        <f t="shared" si="64"/>
        <v>0</v>
      </c>
      <c r="AJ272" s="101">
        <f t="shared" si="64"/>
        <v>0</v>
      </c>
      <c r="AK272" s="101">
        <f t="shared" si="64"/>
        <v>0.82797731568998101</v>
      </c>
      <c r="AL272" s="101">
        <f t="shared" si="64"/>
        <v>0.82797731568998101</v>
      </c>
      <c r="AM272" s="101">
        <f t="shared" si="64"/>
        <v>0</v>
      </c>
      <c r="AN272" s="101">
        <f t="shared" si="64"/>
        <v>0</v>
      </c>
      <c r="AO272" s="101">
        <f t="shared" si="64"/>
        <v>0.82797731568998101</v>
      </c>
      <c r="AP272" s="101">
        <f t="shared" si="64"/>
        <v>0.82797731568998101</v>
      </c>
    </row>
    <row r="273" spans="5:42" x14ac:dyDescent="0.25">
      <c r="F273" s="28" t="s">
        <v>231</v>
      </c>
      <c r="G273" s="28" t="s">
        <v>342</v>
      </c>
      <c r="J273" s="101">
        <f t="shared" ref="J273:AP273" si="65">SUMPRODUCT(J226:J228,J$52:J$54,J$253:J$255) * hours_in_year</f>
        <v>0</v>
      </c>
      <c r="K273" s="101">
        <f t="shared" si="65"/>
        <v>0.50478226224001987</v>
      </c>
      <c r="L273" s="101">
        <f t="shared" si="65"/>
        <v>0</v>
      </c>
      <c r="M273" s="101">
        <f t="shared" si="65"/>
        <v>0</v>
      </c>
      <c r="N273" s="101">
        <f t="shared" si="65"/>
        <v>0.42318690911540574</v>
      </c>
      <c r="O273" s="101">
        <f t="shared" si="65"/>
        <v>0</v>
      </c>
      <c r="P273" s="101">
        <f t="shared" si="65"/>
        <v>0.45399847163400642</v>
      </c>
      <c r="Q273" s="101">
        <f t="shared" si="65"/>
        <v>0.45399847163400642</v>
      </c>
      <c r="R273" s="101">
        <f t="shared" si="65"/>
        <v>0.45122854692136299</v>
      </c>
      <c r="S273" s="101">
        <f t="shared" si="65"/>
        <v>0.82797731568998101</v>
      </c>
      <c r="T273" s="101">
        <f t="shared" si="65"/>
        <v>0.82797731568998101</v>
      </c>
      <c r="U273" s="101">
        <f t="shared" si="65"/>
        <v>0.82797731568998101</v>
      </c>
      <c r="V273" s="101">
        <f t="shared" si="65"/>
        <v>0.82797731568998101</v>
      </c>
      <c r="W273" s="101">
        <f t="shared" si="65"/>
        <v>0.82797731568998101</v>
      </c>
      <c r="X273" s="101">
        <f t="shared" si="65"/>
        <v>0</v>
      </c>
      <c r="Y273" s="101">
        <f t="shared" si="65"/>
        <v>0</v>
      </c>
      <c r="Z273" s="101">
        <f t="shared" si="65"/>
        <v>0</v>
      </c>
      <c r="AA273" s="101">
        <f t="shared" si="65"/>
        <v>0</v>
      </c>
      <c r="AB273" s="101">
        <f t="shared" si="65"/>
        <v>0.99380761049397315</v>
      </c>
      <c r="AC273" s="101">
        <f t="shared" si="65"/>
        <v>0</v>
      </c>
      <c r="AD273" s="101">
        <f t="shared" si="65"/>
        <v>0</v>
      </c>
      <c r="AE273" s="101">
        <f t="shared" si="65"/>
        <v>0</v>
      </c>
      <c r="AF273" s="101">
        <f t="shared" si="65"/>
        <v>0</v>
      </c>
      <c r="AG273" s="101">
        <f t="shared" si="65"/>
        <v>0.82797731568998101</v>
      </c>
      <c r="AH273" s="101">
        <f t="shared" si="65"/>
        <v>0.82797731568998101</v>
      </c>
      <c r="AI273" s="101">
        <f t="shared" si="65"/>
        <v>0</v>
      </c>
      <c r="AJ273" s="101">
        <f t="shared" si="65"/>
        <v>0</v>
      </c>
      <c r="AK273" s="101">
        <f t="shared" si="65"/>
        <v>0.82797731568998101</v>
      </c>
      <c r="AL273" s="101">
        <f t="shared" si="65"/>
        <v>0.82797731568998101</v>
      </c>
      <c r="AM273" s="101">
        <f t="shared" si="65"/>
        <v>0</v>
      </c>
      <c r="AN273" s="101">
        <f t="shared" si="65"/>
        <v>0</v>
      </c>
      <c r="AO273" s="101">
        <f t="shared" si="65"/>
        <v>0.82797731568998101</v>
      </c>
      <c r="AP273" s="101">
        <f t="shared" si="65"/>
        <v>0.82797731568998101</v>
      </c>
    </row>
    <row r="274" spans="5:42" x14ac:dyDescent="0.25">
      <c r="F274" s="28" t="s">
        <v>232</v>
      </c>
      <c r="G274" s="28" t="s">
        <v>342</v>
      </c>
      <c r="J274" s="101">
        <f t="shared" ref="J274:AP274" si="66">SUMPRODUCT(J231:J233,J$52:J$54,J$253:J$255) * hours_in_year</f>
        <v>0</v>
      </c>
      <c r="K274" s="101">
        <f t="shared" si="66"/>
        <v>0</v>
      </c>
      <c r="L274" s="101">
        <f t="shared" si="66"/>
        <v>0</v>
      </c>
      <c r="M274" s="101">
        <f t="shared" si="66"/>
        <v>0</v>
      </c>
      <c r="N274" s="101">
        <f t="shared" si="66"/>
        <v>0</v>
      </c>
      <c r="O274" s="101">
        <f t="shared" si="66"/>
        <v>0</v>
      </c>
      <c r="P274" s="101">
        <f t="shared" si="66"/>
        <v>0</v>
      </c>
      <c r="Q274" s="101">
        <f t="shared" si="66"/>
        <v>0</v>
      </c>
      <c r="R274" s="101">
        <f t="shared" si="66"/>
        <v>0</v>
      </c>
      <c r="S274" s="101">
        <f t="shared" si="66"/>
        <v>0</v>
      </c>
      <c r="T274" s="101">
        <f t="shared" si="66"/>
        <v>0</v>
      </c>
      <c r="U274" s="101">
        <f t="shared" si="66"/>
        <v>0</v>
      </c>
      <c r="V274" s="101">
        <f t="shared" si="66"/>
        <v>0</v>
      </c>
      <c r="W274" s="101">
        <f t="shared" si="66"/>
        <v>0</v>
      </c>
      <c r="X274" s="101">
        <f t="shared" si="66"/>
        <v>0</v>
      </c>
      <c r="Y274" s="101">
        <f t="shared" si="66"/>
        <v>0</v>
      </c>
      <c r="Z274" s="101">
        <f t="shared" si="66"/>
        <v>0</v>
      </c>
      <c r="AA274" s="101">
        <f t="shared" si="66"/>
        <v>0</v>
      </c>
      <c r="AB274" s="101">
        <f t="shared" si="66"/>
        <v>0</v>
      </c>
      <c r="AC274" s="101">
        <f t="shared" si="66"/>
        <v>0</v>
      </c>
      <c r="AD274" s="101">
        <f t="shared" si="66"/>
        <v>0</v>
      </c>
      <c r="AE274" s="101">
        <f t="shared" si="66"/>
        <v>0</v>
      </c>
      <c r="AF274" s="101">
        <f t="shared" si="66"/>
        <v>0</v>
      </c>
      <c r="AG274" s="101">
        <f t="shared" si="66"/>
        <v>0</v>
      </c>
      <c r="AH274" s="101">
        <f t="shared" si="66"/>
        <v>0</v>
      </c>
      <c r="AI274" s="101">
        <f t="shared" si="66"/>
        <v>0</v>
      </c>
      <c r="AJ274" s="101">
        <f t="shared" si="66"/>
        <v>0</v>
      </c>
      <c r="AK274" s="101">
        <f t="shared" si="66"/>
        <v>0</v>
      </c>
      <c r="AL274" s="101">
        <f t="shared" si="66"/>
        <v>0</v>
      </c>
      <c r="AM274" s="101">
        <f t="shared" si="66"/>
        <v>0</v>
      </c>
      <c r="AN274" s="101">
        <f t="shared" si="66"/>
        <v>0</v>
      </c>
      <c r="AO274" s="101">
        <f t="shared" si="66"/>
        <v>0</v>
      </c>
      <c r="AP274" s="101">
        <f t="shared" si="66"/>
        <v>0</v>
      </c>
    </row>
    <row r="275" spans="5:42" x14ac:dyDescent="0.25">
      <c r="F275" s="28" t="s">
        <v>233</v>
      </c>
      <c r="G275" s="28" t="s">
        <v>342</v>
      </c>
      <c r="J275" s="101">
        <f t="shared" ref="J275:AP275" si="67">SUMPRODUCT(J236:J238,J$52:J$54,J$253:J$255) * hours_in_year</f>
        <v>0</v>
      </c>
      <c r="K275" s="101">
        <f t="shared" si="67"/>
        <v>0.50478226224001987</v>
      </c>
      <c r="L275" s="101">
        <f t="shared" si="67"/>
        <v>0</v>
      </c>
      <c r="M275" s="101">
        <f t="shared" si="67"/>
        <v>0</v>
      </c>
      <c r="N275" s="101">
        <f t="shared" si="67"/>
        <v>0.42318690911540574</v>
      </c>
      <c r="O275" s="101">
        <f t="shared" si="67"/>
        <v>0</v>
      </c>
      <c r="P275" s="101">
        <f t="shared" si="67"/>
        <v>0.45399847163400642</v>
      </c>
      <c r="Q275" s="101">
        <f t="shared" si="67"/>
        <v>0.45399847163400642</v>
      </c>
      <c r="R275" s="101">
        <f t="shared" si="67"/>
        <v>0.45122854692136299</v>
      </c>
      <c r="S275" s="101">
        <f t="shared" si="67"/>
        <v>0.82797731568998101</v>
      </c>
      <c r="T275" s="101">
        <f t="shared" si="67"/>
        <v>0.82797731568998101</v>
      </c>
      <c r="U275" s="101">
        <f t="shared" si="67"/>
        <v>0.82797731568998101</v>
      </c>
      <c r="V275" s="101">
        <f t="shared" si="67"/>
        <v>0.82797731568998101</v>
      </c>
      <c r="W275" s="101">
        <f t="shared" si="67"/>
        <v>0.82797731568998101</v>
      </c>
      <c r="X275" s="101">
        <f t="shared" si="67"/>
        <v>0</v>
      </c>
      <c r="Y275" s="101">
        <f t="shared" si="67"/>
        <v>0</v>
      </c>
      <c r="Z275" s="101">
        <f t="shared" si="67"/>
        <v>0</v>
      </c>
      <c r="AA275" s="101">
        <f t="shared" si="67"/>
        <v>0</v>
      </c>
      <c r="AB275" s="101">
        <f t="shared" si="67"/>
        <v>0.99380761049397315</v>
      </c>
      <c r="AC275" s="101">
        <f t="shared" si="67"/>
        <v>0</v>
      </c>
      <c r="AD275" s="101">
        <f t="shared" si="67"/>
        <v>0</v>
      </c>
      <c r="AE275" s="101">
        <f t="shared" si="67"/>
        <v>0</v>
      </c>
      <c r="AF275" s="101">
        <f t="shared" si="67"/>
        <v>0</v>
      </c>
      <c r="AG275" s="101">
        <f t="shared" si="67"/>
        <v>0.82797731568998101</v>
      </c>
      <c r="AH275" s="101">
        <f t="shared" si="67"/>
        <v>0.82797731568998101</v>
      </c>
      <c r="AI275" s="101">
        <f t="shared" si="67"/>
        <v>0</v>
      </c>
      <c r="AJ275" s="101">
        <f t="shared" si="67"/>
        <v>0</v>
      </c>
      <c r="AK275" s="101">
        <f t="shared" si="67"/>
        <v>0.82797731568998101</v>
      </c>
      <c r="AL275" s="101">
        <f t="shared" si="67"/>
        <v>0.82797731568998101</v>
      </c>
      <c r="AM275" s="101">
        <f t="shared" si="67"/>
        <v>0</v>
      </c>
      <c r="AN275" s="101">
        <f t="shared" si="67"/>
        <v>0</v>
      </c>
      <c r="AO275" s="101">
        <f t="shared" si="67"/>
        <v>0.82797731568998101</v>
      </c>
      <c r="AP275" s="101">
        <f t="shared" si="67"/>
        <v>0.82797731568998101</v>
      </c>
    </row>
    <row r="276" spans="5:42" x14ac:dyDescent="0.25">
      <c r="F276" s="28" t="s">
        <v>234</v>
      </c>
      <c r="G276" s="28" t="s">
        <v>342</v>
      </c>
      <c r="J276" s="101">
        <f t="shared" ref="J276:AP276" si="68">SUMPRODUCT(J241:J243,J$52:J$54,J$253:J$255) * hours_in_year</f>
        <v>0</v>
      </c>
      <c r="K276" s="101">
        <f t="shared" si="68"/>
        <v>0.50478226224001987</v>
      </c>
      <c r="L276" s="101">
        <f t="shared" si="68"/>
        <v>0</v>
      </c>
      <c r="M276" s="101">
        <f t="shared" si="68"/>
        <v>0</v>
      </c>
      <c r="N276" s="101">
        <f t="shared" si="68"/>
        <v>0.42318690911540574</v>
      </c>
      <c r="O276" s="101">
        <f t="shared" si="68"/>
        <v>0</v>
      </c>
      <c r="P276" s="101">
        <f t="shared" si="68"/>
        <v>0.45399847163400642</v>
      </c>
      <c r="Q276" s="101">
        <f t="shared" si="68"/>
        <v>0.45399847163400642</v>
      </c>
      <c r="R276" s="101">
        <f t="shared" si="68"/>
        <v>0.45122854692136299</v>
      </c>
      <c r="S276" s="101">
        <f t="shared" si="68"/>
        <v>0.82797731568998101</v>
      </c>
      <c r="T276" s="101">
        <f t="shared" si="68"/>
        <v>0.82797731568998101</v>
      </c>
      <c r="U276" s="101">
        <f t="shared" si="68"/>
        <v>0.82797731568998101</v>
      </c>
      <c r="V276" s="101">
        <f t="shared" si="68"/>
        <v>0.82797731568998101</v>
      </c>
      <c r="W276" s="101">
        <f t="shared" si="68"/>
        <v>0.82797731568998101</v>
      </c>
      <c r="X276" s="101">
        <f t="shared" si="68"/>
        <v>0</v>
      </c>
      <c r="Y276" s="101">
        <f t="shared" si="68"/>
        <v>0</v>
      </c>
      <c r="Z276" s="101">
        <f t="shared" si="68"/>
        <v>0</v>
      </c>
      <c r="AA276" s="101">
        <f t="shared" si="68"/>
        <v>0</v>
      </c>
      <c r="AB276" s="101">
        <f t="shared" si="68"/>
        <v>0.99380761049397315</v>
      </c>
      <c r="AC276" s="101">
        <f t="shared" si="68"/>
        <v>0</v>
      </c>
      <c r="AD276" s="101">
        <f t="shared" si="68"/>
        <v>0</v>
      </c>
      <c r="AE276" s="101">
        <f t="shared" si="68"/>
        <v>0</v>
      </c>
      <c r="AF276" s="101">
        <f t="shared" si="68"/>
        <v>0</v>
      </c>
      <c r="AG276" s="101">
        <f t="shared" si="68"/>
        <v>0.82797731568998101</v>
      </c>
      <c r="AH276" s="101">
        <f t="shared" si="68"/>
        <v>0.82797731568998101</v>
      </c>
      <c r="AI276" s="101">
        <f t="shared" si="68"/>
        <v>0</v>
      </c>
      <c r="AJ276" s="101">
        <f t="shared" si="68"/>
        <v>0</v>
      </c>
      <c r="AK276" s="101">
        <f t="shared" si="68"/>
        <v>0.82797731568998101</v>
      </c>
      <c r="AL276" s="101">
        <f t="shared" si="68"/>
        <v>0.82797731568998101</v>
      </c>
      <c r="AM276" s="101">
        <f t="shared" si="68"/>
        <v>0</v>
      </c>
      <c r="AN276" s="101">
        <f t="shared" si="68"/>
        <v>0</v>
      </c>
      <c r="AO276" s="101">
        <f t="shared" si="68"/>
        <v>0.82797731568998101</v>
      </c>
      <c r="AP276" s="101">
        <f t="shared" si="68"/>
        <v>0.82797731568998101</v>
      </c>
    </row>
    <row r="277" spans="5:42" x14ac:dyDescent="0.25">
      <c r="F277" s="67" t="s">
        <v>235</v>
      </c>
      <c r="G277" s="67" t="s">
        <v>342</v>
      </c>
      <c r="H277" s="37"/>
      <c r="I277" s="37"/>
      <c r="J277" s="103">
        <f t="shared" ref="J277:AP277" si="69">SUMPRODUCT(J246:J248,J$52:J$54,J$253:J$255) * hours_in_year</f>
        <v>0</v>
      </c>
      <c r="K277" s="103">
        <f t="shared" si="69"/>
        <v>0.50478226224001987</v>
      </c>
      <c r="L277" s="103">
        <f t="shared" si="69"/>
        <v>0</v>
      </c>
      <c r="M277" s="103">
        <f t="shared" si="69"/>
        <v>0</v>
      </c>
      <c r="N277" s="103">
        <f t="shared" si="69"/>
        <v>0.42318690911540574</v>
      </c>
      <c r="O277" s="103">
        <f t="shared" si="69"/>
        <v>0</v>
      </c>
      <c r="P277" s="103">
        <f t="shared" si="69"/>
        <v>0.45399847163400642</v>
      </c>
      <c r="Q277" s="103">
        <f t="shared" si="69"/>
        <v>0.45399847163400642</v>
      </c>
      <c r="R277" s="103">
        <f t="shared" si="69"/>
        <v>0.45122854692136299</v>
      </c>
      <c r="S277" s="103">
        <f t="shared" si="69"/>
        <v>0.82797731568998101</v>
      </c>
      <c r="T277" s="103">
        <f t="shared" si="69"/>
        <v>0.82797731568998101</v>
      </c>
      <c r="U277" s="103">
        <f t="shared" si="69"/>
        <v>0.82797731568998101</v>
      </c>
      <c r="V277" s="103">
        <f t="shared" si="69"/>
        <v>0.82797731568998101</v>
      </c>
      <c r="W277" s="103">
        <f t="shared" si="69"/>
        <v>0.82797731568998101</v>
      </c>
      <c r="X277" s="103">
        <f t="shared" si="69"/>
        <v>0</v>
      </c>
      <c r="Y277" s="103">
        <f t="shared" si="69"/>
        <v>0</v>
      </c>
      <c r="Z277" s="103">
        <f t="shared" si="69"/>
        <v>0</v>
      </c>
      <c r="AA277" s="103">
        <f t="shared" si="69"/>
        <v>0</v>
      </c>
      <c r="AB277" s="103">
        <f t="shared" si="69"/>
        <v>0.99380761049397315</v>
      </c>
      <c r="AC277" s="103">
        <f t="shared" si="69"/>
        <v>0</v>
      </c>
      <c r="AD277" s="103">
        <f t="shared" si="69"/>
        <v>0</v>
      </c>
      <c r="AE277" s="103">
        <f t="shared" si="69"/>
        <v>0</v>
      </c>
      <c r="AF277" s="103">
        <f t="shared" si="69"/>
        <v>0</v>
      </c>
      <c r="AG277" s="103">
        <f t="shared" si="69"/>
        <v>0.82797731568998101</v>
      </c>
      <c r="AH277" s="103">
        <f t="shared" si="69"/>
        <v>0.82797731568998101</v>
      </c>
      <c r="AI277" s="103">
        <f t="shared" si="69"/>
        <v>0</v>
      </c>
      <c r="AJ277" s="103">
        <f t="shared" si="69"/>
        <v>0</v>
      </c>
      <c r="AK277" s="103">
        <f t="shared" si="69"/>
        <v>0.82797731568998101</v>
      </c>
      <c r="AL277" s="103">
        <f t="shared" si="69"/>
        <v>0.82797731568998101</v>
      </c>
      <c r="AM277" s="103">
        <f t="shared" si="69"/>
        <v>0</v>
      </c>
      <c r="AN277" s="103">
        <f t="shared" si="69"/>
        <v>0</v>
      </c>
      <c r="AO277" s="103">
        <f t="shared" si="69"/>
        <v>0.82797731568998101</v>
      </c>
      <c r="AP277" s="103">
        <f t="shared" si="69"/>
        <v>0.82797731568998101</v>
      </c>
    </row>
    <row r="278" spans="5:42" x14ac:dyDescent="0.25">
      <c r="J278" s="92"/>
      <c r="K278" s="92"/>
      <c r="L278" s="92"/>
      <c r="M278" s="92"/>
      <c r="N278" s="92"/>
      <c r="O278" s="92"/>
      <c r="P278" s="92"/>
      <c r="Q278" s="92"/>
      <c r="R278" s="92"/>
      <c r="S278" s="92"/>
      <c r="T278" s="92"/>
      <c r="U278" s="92"/>
      <c r="V278" s="92"/>
      <c r="W278" s="92"/>
      <c r="X278" s="92"/>
      <c r="Y278" s="92"/>
      <c r="Z278" s="92"/>
      <c r="AA278" s="92"/>
      <c r="AB278" s="92"/>
      <c r="AC278" s="92"/>
      <c r="AD278" s="92"/>
      <c r="AE278" s="92"/>
      <c r="AF278" s="92"/>
      <c r="AG278" s="92"/>
      <c r="AH278" s="92"/>
      <c r="AI278" s="92"/>
      <c r="AJ278" s="92"/>
      <c r="AK278" s="92"/>
      <c r="AL278" s="92"/>
      <c r="AM278" s="92"/>
      <c r="AN278" s="92"/>
      <c r="AO278" s="92"/>
      <c r="AP278" s="92"/>
    </row>
    <row r="279" spans="5:42" x14ac:dyDescent="0.25">
      <c r="E279" s="32" t="s">
        <v>194</v>
      </c>
      <c r="G279" s="28"/>
      <c r="J279" s="92"/>
      <c r="K279" s="92"/>
      <c r="L279" s="92"/>
      <c r="M279" s="92"/>
      <c r="N279" s="92"/>
      <c r="O279" s="92"/>
      <c r="P279" s="92"/>
      <c r="Q279" s="92"/>
      <c r="R279" s="92"/>
      <c r="S279" s="92"/>
      <c r="T279" s="92"/>
      <c r="U279" s="92"/>
      <c r="V279" s="92"/>
      <c r="W279" s="92"/>
      <c r="X279" s="92"/>
      <c r="Y279" s="92"/>
      <c r="Z279" s="92"/>
      <c r="AA279" s="92"/>
      <c r="AB279" s="92"/>
      <c r="AC279" s="92"/>
      <c r="AD279" s="92"/>
      <c r="AE279" s="92"/>
      <c r="AF279" s="92"/>
      <c r="AG279" s="92"/>
      <c r="AH279" s="92"/>
      <c r="AI279" s="92"/>
      <c r="AJ279" s="92"/>
      <c r="AK279" s="92"/>
      <c r="AL279" s="92"/>
      <c r="AM279" s="92"/>
      <c r="AN279" s="92"/>
      <c r="AO279" s="92"/>
      <c r="AP279" s="92"/>
    </row>
    <row r="280" spans="5:42" x14ac:dyDescent="0.25">
      <c r="F280" s="64" t="s">
        <v>227</v>
      </c>
      <c r="G280" s="64" t="s">
        <v>342</v>
      </c>
      <c r="H280" s="23"/>
      <c r="I280" s="23"/>
      <c r="J280" s="129">
        <f t="shared" ref="J280:AP280" si="70">SUMPRODUCT(J206:J208,J$61:J$63,J$253:J$255) * hours_in_year</f>
        <v>0</v>
      </c>
      <c r="K280" s="129">
        <f t="shared" si="70"/>
        <v>0</v>
      </c>
      <c r="L280" s="129">
        <f t="shared" si="70"/>
        <v>0</v>
      </c>
      <c r="M280" s="129">
        <f t="shared" si="70"/>
        <v>0</v>
      </c>
      <c r="N280" s="129">
        <f t="shared" si="70"/>
        <v>0</v>
      </c>
      <c r="O280" s="129">
        <f t="shared" si="70"/>
        <v>0</v>
      </c>
      <c r="P280" s="129">
        <f t="shared" si="70"/>
        <v>0</v>
      </c>
      <c r="Q280" s="129">
        <f t="shared" si="70"/>
        <v>0</v>
      </c>
      <c r="R280" s="129">
        <f t="shared" si="70"/>
        <v>0</v>
      </c>
      <c r="S280" s="129">
        <f t="shared" si="70"/>
        <v>0.34843238184370617</v>
      </c>
      <c r="T280" s="129">
        <f t="shared" si="70"/>
        <v>0.34843238184370617</v>
      </c>
      <c r="U280" s="129">
        <f t="shared" si="70"/>
        <v>0.34843238184370617</v>
      </c>
      <c r="V280" s="129">
        <f t="shared" si="70"/>
        <v>0.34843238184370617</v>
      </c>
      <c r="W280" s="129">
        <f t="shared" si="70"/>
        <v>0.34843238184370617</v>
      </c>
      <c r="X280" s="129">
        <f t="shared" si="70"/>
        <v>0</v>
      </c>
      <c r="Y280" s="129">
        <f t="shared" si="70"/>
        <v>0</v>
      </c>
      <c r="Z280" s="129">
        <f t="shared" si="70"/>
        <v>0</v>
      </c>
      <c r="AA280" s="129">
        <f t="shared" si="70"/>
        <v>0</v>
      </c>
      <c r="AB280" s="129">
        <f t="shared" si="70"/>
        <v>0.34843238184370617</v>
      </c>
      <c r="AC280" s="129">
        <f t="shared" si="70"/>
        <v>0</v>
      </c>
      <c r="AD280" s="129">
        <f t="shared" si="70"/>
        <v>0</v>
      </c>
      <c r="AE280" s="129">
        <f t="shared" si="70"/>
        <v>0</v>
      </c>
      <c r="AF280" s="129">
        <f t="shared" si="70"/>
        <v>0</v>
      </c>
      <c r="AG280" s="129">
        <f t="shared" si="70"/>
        <v>0.34843238184370617</v>
      </c>
      <c r="AH280" s="129">
        <f t="shared" si="70"/>
        <v>0.34843238184370617</v>
      </c>
      <c r="AI280" s="129">
        <f t="shared" si="70"/>
        <v>0</v>
      </c>
      <c r="AJ280" s="129">
        <f t="shared" si="70"/>
        <v>0</v>
      </c>
      <c r="AK280" s="129">
        <f t="shared" si="70"/>
        <v>0.34843238184370617</v>
      </c>
      <c r="AL280" s="129">
        <f t="shared" si="70"/>
        <v>0.34843238184370617</v>
      </c>
      <c r="AM280" s="129">
        <f t="shared" si="70"/>
        <v>0</v>
      </c>
      <c r="AN280" s="129">
        <f t="shared" si="70"/>
        <v>0</v>
      </c>
      <c r="AO280" s="129">
        <f t="shared" si="70"/>
        <v>0.34843238184370617</v>
      </c>
      <c r="AP280" s="129">
        <f t="shared" si="70"/>
        <v>0.34843238184370617</v>
      </c>
    </row>
    <row r="281" spans="5:42" x14ac:dyDescent="0.25">
      <c r="F281" s="28" t="s">
        <v>228</v>
      </c>
      <c r="G281" s="28" t="s">
        <v>342</v>
      </c>
      <c r="J281" s="101">
        <f t="shared" ref="J281:AP281" si="71">SUMPRODUCT(J211:J213,J$61:J$63,J$253:J$255) * hours_in_year</f>
        <v>0</v>
      </c>
      <c r="K281" s="101">
        <f t="shared" si="71"/>
        <v>0</v>
      </c>
      <c r="L281" s="101">
        <f t="shared" si="71"/>
        <v>0</v>
      </c>
      <c r="M281" s="101">
        <f t="shared" si="71"/>
        <v>0</v>
      </c>
      <c r="N281" s="101">
        <f t="shared" si="71"/>
        <v>0</v>
      </c>
      <c r="O281" s="101">
        <f t="shared" si="71"/>
        <v>0</v>
      </c>
      <c r="P281" s="101">
        <f t="shared" si="71"/>
        <v>0</v>
      </c>
      <c r="Q281" s="101">
        <f t="shared" si="71"/>
        <v>0</v>
      </c>
      <c r="R281" s="101">
        <f t="shared" si="71"/>
        <v>0</v>
      </c>
      <c r="S281" s="101">
        <f t="shared" si="71"/>
        <v>0</v>
      </c>
      <c r="T281" s="101">
        <f t="shared" si="71"/>
        <v>0</v>
      </c>
      <c r="U281" s="101">
        <f t="shared" si="71"/>
        <v>0</v>
      </c>
      <c r="V281" s="101">
        <f t="shared" si="71"/>
        <v>0</v>
      </c>
      <c r="W281" s="101">
        <f t="shared" si="71"/>
        <v>0</v>
      </c>
      <c r="X281" s="101">
        <f t="shared" si="71"/>
        <v>0</v>
      </c>
      <c r="Y281" s="101">
        <f t="shared" si="71"/>
        <v>0</v>
      </c>
      <c r="Z281" s="101">
        <f t="shared" si="71"/>
        <v>0</v>
      </c>
      <c r="AA281" s="101">
        <f t="shared" si="71"/>
        <v>0</v>
      </c>
      <c r="AB281" s="101">
        <f t="shared" si="71"/>
        <v>0</v>
      </c>
      <c r="AC281" s="101">
        <f t="shared" si="71"/>
        <v>0</v>
      </c>
      <c r="AD281" s="101">
        <f t="shared" si="71"/>
        <v>0</v>
      </c>
      <c r="AE281" s="101">
        <f t="shared" si="71"/>
        <v>0</v>
      </c>
      <c r="AF281" s="101">
        <f t="shared" si="71"/>
        <v>0</v>
      </c>
      <c r="AG281" s="101">
        <f t="shared" si="71"/>
        <v>0</v>
      </c>
      <c r="AH281" s="101">
        <f t="shared" si="71"/>
        <v>0</v>
      </c>
      <c r="AI281" s="101">
        <f t="shared" si="71"/>
        <v>0</v>
      </c>
      <c r="AJ281" s="101">
        <f t="shared" si="71"/>
        <v>0</v>
      </c>
      <c r="AK281" s="101">
        <f t="shared" si="71"/>
        <v>0</v>
      </c>
      <c r="AL281" s="101">
        <f t="shared" si="71"/>
        <v>0</v>
      </c>
      <c r="AM281" s="101">
        <f t="shared" si="71"/>
        <v>0</v>
      </c>
      <c r="AN281" s="101">
        <f t="shared" si="71"/>
        <v>0</v>
      </c>
      <c r="AO281" s="101">
        <f t="shared" si="71"/>
        <v>0</v>
      </c>
      <c r="AP281" s="101">
        <f t="shared" si="71"/>
        <v>0</v>
      </c>
    </row>
    <row r="282" spans="5:42" x14ac:dyDescent="0.25">
      <c r="F282" s="28" t="s">
        <v>229</v>
      </c>
      <c r="G282" s="28" t="s">
        <v>342</v>
      </c>
      <c r="J282" s="101">
        <f t="shared" ref="J282:AP282" si="72">SUMPRODUCT(J216:J218,J$61:J$63,J$253:J$255) * hours_in_year</f>
        <v>0</v>
      </c>
      <c r="K282" s="101">
        <f t="shared" si="72"/>
        <v>0</v>
      </c>
      <c r="L282" s="101">
        <f t="shared" si="72"/>
        <v>0</v>
      </c>
      <c r="M282" s="101">
        <f t="shared" si="72"/>
        <v>0</v>
      </c>
      <c r="N282" s="101">
        <f t="shared" si="72"/>
        <v>0</v>
      </c>
      <c r="O282" s="101">
        <f t="shared" si="72"/>
        <v>0</v>
      </c>
      <c r="P282" s="101">
        <f t="shared" si="72"/>
        <v>0</v>
      </c>
      <c r="Q282" s="101">
        <f t="shared" si="72"/>
        <v>0</v>
      </c>
      <c r="R282" s="101">
        <f t="shared" si="72"/>
        <v>0</v>
      </c>
      <c r="S282" s="101">
        <f t="shared" si="72"/>
        <v>0</v>
      </c>
      <c r="T282" s="101">
        <f t="shared" si="72"/>
        <v>0</v>
      </c>
      <c r="U282" s="101">
        <f t="shared" si="72"/>
        <v>0</v>
      </c>
      <c r="V282" s="101">
        <f t="shared" si="72"/>
        <v>0</v>
      </c>
      <c r="W282" s="101">
        <f t="shared" si="72"/>
        <v>0</v>
      </c>
      <c r="X282" s="101">
        <f t="shared" si="72"/>
        <v>0</v>
      </c>
      <c r="Y282" s="101">
        <f t="shared" si="72"/>
        <v>0</v>
      </c>
      <c r="Z282" s="101">
        <f t="shared" si="72"/>
        <v>0</v>
      </c>
      <c r="AA282" s="101">
        <f t="shared" si="72"/>
        <v>0</v>
      </c>
      <c r="AB282" s="101">
        <f t="shared" si="72"/>
        <v>0</v>
      </c>
      <c r="AC282" s="101">
        <f t="shared" si="72"/>
        <v>0</v>
      </c>
      <c r="AD282" s="101">
        <f t="shared" si="72"/>
        <v>0</v>
      </c>
      <c r="AE282" s="101">
        <f t="shared" si="72"/>
        <v>0</v>
      </c>
      <c r="AF282" s="101">
        <f t="shared" si="72"/>
        <v>0</v>
      </c>
      <c r="AG282" s="101">
        <f t="shared" si="72"/>
        <v>0</v>
      </c>
      <c r="AH282" s="101">
        <f t="shared" si="72"/>
        <v>0</v>
      </c>
      <c r="AI282" s="101">
        <f t="shared" si="72"/>
        <v>0</v>
      </c>
      <c r="AJ282" s="101">
        <f t="shared" si="72"/>
        <v>0</v>
      </c>
      <c r="AK282" s="101">
        <f t="shared" si="72"/>
        <v>0</v>
      </c>
      <c r="AL282" s="101">
        <f t="shared" si="72"/>
        <v>0</v>
      </c>
      <c r="AM282" s="101">
        <f t="shared" si="72"/>
        <v>0</v>
      </c>
      <c r="AN282" s="101">
        <f t="shared" si="72"/>
        <v>0</v>
      </c>
      <c r="AO282" s="101">
        <f t="shared" si="72"/>
        <v>0</v>
      </c>
      <c r="AP282" s="101">
        <f t="shared" si="72"/>
        <v>0</v>
      </c>
    </row>
    <row r="283" spans="5:42" x14ac:dyDescent="0.25">
      <c r="F283" s="28" t="s">
        <v>230</v>
      </c>
      <c r="G283" s="28" t="s">
        <v>342</v>
      </c>
      <c r="J283" s="101">
        <f t="shared" ref="J283:AP283" si="73">SUMPRODUCT(J221:J223,J$61:J$63,J$253:J$255) * hours_in_year</f>
        <v>0</v>
      </c>
      <c r="K283" s="101">
        <f t="shared" si="73"/>
        <v>0</v>
      </c>
      <c r="L283" s="101">
        <f t="shared" si="73"/>
        <v>0</v>
      </c>
      <c r="M283" s="101">
        <f t="shared" si="73"/>
        <v>0</v>
      </c>
      <c r="N283" s="101">
        <f t="shared" si="73"/>
        <v>0</v>
      </c>
      <c r="O283" s="101">
        <f t="shared" si="73"/>
        <v>0</v>
      </c>
      <c r="P283" s="101">
        <f t="shared" si="73"/>
        <v>0</v>
      </c>
      <c r="Q283" s="101">
        <f t="shared" si="73"/>
        <v>0</v>
      </c>
      <c r="R283" s="101">
        <f t="shared" si="73"/>
        <v>0</v>
      </c>
      <c r="S283" s="101">
        <f t="shared" si="73"/>
        <v>0.38942442676649514</v>
      </c>
      <c r="T283" s="101">
        <f t="shared" si="73"/>
        <v>0.38942442676649514</v>
      </c>
      <c r="U283" s="101">
        <f t="shared" si="73"/>
        <v>0.38942442676649514</v>
      </c>
      <c r="V283" s="101">
        <f t="shared" si="73"/>
        <v>0.38942442676649514</v>
      </c>
      <c r="W283" s="101">
        <f t="shared" si="73"/>
        <v>0.38942442676649514</v>
      </c>
      <c r="X283" s="101">
        <f t="shared" si="73"/>
        <v>0</v>
      </c>
      <c r="Y283" s="101">
        <f t="shared" si="73"/>
        <v>0</v>
      </c>
      <c r="Z283" s="101">
        <f t="shared" si="73"/>
        <v>0</v>
      </c>
      <c r="AA283" s="101">
        <f t="shared" si="73"/>
        <v>0</v>
      </c>
      <c r="AB283" s="101">
        <f t="shared" si="73"/>
        <v>0.38942442676649514</v>
      </c>
      <c r="AC283" s="101">
        <f t="shared" si="73"/>
        <v>0</v>
      </c>
      <c r="AD283" s="101">
        <f t="shared" si="73"/>
        <v>0</v>
      </c>
      <c r="AE283" s="101">
        <f t="shared" si="73"/>
        <v>0</v>
      </c>
      <c r="AF283" s="101">
        <f t="shared" si="73"/>
        <v>0</v>
      </c>
      <c r="AG283" s="101">
        <f t="shared" si="73"/>
        <v>0.38942442676649514</v>
      </c>
      <c r="AH283" s="101">
        <f t="shared" si="73"/>
        <v>0.38942442676649514</v>
      </c>
      <c r="AI283" s="101">
        <f t="shared" si="73"/>
        <v>0</v>
      </c>
      <c r="AJ283" s="101">
        <f t="shared" si="73"/>
        <v>0</v>
      </c>
      <c r="AK283" s="101">
        <f t="shared" si="73"/>
        <v>0.38942442676649514</v>
      </c>
      <c r="AL283" s="101">
        <f t="shared" si="73"/>
        <v>0.38942442676649514</v>
      </c>
      <c r="AM283" s="101">
        <f t="shared" si="73"/>
        <v>0</v>
      </c>
      <c r="AN283" s="101">
        <f t="shared" si="73"/>
        <v>0</v>
      </c>
      <c r="AO283" s="101">
        <f t="shared" si="73"/>
        <v>0.38942442676649514</v>
      </c>
      <c r="AP283" s="101">
        <f t="shared" si="73"/>
        <v>0.38942442676649514</v>
      </c>
    </row>
    <row r="284" spans="5:42" x14ac:dyDescent="0.25">
      <c r="F284" s="28" t="s">
        <v>231</v>
      </c>
      <c r="G284" s="28" t="s">
        <v>342</v>
      </c>
      <c r="J284" s="101">
        <f t="shared" ref="J284:AP284" si="74">SUMPRODUCT(J226:J228,J$61:J$63,J$253:J$255) * hours_in_year</f>
        <v>0</v>
      </c>
      <c r="K284" s="101">
        <f t="shared" si="74"/>
        <v>0</v>
      </c>
      <c r="L284" s="101">
        <f t="shared" si="74"/>
        <v>0</v>
      </c>
      <c r="M284" s="101">
        <f t="shared" si="74"/>
        <v>0</v>
      </c>
      <c r="N284" s="101">
        <f t="shared" si="74"/>
        <v>0</v>
      </c>
      <c r="O284" s="101">
        <f t="shared" si="74"/>
        <v>0</v>
      </c>
      <c r="P284" s="101">
        <f t="shared" si="74"/>
        <v>0</v>
      </c>
      <c r="Q284" s="101">
        <f t="shared" si="74"/>
        <v>0</v>
      </c>
      <c r="R284" s="101">
        <f t="shared" si="74"/>
        <v>0</v>
      </c>
      <c r="S284" s="101">
        <f t="shared" si="74"/>
        <v>0.38942442676649514</v>
      </c>
      <c r="T284" s="101">
        <f t="shared" si="74"/>
        <v>0.38942442676649514</v>
      </c>
      <c r="U284" s="101">
        <f t="shared" si="74"/>
        <v>0.38942442676649514</v>
      </c>
      <c r="V284" s="101">
        <f t="shared" si="74"/>
        <v>0.38942442676649514</v>
      </c>
      <c r="W284" s="101">
        <f t="shared" si="74"/>
        <v>0.38942442676649514</v>
      </c>
      <c r="X284" s="101">
        <f t="shared" si="74"/>
        <v>0</v>
      </c>
      <c r="Y284" s="101">
        <f t="shared" si="74"/>
        <v>0</v>
      </c>
      <c r="Z284" s="101">
        <f t="shared" si="74"/>
        <v>0</v>
      </c>
      <c r="AA284" s="101">
        <f t="shared" si="74"/>
        <v>0</v>
      </c>
      <c r="AB284" s="101">
        <f t="shared" si="74"/>
        <v>0.38942442676649514</v>
      </c>
      <c r="AC284" s="101">
        <f t="shared" si="74"/>
        <v>0</v>
      </c>
      <c r="AD284" s="101">
        <f t="shared" si="74"/>
        <v>0</v>
      </c>
      <c r="AE284" s="101">
        <f t="shared" si="74"/>
        <v>0</v>
      </c>
      <c r="AF284" s="101">
        <f t="shared" si="74"/>
        <v>0</v>
      </c>
      <c r="AG284" s="101">
        <f t="shared" si="74"/>
        <v>0.38942442676649514</v>
      </c>
      <c r="AH284" s="101">
        <f t="shared" si="74"/>
        <v>0.38942442676649514</v>
      </c>
      <c r="AI284" s="101">
        <f t="shared" si="74"/>
        <v>0</v>
      </c>
      <c r="AJ284" s="101">
        <f t="shared" si="74"/>
        <v>0</v>
      </c>
      <c r="AK284" s="101">
        <f t="shared" si="74"/>
        <v>0.38942442676649514</v>
      </c>
      <c r="AL284" s="101">
        <f t="shared" si="74"/>
        <v>0.38942442676649514</v>
      </c>
      <c r="AM284" s="101">
        <f t="shared" si="74"/>
        <v>0</v>
      </c>
      <c r="AN284" s="101">
        <f t="shared" si="74"/>
        <v>0</v>
      </c>
      <c r="AO284" s="101">
        <f t="shared" si="74"/>
        <v>0.38942442676649514</v>
      </c>
      <c r="AP284" s="101">
        <f t="shared" si="74"/>
        <v>0.38942442676649514</v>
      </c>
    </row>
    <row r="285" spans="5:42" x14ac:dyDescent="0.25">
      <c r="F285" s="28" t="s">
        <v>232</v>
      </c>
      <c r="G285" s="28" t="s">
        <v>342</v>
      </c>
      <c r="J285" s="101">
        <f t="shared" ref="J285:AP285" si="75">SUMPRODUCT(J231:J233,J$61:J$63,J$253:J$255) * hours_in_year</f>
        <v>0</v>
      </c>
      <c r="K285" s="101">
        <f t="shared" si="75"/>
        <v>0</v>
      </c>
      <c r="L285" s="101">
        <f t="shared" si="75"/>
        <v>0</v>
      </c>
      <c r="M285" s="101">
        <f t="shared" si="75"/>
        <v>0</v>
      </c>
      <c r="N285" s="101">
        <f t="shared" si="75"/>
        <v>0</v>
      </c>
      <c r="O285" s="101">
        <f t="shared" si="75"/>
        <v>0</v>
      </c>
      <c r="P285" s="101">
        <f t="shared" si="75"/>
        <v>0</v>
      </c>
      <c r="Q285" s="101">
        <f t="shared" si="75"/>
        <v>0</v>
      </c>
      <c r="R285" s="101">
        <f t="shared" si="75"/>
        <v>0</v>
      </c>
      <c r="S285" s="101">
        <f t="shared" si="75"/>
        <v>0</v>
      </c>
      <c r="T285" s="101">
        <f t="shared" si="75"/>
        <v>0</v>
      </c>
      <c r="U285" s="101">
        <f t="shared" si="75"/>
        <v>0</v>
      </c>
      <c r="V285" s="101">
        <f t="shared" si="75"/>
        <v>0</v>
      </c>
      <c r="W285" s="101">
        <f t="shared" si="75"/>
        <v>0</v>
      </c>
      <c r="X285" s="101">
        <f t="shared" si="75"/>
        <v>0</v>
      </c>
      <c r="Y285" s="101">
        <f t="shared" si="75"/>
        <v>0</v>
      </c>
      <c r="Z285" s="101">
        <f t="shared" si="75"/>
        <v>0</v>
      </c>
      <c r="AA285" s="101">
        <f t="shared" si="75"/>
        <v>0</v>
      </c>
      <c r="AB285" s="101">
        <f t="shared" si="75"/>
        <v>0</v>
      </c>
      <c r="AC285" s="101">
        <f t="shared" si="75"/>
        <v>0</v>
      </c>
      <c r="AD285" s="101">
        <f t="shared" si="75"/>
        <v>0</v>
      </c>
      <c r="AE285" s="101">
        <f t="shared" si="75"/>
        <v>0</v>
      </c>
      <c r="AF285" s="101">
        <f t="shared" si="75"/>
        <v>0</v>
      </c>
      <c r="AG285" s="101">
        <f t="shared" si="75"/>
        <v>0</v>
      </c>
      <c r="AH285" s="101">
        <f t="shared" si="75"/>
        <v>0</v>
      </c>
      <c r="AI285" s="101">
        <f t="shared" si="75"/>
        <v>0</v>
      </c>
      <c r="AJ285" s="101">
        <f t="shared" si="75"/>
        <v>0</v>
      </c>
      <c r="AK285" s="101">
        <f t="shared" si="75"/>
        <v>0</v>
      </c>
      <c r="AL285" s="101">
        <f t="shared" si="75"/>
        <v>0</v>
      </c>
      <c r="AM285" s="101">
        <f t="shared" si="75"/>
        <v>0</v>
      </c>
      <c r="AN285" s="101">
        <f t="shared" si="75"/>
        <v>0</v>
      </c>
      <c r="AO285" s="101">
        <f t="shared" si="75"/>
        <v>0</v>
      </c>
      <c r="AP285" s="101">
        <f t="shared" si="75"/>
        <v>0</v>
      </c>
    </row>
    <row r="286" spans="5:42" x14ac:dyDescent="0.25">
      <c r="F286" s="28" t="s">
        <v>233</v>
      </c>
      <c r="G286" s="28" t="s">
        <v>342</v>
      </c>
      <c r="J286" s="101">
        <f t="shared" ref="J286:AP286" si="76">SUMPRODUCT(J236:J238,J$61:J$63,J$253:J$255) * hours_in_year</f>
        <v>0</v>
      </c>
      <c r="K286" s="101">
        <f t="shared" si="76"/>
        <v>0</v>
      </c>
      <c r="L286" s="101">
        <f t="shared" si="76"/>
        <v>0</v>
      </c>
      <c r="M286" s="101">
        <f t="shared" si="76"/>
        <v>0</v>
      </c>
      <c r="N286" s="101">
        <f t="shared" si="76"/>
        <v>0</v>
      </c>
      <c r="O286" s="101">
        <f t="shared" si="76"/>
        <v>0</v>
      </c>
      <c r="P286" s="101">
        <f t="shared" si="76"/>
        <v>0</v>
      </c>
      <c r="Q286" s="101">
        <f t="shared" si="76"/>
        <v>0</v>
      </c>
      <c r="R286" s="101">
        <f t="shared" si="76"/>
        <v>0</v>
      </c>
      <c r="S286" s="101">
        <f t="shared" si="76"/>
        <v>0.38942442676649514</v>
      </c>
      <c r="T286" s="101">
        <f t="shared" si="76"/>
        <v>0.38942442676649514</v>
      </c>
      <c r="U286" s="101">
        <f t="shared" si="76"/>
        <v>0.38942442676649514</v>
      </c>
      <c r="V286" s="101">
        <f t="shared" si="76"/>
        <v>0.38942442676649514</v>
      </c>
      <c r="W286" s="101">
        <f t="shared" si="76"/>
        <v>0.38942442676649514</v>
      </c>
      <c r="X286" s="101">
        <f t="shared" si="76"/>
        <v>0</v>
      </c>
      <c r="Y286" s="101">
        <f t="shared" si="76"/>
        <v>0</v>
      </c>
      <c r="Z286" s="101">
        <f t="shared" si="76"/>
        <v>0</v>
      </c>
      <c r="AA286" s="101">
        <f t="shared" si="76"/>
        <v>0</v>
      </c>
      <c r="AB286" s="101">
        <f t="shared" si="76"/>
        <v>0.38942442676649514</v>
      </c>
      <c r="AC286" s="101">
        <f t="shared" si="76"/>
        <v>0</v>
      </c>
      <c r="AD286" s="101">
        <f t="shared" si="76"/>
        <v>0</v>
      </c>
      <c r="AE286" s="101">
        <f t="shared" si="76"/>
        <v>0</v>
      </c>
      <c r="AF286" s="101">
        <f t="shared" si="76"/>
        <v>0</v>
      </c>
      <c r="AG286" s="101">
        <f t="shared" si="76"/>
        <v>0.38942442676649514</v>
      </c>
      <c r="AH286" s="101">
        <f t="shared" si="76"/>
        <v>0.38942442676649514</v>
      </c>
      <c r="AI286" s="101">
        <f t="shared" si="76"/>
        <v>0</v>
      </c>
      <c r="AJ286" s="101">
        <f t="shared" si="76"/>
        <v>0</v>
      </c>
      <c r="AK286" s="101">
        <f t="shared" si="76"/>
        <v>0.38942442676649514</v>
      </c>
      <c r="AL286" s="101">
        <f t="shared" si="76"/>
        <v>0.38942442676649514</v>
      </c>
      <c r="AM286" s="101">
        <f t="shared" si="76"/>
        <v>0</v>
      </c>
      <c r="AN286" s="101">
        <f t="shared" si="76"/>
        <v>0</v>
      </c>
      <c r="AO286" s="101">
        <f t="shared" si="76"/>
        <v>0.38942442676649514</v>
      </c>
      <c r="AP286" s="101">
        <f t="shared" si="76"/>
        <v>0.38942442676649514</v>
      </c>
    </row>
    <row r="287" spans="5:42" x14ac:dyDescent="0.25">
      <c r="F287" s="28" t="s">
        <v>234</v>
      </c>
      <c r="G287" s="28" t="s">
        <v>342</v>
      </c>
      <c r="J287" s="101">
        <f t="shared" ref="J287:AP287" si="77">SUMPRODUCT(J241:J243,J$61:J$63,J$253:J$255) * hours_in_year</f>
        <v>0</v>
      </c>
      <c r="K287" s="101">
        <f t="shared" si="77"/>
        <v>0</v>
      </c>
      <c r="L287" s="101">
        <f t="shared" si="77"/>
        <v>0</v>
      </c>
      <c r="M287" s="101">
        <f t="shared" si="77"/>
        <v>0</v>
      </c>
      <c r="N287" s="101">
        <f t="shared" si="77"/>
        <v>0</v>
      </c>
      <c r="O287" s="101">
        <f t="shared" si="77"/>
        <v>0</v>
      </c>
      <c r="P287" s="101">
        <f t="shared" si="77"/>
        <v>0</v>
      </c>
      <c r="Q287" s="101">
        <f t="shared" si="77"/>
        <v>0</v>
      </c>
      <c r="R287" s="101">
        <f t="shared" si="77"/>
        <v>0</v>
      </c>
      <c r="S287" s="101">
        <f t="shared" si="77"/>
        <v>0.38942442676649514</v>
      </c>
      <c r="T287" s="101">
        <f t="shared" si="77"/>
        <v>0.38942442676649514</v>
      </c>
      <c r="U287" s="101">
        <f t="shared" si="77"/>
        <v>0.38942442676649514</v>
      </c>
      <c r="V287" s="101">
        <f t="shared" si="77"/>
        <v>0.38942442676649514</v>
      </c>
      <c r="W287" s="101">
        <f t="shared" si="77"/>
        <v>0.38942442676649514</v>
      </c>
      <c r="X287" s="101">
        <f t="shared" si="77"/>
        <v>0</v>
      </c>
      <c r="Y287" s="101">
        <f t="shared" si="77"/>
        <v>0</v>
      </c>
      <c r="Z287" s="101">
        <f t="shared" si="77"/>
        <v>0</v>
      </c>
      <c r="AA287" s="101">
        <f t="shared" si="77"/>
        <v>0</v>
      </c>
      <c r="AB287" s="101">
        <f t="shared" si="77"/>
        <v>0.38942442676649514</v>
      </c>
      <c r="AC287" s="101">
        <f t="shared" si="77"/>
        <v>0</v>
      </c>
      <c r="AD287" s="101">
        <f t="shared" si="77"/>
        <v>0</v>
      </c>
      <c r="AE287" s="101">
        <f t="shared" si="77"/>
        <v>0</v>
      </c>
      <c r="AF287" s="101">
        <f t="shared" si="77"/>
        <v>0</v>
      </c>
      <c r="AG287" s="101">
        <f t="shared" si="77"/>
        <v>0.38942442676649514</v>
      </c>
      <c r="AH287" s="101">
        <f t="shared" si="77"/>
        <v>0.38942442676649514</v>
      </c>
      <c r="AI287" s="101">
        <f t="shared" si="77"/>
        <v>0</v>
      </c>
      <c r="AJ287" s="101">
        <f t="shared" si="77"/>
        <v>0</v>
      </c>
      <c r="AK287" s="101">
        <f t="shared" si="77"/>
        <v>0.38942442676649514</v>
      </c>
      <c r="AL287" s="101">
        <f t="shared" si="77"/>
        <v>0.38942442676649514</v>
      </c>
      <c r="AM287" s="101">
        <f t="shared" si="77"/>
        <v>0</v>
      </c>
      <c r="AN287" s="101">
        <f t="shared" si="77"/>
        <v>0</v>
      </c>
      <c r="AO287" s="101">
        <f t="shared" si="77"/>
        <v>0.38942442676649514</v>
      </c>
      <c r="AP287" s="101">
        <f t="shared" si="77"/>
        <v>0.38942442676649514</v>
      </c>
    </row>
    <row r="288" spans="5:42" x14ac:dyDescent="0.25">
      <c r="F288" s="67" t="s">
        <v>235</v>
      </c>
      <c r="G288" s="67" t="s">
        <v>342</v>
      </c>
      <c r="H288" s="37"/>
      <c r="I288" s="37"/>
      <c r="J288" s="103">
        <f t="shared" ref="J288:AP288" si="78">SUMPRODUCT(J246:J248,J$61:J$63,J$253:J$255) * hours_in_year</f>
        <v>0</v>
      </c>
      <c r="K288" s="103">
        <f t="shared" si="78"/>
        <v>0</v>
      </c>
      <c r="L288" s="103">
        <f t="shared" si="78"/>
        <v>0</v>
      </c>
      <c r="M288" s="103">
        <f t="shared" si="78"/>
        <v>0</v>
      </c>
      <c r="N288" s="103">
        <f t="shared" si="78"/>
        <v>0</v>
      </c>
      <c r="O288" s="103">
        <f t="shared" si="78"/>
        <v>0</v>
      </c>
      <c r="P288" s="103">
        <f t="shared" si="78"/>
        <v>0</v>
      </c>
      <c r="Q288" s="103">
        <f t="shared" si="78"/>
        <v>0</v>
      </c>
      <c r="R288" s="103">
        <f t="shared" si="78"/>
        <v>0</v>
      </c>
      <c r="S288" s="103">
        <f t="shared" si="78"/>
        <v>0.38942442676649514</v>
      </c>
      <c r="T288" s="103">
        <f t="shared" si="78"/>
        <v>0.38942442676649514</v>
      </c>
      <c r="U288" s="103">
        <f t="shared" si="78"/>
        <v>0.38942442676649514</v>
      </c>
      <c r="V288" s="103">
        <f t="shared" si="78"/>
        <v>0.38942442676649514</v>
      </c>
      <c r="W288" s="103">
        <f t="shared" si="78"/>
        <v>0.38942442676649514</v>
      </c>
      <c r="X288" s="103">
        <f t="shared" si="78"/>
        <v>0</v>
      </c>
      <c r="Y288" s="103">
        <f t="shared" si="78"/>
        <v>0</v>
      </c>
      <c r="Z288" s="103">
        <f t="shared" si="78"/>
        <v>0</v>
      </c>
      <c r="AA288" s="103">
        <f t="shared" si="78"/>
        <v>0</v>
      </c>
      <c r="AB288" s="103">
        <f t="shared" si="78"/>
        <v>0.38942442676649514</v>
      </c>
      <c r="AC288" s="103">
        <f t="shared" si="78"/>
        <v>0</v>
      </c>
      <c r="AD288" s="103">
        <f t="shared" si="78"/>
        <v>0</v>
      </c>
      <c r="AE288" s="103">
        <f t="shared" si="78"/>
        <v>0</v>
      </c>
      <c r="AF288" s="103">
        <f t="shared" si="78"/>
        <v>0</v>
      </c>
      <c r="AG288" s="103">
        <f t="shared" si="78"/>
        <v>0.38942442676649514</v>
      </c>
      <c r="AH288" s="103">
        <f t="shared" si="78"/>
        <v>0.38942442676649514</v>
      </c>
      <c r="AI288" s="103">
        <f t="shared" si="78"/>
        <v>0</v>
      </c>
      <c r="AJ288" s="103">
        <f t="shared" si="78"/>
        <v>0</v>
      </c>
      <c r="AK288" s="103">
        <f t="shared" si="78"/>
        <v>0.38942442676649514</v>
      </c>
      <c r="AL288" s="103">
        <f t="shared" si="78"/>
        <v>0.38942442676649514</v>
      </c>
      <c r="AM288" s="103">
        <f t="shared" si="78"/>
        <v>0</v>
      </c>
      <c r="AN288" s="103">
        <f t="shared" si="78"/>
        <v>0</v>
      </c>
      <c r="AO288" s="103">
        <f t="shared" si="78"/>
        <v>0.38942442676649514</v>
      </c>
      <c r="AP288" s="103">
        <f t="shared" si="78"/>
        <v>0.38942442676649514</v>
      </c>
    </row>
    <row r="289" spans="3:44" x14ac:dyDescent="0.25">
      <c r="J289" s="92"/>
      <c r="K289" s="92"/>
      <c r="L289" s="92"/>
      <c r="M289" s="92"/>
      <c r="N289" s="92"/>
      <c r="O289" s="92"/>
      <c r="P289" s="92"/>
      <c r="Q289" s="92"/>
      <c r="R289" s="92"/>
      <c r="S289" s="92"/>
      <c r="T289" s="92"/>
      <c r="U289" s="92"/>
      <c r="V289" s="92"/>
      <c r="W289" s="92"/>
      <c r="X289" s="92"/>
      <c r="Y289" s="92"/>
      <c r="Z289" s="92"/>
      <c r="AA289" s="92"/>
      <c r="AB289" s="92"/>
      <c r="AC289" s="92"/>
      <c r="AD289" s="92"/>
      <c r="AE289" s="92"/>
      <c r="AF289" s="92"/>
      <c r="AG289" s="92"/>
      <c r="AH289" s="92"/>
      <c r="AI289" s="92"/>
      <c r="AJ289" s="92"/>
      <c r="AK289" s="92"/>
      <c r="AL289" s="92"/>
      <c r="AM289" s="92"/>
      <c r="AN289" s="92"/>
      <c r="AO289" s="92"/>
      <c r="AP289" s="92"/>
    </row>
    <row r="290" spans="3:44" x14ac:dyDescent="0.25">
      <c r="C290" s="31" t="str">
        <f ca="1">INDEX('Version control'!$H$34:$H$56,MATCH($A$1,'Version control'!$F$34:$F$56,0),1)&amp;"-K: Pseudo load coefficients, by unit rate"</f>
        <v>Section 105-K: Pseudo load coefficients, by unit rate</v>
      </c>
      <c r="D290" s="31"/>
      <c r="E290" s="31"/>
      <c r="F290" s="31"/>
      <c r="G290" s="31"/>
      <c r="H290" s="31"/>
      <c r="I290" s="31"/>
      <c r="J290" s="93"/>
      <c r="K290" s="93"/>
      <c r="L290" s="93"/>
      <c r="M290" s="93"/>
      <c r="N290" s="93"/>
      <c r="O290" s="93"/>
      <c r="P290" s="93"/>
      <c r="Q290" s="93"/>
      <c r="R290" s="93"/>
      <c r="S290" s="93"/>
      <c r="T290" s="93"/>
      <c r="U290" s="93"/>
      <c r="V290" s="93"/>
      <c r="W290" s="93"/>
      <c r="X290" s="93"/>
      <c r="Y290" s="93"/>
      <c r="Z290" s="93"/>
      <c r="AA290" s="93"/>
      <c r="AB290" s="93"/>
      <c r="AC290" s="93"/>
      <c r="AD290" s="93"/>
      <c r="AE290" s="93"/>
      <c r="AF290" s="93"/>
      <c r="AG290" s="93"/>
      <c r="AH290" s="93"/>
      <c r="AI290" s="93"/>
      <c r="AJ290" s="93"/>
      <c r="AK290" s="93"/>
      <c r="AL290" s="93"/>
      <c r="AM290" s="93"/>
      <c r="AN290" s="93"/>
      <c r="AO290" s="93"/>
      <c r="AP290" s="93"/>
      <c r="AQ290" s="31"/>
      <c r="AR290" s="31"/>
    </row>
    <row r="291" spans="3:44" x14ac:dyDescent="0.25">
      <c r="J291" s="92"/>
      <c r="K291" s="92"/>
      <c r="L291" s="92"/>
      <c r="M291" s="92"/>
      <c r="N291" s="92"/>
      <c r="O291" s="92"/>
      <c r="P291" s="92"/>
      <c r="Q291" s="92"/>
      <c r="R291" s="92"/>
      <c r="S291" s="92"/>
      <c r="T291" s="92"/>
      <c r="U291" s="92"/>
      <c r="V291" s="92"/>
      <c r="W291" s="92"/>
      <c r="X291" s="92"/>
      <c r="Y291" s="92"/>
      <c r="Z291" s="92"/>
      <c r="AA291" s="92"/>
      <c r="AB291" s="92"/>
      <c r="AC291" s="92"/>
      <c r="AD291" s="92"/>
      <c r="AE291" s="92"/>
      <c r="AF291" s="92"/>
      <c r="AG291" s="92"/>
      <c r="AH291" s="92"/>
      <c r="AI291" s="92"/>
      <c r="AJ291" s="92"/>
      <c r="AK291" s="92"/>
      <c r="AL291" s="92"/>
      <c r="AM291" s="92"/>
      <c r="AN291" s="92"/>
      <c r="AO291" s="92"/>
      <c r="AP291" s="92"/>
    </row>
    <row r="292" spans="3:44" x14ac:dyDescent="0.25">
      <c r="E292" s="32" t="s">
        <v>192</v>
      </c>
      <c r="F292" s="28"/>
      <c r="G292" s="28"/>
      <c r="J292" s="92"/>
      <c r="K292" s="92"/>
      <c r="L292" s="92"/>
      <c r="M292" s="92"/>
      <c r="N292" s="92"/>
      <c r="O292" s="92"/>
      <c r="P292" s="92"/>
      <c r="Q292" s="92"/>
      <c r="R292" s="92"/>
      <c r="S292" s="92"/>
      <c r="T292" s="92"/>
      <c r="U292" s="92"/>
      <c r="V292" s="92"/>
      <c r="W292" s="92"/>
      <c r="X292" s="92"/>
      <c r="Y292" s="92"/>
      <c r="Z292" s="92"/>
      <c r="AA292" s="92"/>
      <c r="AB292" s="92"/>
      <c r="AC292" s="92"/>
      <c r="AD292" s="92"/>
      <c r="AE292" s="92"/>
      <c r="AF292" s="92"/>
      <c r="AG292" s="92"/>
      <c r="AH292" s="92"/>
      <c r="AI292" s="92"/>
      <c r="AJ292" s="92"/>
      <c r="AK292" s="92"/>
      <c r="AL292" s="92"/>
      <c r="AM292" s="92"/>
      <c r="AN292" s="92"/>
      <c r="AO292" s="92"/>
      <c r="AP292" s="92"/>
    </row>
    <row r="293" spans="3:44" x14ac:dyDescent="0.25">
      <c r="F293" s="64" t="s">
        <v>227</v>
      </c>
      <c r="G293" s="64" t="s">
        <v>342</v>
      </c>
      <c r="H293" s="23"/>
      <c r="I293" s="23"/>
      <c r="J293" s="129">
        <f t="shared" ref="J293:AP293" si="79">J258 * J$122</f>
        <v>1.720208329573901</v>
      </c>
      <c r="K293" s="129">
        <f t="shared" si="79"/>
        <v>2.0111941908190412</v>
      </c>
      <c r="L293" s="129">
        <f t="shared" si="79"/>
        <v>0.63789742032065866</v>
      </c>
      <c r="M293" s="129">
        <f t="shared" si="79"/>
        <v>1.7621961798251133</v>
      </c>
      <c r="N293" s="129">
        <f t="shared" si="79"/>
        <v>1.9358645709567641</v>
      </c>
      <c r="O293" s="129">
        <f t="shared" si="79"/>
        <v>0.57804955915299028</v>
      </c>
      <c r="P293" s="129">
        <f t="shared" si="79"/>
        <v>1.6676583579410345</v>
      </c>
      <c r="Q293" s="129">
        <f t="shared" si="79"/>
        <v>1.3573501094857139</v>
      </c>
      <c r="R293" s="129">
        <f t="shared" si="79"/>
        <v>1.8866460088951273</v>
      </c>
      <c r="S293" s="129">
        <f t="shared" si="79"/>
        <v>6.6048290050028822</v>
      </c>
      <c r="T293" s="129">
        <f t="shared" si="79"/>
        <v>7.6821793235043545</v>
      </c>
      <c r="U293" s="129">
        <f t="shared" si="79"/>
        <v>6.7902002993910742</v>
      </c>
      <c r="V293" s="129">
        <f t="shared" si="79"/>
        <v>6.7405487014926724</v>
      </c>
      <c r="W293" s="129">
        <f t="shared" si="79"/>
        <v>6.3991931982907664</v>
      </c>
      <c r="X293" s="129">
        <f t="shared" si="79"/>
        <v>0.96400335645505142</v>
      </c>
      <c r="Y293" s="129">
        <f t="shared" si="79"/>
        <v>1.07110491036573</v>
      </c>
      <c r="Z293" s="129">
        <f t="shared" si="79"/>
        <v>1.7322439115783099</v>
      </c>
      <c r="AA293" s="129">
        <f t="shared" si="79"/>
        <v>0.93050972719429625</v>
      </c>
      <c r="AB293" s="129">
        <f t="shared" si="79"/>
        <v>12.864893142830548</v>
      </c>
      <c r="AC293" s="129">
        <f t="shared" si="79"/>
        <v>1</v>
      </c>
      <c r="AD293" s="129">
        <f t="shared" si="79"/>
        <v>1</v>
      </c>
      <c r="AE293" s="129">
        <f t="shared" si="79"/>
        <v>1</v>
      </c>
      <c r="AF293" s="129">
        <f t="shared" si="79"/>
        <v>1</v>
      </c>
      <c r="AG293" s="129">
        <f t="shared" si="79"/>
        <v>5.7057471264367825</v>
      </c>
      <c r="AH293" s="129">
        <f t="shared" si="79"/>
        <v>5.7057471264367825</v>
      </c>
      <c r="AI293" s="129">
        <f t="shared" si="79"/>
        <v>1</v>
      </c>
      <c r="AJ293" s="129">
        <f t="shared" si="79"/>
        <v>1</v>
      </c>
      <c r="AK293" s="129">
        <f t="shared" si="79"/>
        <v>5.7057471264367825</v>
      </c>
      <c r="AL293" s="129">
        <f t="shared" si="79"/>
        <v>5.7057471264367825</v>
      </c>
      <c r="AM293" s="129">
        <f t="shared" si="79"/>
        <v>1</v>
      </c>
      <c r="AN293" s="129">
        <f t="shared" si="79"/>
        <v>1</v>
      </c>
      <c r="AO293" s="129">
        <f t="shared" si="79"/>
        <v>5.7057471264367825</v>
      </c>
      <c r="AP293" s="129">
        <f t="shared" si="79"/>
        <v>5.7057471264367825</v>
      </c>
    </row>
    <row r="294" spans="3:44" x14ac:dyDescent="0.25">
      <c r="F294" s="28" t="s">
        <v>228</v>
      </c>
      <c r="G294" s="28" t="s">
        <v>342</v>
      </c>
      <c r="J294" s="101">
        <f t="shared" ref="J294:AP294" si="80">J259 * J$122</f>
        <v>0</v>
      </c>
      <c r="K294" s="101">
        <f t="shared" si="80"/>
        <v>0</v>
      </c>
      <c r="L294" s="101">
        <f t="shared" si="80"/>
        <v>0</v>
      </c>
      <c r="M294" s="101">
        <f t="shared" si="80"/>
        <v>0</v>
      </c>
      <c r="N294" s="101">
        <f t="shared" si="80"/>
        <v>0</v>
      </c>
      <c r="O294" s="101">
        <f t="shared" si="80"/>
        <v>0</v>
      </c>
      <c r="P294" s="101">
        <f t="shared" si="80"/>
        <v>0</v>
      </c>
      <c r="Q294" s="101">
        <f t="shared" si="80"/>
        <v>0</v>
      </c>
      <c r="R294" s="101">
        <f t="shared" si="80"/>
        <v>0</v>
      </c>
      <c r="S294" s="101">
        <f t="shared" si="80"/>
        <v>0</v>
      </c>
      <c r="T294" s="101">
        <f t="shared" si="80"/>
        <v>0</v>
      </c>
      <c r="U294" s="101">
        <f t="shared" si="80"/>
        <v>0</v>
      </c>
      <c r="V294" s="101">
        <f t="shared" si="80"/>
        <v>0</v>
      </c>
      <c r="W294" s="101">
        <f t="shared" si="80"/>
        <v>0</v>
      </c>
      <c r="X294" s="101">
        <f t="shared" si="80"/>
        <v>0</v>
      </c>
      <c r="Y294" s="101">
        <f t="shared" si="80"/>
        <v>0</v>
      </c>
      <c r="Z294" s="101">
        <f t="shared" si="80"/>
        <v>0</v>
      </c>
      <c r="AA294" s="101">
        <f t="shared" si="80"/>
        <v>0</v>
      </c>
      <c r="AB294" s="101">
        <f t="shared" si="80"/>
        <v>0</v>
      </c>
      <c r="AC294" s="101">
        <f t="shared" si="80"/>
        <v>0</v>
      </c>
      <c r="AD294" s="101">
        <f t="shared" si="80"/>
        <v>0</v>
      </c>
      <c r="AE294" s="101">
        <f t="shared" si="80"/>
        <v>0</v>
      </c>
      <c r="AF294" s="101">
        <f t="shared" si="80"/>
        <v>0</v>
      </c>
      <c r="AG294" s="101">
        <f t="shared" si="80"/>
        <v>0</v>
      </c>
      <c r="AH294" s="101">
        <f t="shared" si="80"/>
        <v>0</v>
      </c>
      <c r="AI294" s="101">
        <f t="shared" si="80"/>
        <v>0</v>
      </c>
      <c r="AJ294" s="101">
        <f t="shared" si="80"/>
        <v>0</v>
      </c>
      <c r="AK294" s="101">
        <f t="shared" si="80"/>
        <v>0</v>
      </c>
      <c r="AL294" s="101">
        <f t="shared" si="80"/>
        <v>0</v>
      </c>
      <c r="AM294" s="101">
        <f t="shared" si="80"/>
        <v>0</v>
      </c>
      <c r="AN294" s="101">
        <f t="shared" si="80"/>
        <v>0</v>
      </c>
      <c r="AO294" s="101">
        <f t="shared" si="80"/>
        <v>0</v>
      </c>
      <c r="AP294" s="101">
        <f t="shared" si="80"/>
        <v>0</v>
      </c>
    </row>
    <row r="295" spans="3:44" x14ac:dyDescent="0.25">
      <c r="F295" s="28" t="s">
        <v>229</v>
      </c>
      <c r="G295" s="28" t="s">
        <v>342</v>
      </c>
      <c r="J295" s="101">
        <f t="shared" ref="J295:AP295" si="81">J260 * J$122</f>
        <v>0</v>
      </c>
      <c r="K295" s="101">
        <f t="shared" si="81"/>
        <v>0</v>
      </c>
      <c r="L295" s="101">
        <f t="shared" si="81"/>
        <v>0</v>
      </c>
      <c r="M295" s="101">
        <f t="shared" si="81"/>
        <v>0</v>
      </c>
      <c r="N295" s="101">
        <f t="shared" si="81"/>
        <v>0</v>
      </c>
      <c r="O295" s="101">
        <f t="shared" si="81"/>
        <v>0</v>
      </c>
      <c r="P295" s="101">
        <f t="shared" si="81"/>
        <v>0</v>
      </c>
      <c r="Q295" s="101">
        <f t="shared" si="81"/>
        <v>0</v>
      </c>
      <c r="R295" s="101">
        <f t="shared" si="81"/>
        <v>0</v>
      </c>
      <c r="S295" s="101">
        <f t="shared" si="81"/>
        <v>0</v>
      </c>
      <c r="T295" s="101">
        <f t="shared" si="81"/>
        <v>0</v>
      </c>
      <c r="U295" s="101">
        <f t="shared" si="81"/>
        <v>0</v>
      </c>
      <c r="V295" s="101">
        <f t="shared" si="81"/>
        <v>0</v>
      </c>
      <c r="W295" s="101">
        <f t="shared" si="81"/>
        <v>0</v>
      </c>
      <c r="X295" s="101">
        <f t="shared" si="81"/>
        <v>0</v>
      </c>
      <c r="Y295" s="101">
        <f t="shared" si="81"/>
        <v>0</v>
      </c>
      <c r="Z295" s="101">
        <f t="shared" si="81"/>
        <v>0</v>
      </c>
      <c r="AA295" s="101">
        <f t="shared" si="81"/>
        <v>0</v>
      </c>
      <c r="AB295" s="101">
        <f t="shared" si="81"/>
        <v>0</v>
      </c>
      <c r="AC295" s="101">
        <f t="shared" si="81"/>
        <v>0</v>
      </c>
      <c r="AD295" s="101">
        <f t="shared" si="81"/>
        <v>0</v>
      </c>
      <c r="AE295" s="101">
        <f t="shared" si="81"/>
        <v>0</v>
      </c>
      <c r="AF295" s="101">
        <f t="shared" si="81"/>
        <v>0</v>
      </c>
      <c r="AG295" s="101">
        <f t="shared" si="81"/>
        <v>0</v>
      </c>
      <c r="AH295" s="101">
        <f t="shared" si="81"/>
        <v>0</v>
      </c>
      <c r="AI295" s="101">
        <f t="shared" si="81"/>
        <v>0</v>
      </c>
      <c r="AJ295" s="101">
        <f t="shared" si="81"/>
        <v>0</v>
      </c>
      <c r="AK295" s="101">
        <f t="shared" si="81"/>
        <v>0</v>
      </c>
      <c r="AL295" s="101">
        <f t="shared" si="81"/>
        <v>0</v>
      </c>
      <c r="AM295" s="101">
        <f t="shared" si="81"/>
        <v>0</v>
      </c>
      <c r="AN295" s="101">
        <f t="shared" si="81"/>
        <v>0</v>
      </c>
      <c r="AO295" s="101">
        <f t="shared" si="81"/>
        <v>0</v>
      </c>
      <c r="AP295" s="101">
        <f t="shared" si="81"/>
        <v>0</v>
      </c>
    </row>
    <row r="296" spans="3:44" x14ac:dyDescent="0.25">
      <c r="F296" s="28" t="s">
        <v>230</v>
      </c>
      <c r="G296" s="28" t="s">
        <v>342</v>
      </c>
      <c r="J296" s="101">
        <f t="shared" ref="J296:AP296" si="82">J261 * J$122</f>
        <v>1.6922585176949778</v>
      </c>
      <c r="K296" s="101">
        <f t="shared" si="82"/>
        <v>1.9547014088488563</v>
      </c>
      <c r="L296" s="101">
        <f t="shared" si="82"/>
        <v>0.67654463695392009</v>
      </c>
      <c r="M296" s="101">
        <f t="shared" si="82"/>
        <v>1.7546340804461242</v>
      </c>
      <c r="N296" s="101">
        <f t="shared" si="82"/>
        <v>1.9023893483726313</v>
      </c>
      <c r="O296" s="101">
        <f t="shared" si="82"/>
        <v>0.61853047742426237</v>
      </c>
      <c r="P296" s="101">
        <f t="shared" si="82"/>
        <v>1.6389445788072325</v>
      </c>
      <c r="Q296" s="101">
        <f t="shared" si="82"/>
        <v>1.3339792247565812</v>
      </c>
      <c r="R296" s="101">
        <f t="shared" si="82"/>
        <v>1.8551789393459415</v>
      </c>
      <c r="S296" s="101">
        <f t="shared" si="82"/>
        <v>5.9572967496104425</v>
      </c>
      <c r="T296" s="101">
        <f t="shared" si="82"/>
        <v>6.9290244878666725</v>
      </c>
      <c r="U296" s="101">
        <f t="shared" si="82"/>
        <v>6.1244943876860667</v>
      </c>
      <c r="V296" s="101">
        <f t="shared" si="82"/>
        <v>6.0797105935031945</v>
      </c>
      <c r="W296" s="101">
        <f t="shared" si="82"/>
        <v>5.7718213161053971</v>
      </c>
      <c r="X296" s="101">
        <f t="shared" si="82"/>
        <v>0.96334240275326455</v>
      </c>
      <c r="Y296" s="101">
        <f t="shared" si="82"/>
        <v>1.0101211359837954</v>
      </c>
      <c r="Z296" s="101">
        <f t="shared" si="82"/>
        <v>1.5821722193444481</v>
      </c>
      <c r="AA296" s="101">
        <f t="shared" si="82"/>
        <v>0.97403163253443814</v>
      </c>
      <c r="AB296" s="101">
        <f t="shared" si="82"/>
        <v>10.88567881316431</v>
      </c>
      <c r="AC296" s="101">
        <f t="shared" si="82"/>
        <v>1</v>
      </c>
      <c r="AD296" s="101">
        <f t="shared" si="82"/>
        <v>1</v>
      </c>
      <c r="AE296" s="101">
        <f t="shared" si="82"/>
        <v>1</v>
      </c>
      <c r="AF296" s="101">
        <f t="shared" si="82"/>
        <v>1</v>
      </c>
      <c r="AG296" s="101">
        <f t="shared" si="82"/>
        <v>5.1463601532567056</v>
      </c>
      <c r="AH296" s="101">
        <f t="shared" si="82"/>
        <v>5.1463601532567056</v>
      </c>
      <c r="AI296" s="101">
        <f t="shared" si="82"/>
        <v>1</v>
      </c>
      <c r="AJ296" s="101">
        <f t="shared" si="82"/>
        <v>1</v>
      </c>
      <c r="AK296" s="101">
        <f t="shared" si="82"/>
        <v>5.1463601532567056</v>
      </c>
      <c r="AL296" s="101">
        <f t="shared" si="82"/>
        <v>5.1463601532567056</v>
      </c>
      <c r="AM296" s="101">
        <f t="shared" si="82"/>
        <v>1</v>
      </c>
      <c r="AN296" s="101">
        <f t="shared" si="82"/>
        <v>1</v>
      </c>
      <c r="AO296" s="101">
        <f t="shared" si="82"/>
        <v>5.1463601532567056</v>
      </c>
      <c r="AP296" s="101">
        <f t="shared" si="82"/>
        <v>5.1463601532567056</v>
      </c>
    </row>
    <row r="297" spans="3:44" x14ac:dyDescent="0.25">
      <c r="F297" s="28" t="s">
        <v>231</v>
      </c>
      <c r="G297" s="28" t="s">
        <v>342</v>
      </c>
      <c r="J297" s="101">
        <f t="shared" ref="J297:AP297" si="83">J262 * J$122</f>
        <v>1.6922585176949778</v>
      </c>
      <c r="K297" s="101">
        <f t="shared" si="83"/>
        <v>1.9547014088488563</v>
      </c>
      <c r="L297" s="101">
        <f t="shared" si="83"/>
        <v>0.67654463695392009</v>
      </c>
      <c r="M297" s="101">
        <f t="shared" si="83"/>
        <v>1.7546340804461242</v>
      </c>
      <c r="N297" s="101">
        <f t="shared" si="83"/>
        <v>1.9023893483726313</v>
      </c>
      <c r="O297" s="101">
        <f t="shared" si="83"/>
        <v>0.61853047742426237</v>
      </c>
      <c r="P297" s="101">
        <f t="shared" si="83"/>
        <v>1.6389445788072325</v>
      </c>
      <c r="Q297" s="101">
        <f t="shared" si="83"/>
        <v>1.3339792247565812</v>
      </c>
      <c r="R297" s="101">
        <f t="shared" si="83"/>
        <v>1.8551789393459415</v>
      </c>
      <c r="S297" s="101">
        <f t="shared" si="83"/>
        <v>5.9572967496104425</v>
      </c>
      <c r="T297" s="101">
        <f t="shared" si="83"/>
        <v>6.9290244878666725</v>
      </c>
      <c r="U297" s="101">
        <f t="shared" si="83"/>
        <v>6.1244943876860667</v>
      </c>
      <c r="V297" s="101">
        <f t="shared" si="83"/>
        <v>6.0797105935031945</v>
      </c>
      <c r="W297" s="101">
        <f t="shared" si="83"/>
        <v>5.7718213161053971</v>
      </c>
      <c r="X297" s="101">
        <f t="shared" si="83"/>
        <v>0.96334240275326455</v>
      </c>
      <c r="Y297" s="101">
        <f t="shared" si="83"/>
        <v>1.0101211359837954</v>
      </c>
      <c r="Z297" s="101">
        <f t="shared" si="83"/>
        <v>1.5821722193444481</v>
      </c>
      <c r="AA297" s="101">
        <f t="shared" si="83"/>
        <v>0.97403163253443814</v>
      </c>
      <c r="AB297" s="101">
        <f t="shared" si="83"/>
        <v>10.88567881316431</v>
      </c>
      <c r="AC297" s="101">
        <f t="shared" si="83"/>
        <v>1</v>
      </c>
      <c r="AD297" s="101">
        <f t="shared" si="83"/>
        <v>1</v>
      </c>
      <c r="AE297" s="101">
        <f t="shared" si="83"/>
        <v>1</v>
      </c>
      <c r="AF297" s="101">
        <f t="shared" si="83"/>
        <v>1</v>
      </c>
      <c r="AG297" s="101">
        <f t="shared" si="83"/>
        <v>5.1463601532567056</v>
      </c>
      <c r="AH297" s="101">
        <f t="shared" si="83"/>
        <v>5.1463601532567056</v>
      </c>
      <c r="AI297" s="101">
        <f t="shared" si="83"/>
        <v>1</v>
      </c>
      <c r="AJ297" s="101">
        <f t="shared" si="83"/>
        <v>1</v>
      </c>
      <c r="AK297" s="101">
        <f t="shared" si="83"/>
        <v>5.1463601532567056</v>
      </c>
      <c r="AL297" s="101">
        <f t="shared" si="83"/>
        <v>5.1463601532567056</v>
      </c>
      <c r="AM297" s="101">
        <f t="shared" si="83"/>
        <v>1</v>
      </c>
      <c r="AN297" s="101">
        <f t="shared" si="83"/>
        <v>1</v>
      </c>
      <c r="AO297" s="101">
        <f t="shared" si="83"/>
        <v>5.1463601532567056</v>
      </c>
      <c r="AP297" s="101">
        <f t="shared" si="83"/>
        <v>5.1463601532567056</v>
      </c>
    </row>
    <row r="298" spans="3:44" x14ac:dyDescent="0.25">
      <c r="F298" s="28" t="s">
        <v>232</v>
      </c>
      <c r="G298" s="28" t="s">
        <v>342</v>
      </c>
      <c r="J298" s="101">
        <f t="shared" ref="J298:AP298" si="84">J263 * J$122</f>
        <v>0</v>
      </c>
      <c r="K298" s="101">
        <f t="shared" si="84"/>
        <v>0</v>
      </c>
      <c r="L298" s="101">
        <f t="shared" si="84"/>
        <v>0</v>
      </c>
      <c r="M298" s="101">
        <f t="shared" si="84"/>
        <v>0</v>
      </c>
      <c r="N298" s="101">
        <f t="shared" si="84"/>
        <v>0</v>
      </c>
      <c r="O298" s="101">
        <f t="shared" si="84"/>
        <v>0</v>
      </c>
      <c r="P298" s="101">
        <f t="shared" si="84"/>
        <v>0</v>
      </c>
      <c r="Q298" s="101">
        <f t="shared" si="84"/>
        <v>0</v>
      </c>
      <c r="R298" s="101">
        <f t="shared" si="84"/>
        <v>0</v>
      </c>
      <c r="S298" s="101">
        <f t="shared" si="84"/>
        <v>0</v>
      </c>
      <c r="T298" s="101">
        <f t="shared" si="84"/>
        <v>0</v>
      </c>
      <c r="U298" s="101">
        <f t="shared" si="84"/>
        <v>0</v>
      </c>
      <c r="V298" s="101">
        <f t="shared" si="84"/>
        <v>0</v>
      </c>
      <c r="W298" s="101">
        <f t="shared" si="84"/>
        <v>0</v>
      </c>
      <c r="X298" s="101">
        <f t="shared" si="84"/>
        <v>0</v>
      </c>
      <c r="Y298" s="101">
        <f t="shared" si="84"/>
        <v>0</v>
      </c>
      <c r="Z298" s="101">
        <f t="shared" si="84"/>
        <v>0</v>
      </c>
      <c r="AA298" s="101">
        <f t="shared" si="84"/>
        <v>0</v>
      </c>
      <c r="AB298" s="101">
        <f t="shared" si="84"/>
        <v>0</v>
      </c>
      <c r="AC298" s="101">
        <f t="shared" si="84"/>
        <v>0</v>
      </c>
      <c r="AD298" s="101">
        <f t="shared" si="84"/>
        <v>0</v>
      </c>
      <c r="AE298" s="101">
        <f t="shared" si="84"/>
        <v>0</v>
      </c>
      <c r="AF298" s="101">
        <f t="shared" si="84"/>
        <v>0</v>
      </c>
      <c r="AG298" s="101">
        <f t="shared" si="84"/>
        <v>0</v>
      </c>
      <c r="AH298" s="101">
        <f t="shared" si="84"/>
        <v>0</v>
      </c>
      <c r="AI298" s="101">
        <f t="shared" si="84"/>
        <v>0</v>
      </c>
      <c r="AJ298" s="101">
        <f t="shared" si="84"/>
        <v>0</v>
      </c>
      <c r="AK298" s="101">
        <f t="shared" si="84"/>
        <v>0</v>
      </c>
      <c r="AL298" s="101">
        <f t="shared" si="84"/>
        <v>0</v>
      </c>
      <c r="AM298" s="101">
        <f t="shared" si="84"/>
        <v>0</v>
      </c>
      <c r="AN298" s="101">
        <f t="shared" si="84"/>
        <v>0</v>
      </c>
      <c r="AO298" s="101">
        <f t="shared" si="84"/>
        <v>0</v>
      </c>
      <c r="AP298" s="101">
        <f t="shared" si="84"/>
        <v>0</v>
      </c>
    </row>
    <row r="299" spans="3:44" x14ac:dyDescent="0.25">
      <c r="F299" s="28" t="s">
        <v>233</v>
      </c>
      <c r="G299" s="28" t="s">
        <v>342</v>
      </c>
      <c r="J299" s="101">
        <f t="shared" ref="J299:AP299" si="85">J264 * J$122</f>
        <v>1.6922585176949778</v>
      </c>
      <c r="K299" s="101">
        <f t="shared" si="85"/>
        <v>1.9547014088488563</v>
      </c>
      <c r="L299" s="101">
        <f t="shared" si="85"/>
        <v>0.67654463695392009</v>
      </c>
      <c r="M299" s="101">
        <f t="shared" si="85"/>
        <v>1.7546340804461242</v>
      </c>
      <c r="N299" s="101">
        <f t="shared" si="85"/>
        <v>1.9023893483726313</v>
      </c>
      <c r="O299" s="101">
        <f t="shared" si="85"/>
        <v>0.61853047742426237</v>
      </c>
      <c r="P299" s="101">
        <f t="shared" si="85"/>
        <v>1.6389445788072325</v>
      </c>
      <c r="Q299" s="101">
        <f t="shared" si="85"/>
        <v>1.3339792247565812</v>
      </c>
      <c r="R299" s="101">
        <f t="shared" si="85"/>
        <v>1.8551789393459415</v>
      </c>
      <c r="S299" s="101">
        <f t="shared" si="85"/>
        <v>5.9572967496104425</v>
      </c>
      <c r="T299" s="101">
        <f t="shared" si="85"/>
        <v>6.9290244878666725</v>
      </c>
      <c r="U299" s="101">
        <f t="shared" si="85"/>
        <v>6.1244943876860667</v>
      </c>
      <c r="V299" s="101">
        <f t="shared" si="85"/>
        <v>6.0797105935031945</v>
      </c>
      <c r="W299" s="101">
        <f t="shared" si="85"/>
        <v>5.7718213161053971</v>
      </c>
      <c r="X299" s="101">
        <f t="shared" si="85"/>
        <v>0.96334240275326455</v>
      </c>
      <c r="Y299" s="101">
        <f t="shared" si="85"/>
        <v>1.0101211359837954</v>
      </c>
      <c r="Z299" s="101">
        <f t="shared" si="85"/>
        <v>1.5821722193444481</v>
      </c>
      <c r="AA299" s="101">
        <f t="shared" si="85"/>
        <v>0.97403163253443814</v>
      </c>
      <c r="AB299" s="101">
        <f t="shared" si="85"/>
        <v>10.88567881316431</v>
      </c>
      <c r="AC299" s="101">
        <f t="shared" si="85"/>
        <v>1</v>
      </c>
      <c r="AD299" s="101">
        <f t="shared" si="85"/>
        <v>1</v>
      </c>
      <c r="AE299" s="101">
        <f t="shared" si="85"/>
        <v>1</v>
      </c>
      <c r="AF299" s="101">
        <f t="shared" si="85"/>
        <v>1</v>
      </c>
      <c r="AG299" s="101">
        <f t="shared" si="85"/>
        <v>5.1463601532567056</v>
      </c>
      <c r="AH299" s="101">
        <f t="shared" si="85"/>
        <v>5.1463601532567056</v>
      </c>
      <c r="AI299" s="101">
        <f t="shared" si="85"/>
        <v>1</v>
      </c>
      <c r="AJ299" s="101">
        <f t="shared" si="85"/>
        <v>1</v>
      </c>
      <c r="AK299" s="101">
        <f t="shared" si="85"/>
        <v>5.1463601532567056</v>
      </c>
      <c r="AL299" s="101">
        <f t="shared" si="85"/>
        <v>5.1463601532567056</v>
      </c>
      <c r="AM299" s="101">
        <f t="shared" si="85"/>
        <v>1</v>
      </c>
      <c r="AN299" s="101">
        <f t="shared" si="85"/>
        <v>1</v>
      </c>
      <c r="AO299" s="101">
        <f t="shared" si="85"/>
        <v>5.1463601532567056</v>
      </c>
      <c r="AP299" s="101">
        <f t="shared" si="85"/>
        <v>5.1463601532567056</v>
      </c>
    </row>
    <row r="300" spans="3:44" x14ac:dyDescent="0.25">
      <c r="F300" s="28" t="s">
        <v>234</v>
      </c>
      <c r="G300" s="28" t="s">
        <v>342</v>
      </c>
      <c r="J300" s="101">
        <f t="shared" ref="J300:AP300" si="86">J265 * J$122</f>
        <v>1.6922585176949778</v>
      </c>
      <c r="K300" s="101">
        <f t="shared" si="86"/>
        <v>1.9547014088488563</v>
      </c>
      <c r="L300" s="101">
        <f t="shared" si="86"/>
        <v>0.67654463695392009</v>
      </c>
      <c r="M300" s="101">
        <f t="shared" si="86"/>
        <v>1.7546340804461242</v>
      </c>
      <c r="N300" s="101">
        <f t="shared" si="86"/>
        <v>1.9023893483726313</v>
      </c>
      <c r="O300" s="101">
        <f t="shared" si="86"/>
        <v>0.61853047742426237</v>
      </c>
      <c r="P300" s="101">
        <f t="shared" si="86"/>
        <v>1.6389445788072325</v>
      </c>
      <c r="Q300" s="101">
        <f t="shared" si="86"/>
        <v>1.3339792247565812</v>
      </c>
      <c r="R300" s="101">
        <f t="shared" si="86"/>
        <v>1.8551789393459415</v>
      </c>
      <c r="S300" s="101">
        <f t="shared" si="86"/>
        <v>5.9572967496104425</v>
      </c>
      <c r="T300" s="101">
        <f t="shared" si="86"/>
        <v>6.9290244878666725</v>
      </c>
      <c r="U300" s="101">
        <f t="shared" si="86"/>
        <v>6.1244943876860667</v>
      </c>
      <c r="V300" s="101">
        <f t="shared" si="86"/>
        <v>6.0797105935031945</v>
      </c>
      <c r="W300" s="101">
        <f t="shared" si="86"/>
        <v>5.7718213161053971</v>
      </c>
      <c r="X300" s="101">
        <f t="shared" si="86"/>
        <v>0.96334240275326455</v>
      </c>
      <c r="Y300" s="101">
        <f t="shared" si="86"/>
        <v>1.0101211359837954</v>
      </c>
      <c r="Z300" s="101">
        <f t="shared" si="86"/>
        <v>1.5821722193444481</v>
      </c>
      <c r="AA300" s="101">
        <f t="shared" si="86"/>
        <v>0.97403163253443814</v>
      </c>
      <c r="AB300" s="101">
        <f t="shared" si="86"/>
        <v>10.88567881316431</v>
      </c>
      <c r="AC300" s="101">
        <f t="shared" si="86"/>
        <v>1</v>
      </c>
      <c r="AD300" s="101">
        <f t="shared" si="86"/>
        <v>1</v>
      </c>
      <c r="AE300" s="101">
        <f t="shared" si="86"/>
        <v>1</v>
      </c>
      <c r="AF300" s="101">
        <f t="shared" si="86"/>
        <v>1</v>
      </c>
      <c r="AG300" s="101">
        <f t="shared" si="86"/>
        <v>5.1463601532567056</v>
      </c>
      <c r="AH300" s="101">
        <f t="shared" si="86"/>
        <v>5.1463601532567056</v>
      </c>
      <c r="AI300" s="101">
        <f t="shared" si="86"/>
        <v>1</v>
      </c>
      <c r="AJ300" s="101">
        <f t="shared" si="86"/>
        <v>1</v>
      </c>
      <c r="AK300" s="101">
        <f t="shared" si="86"/>
        <v>5.1463601532567056</v>
      </c>
      <c r="AL300" s="101">
        <f t="shared" si="86"/>
        <v>5.1463601532567056</v>
      </c>
      <c r="AM300" s="101">
        <f t="shared" si="86"/>
        <v>1</v>
      </c>
      <c r="AN300" s="101">
        <f t="shared" si="86"/>
        <v>1</v>
      </c>
      <c r="AO300" s="101">
        <f t="shared" si="86"/>
        <v>5.1463601532567056</v>
      </c>
      <c r="AP300" s="101">
        <f t="shared" si="86"/>
        <v>5.1463601532567056</v>
      </c>
    </row>
    <row r="301" spans="3:44" x14ac:dyDescent="0.25">
      <c r="F301" s="67" t="s">
        <v>235</v>
      </c>
      <c r="G301" s="67" t="s">
        <v>342</v>
      </c>
      <c r="H301" s="37"/>
      <c r="I301" s="37"/>
      <c r="J301" s="103">
        <f t="shared" ref="J301:AP301" si="87">J266 * J$122</f>
        <v>1.6922585176949778</v>
      </c>
      <c r="K301" s="103">
        <f t="shared" si="87"/>
        <v>1.9547014088488563</v>
      </c>
      <c r="L301" s="103">
        <f t="shared" si="87"/>
        <v>0.67654463695392009</v>
      </c>
      <c r="M301" s="103">
        <f t="shared" si="87"/>
        <v>1.7546340804461242</v>
      </c>
      <c r="N301" s="103">
        <f t="shared" si="87"/>
        <v>1.9023893483726313</v>
      </c>
      <c r="O301" s="103">
        <f t="shared" si="87"/>
        <v>0.61853047742426237</v>
      </c>
      <c r="P301" s="103">
        <f t="shared" si="87"/>
        <v>1.6389445788072325</v>
      </c>
      <c r="Q301" s="103">
        <f t="shared" si="87"/>
        <v>1.3339792247565812</v>
      </c>
      <c r="R301" s="103">
        <f t="shared" si="87"/>
        <v>1.8551789393459415</v>
      </c>
      <c r="S301" s="103">
        <f t="shared" si="87"/>
        <v>5.9572967496104425</v>
      </c>
      <c r="T301" s="103">
        <f t="shared" si="87"/>
        <v>6.9290244878666725</v>
      </c>
      <c r="U301" s="103">
        <f t="shared" si="87"/>
        <v>6.1244943876860667</v>
      </c>
      <c r="V301" s="103">
        <f t="shared" si="87"/>
        <v>6.0797105935031945</v>
      </c>
      <c r="W301" s="103">
        <f t="shared" si="87"/>
        <v>5.7718213161053971</v>
      </c>
      <c r="X301" s="103">
        <f t="shared" si="87"/>
        <v>0.96334240275326455</v>
      </c>
      <c r="Y301" s="103">
        <f t="shared" si="87"/>
        <v>1.0101211359837954</v>
      </c>
      <c r="Z301" s="103">
        <f t="shared" si="87"/>
        <v>1.5821722193444481</v>
      </c>
      <c r="AA301" s="103">
        <f t="shared" si="87"/>
        <v>0.97403163253443814</v>
      </c>
      <c r="AB301" s="103">
        <f t="shared" si="87"/>
        <v>10.88567881316431</v>
      </c>
      <c r="AC301" s="103">
        <f t="shared" si="87"/>
        <v>1</v>
      </c>
      <c r="AD301" s="103">
        <f t="shared" si="87"/>
        <v>1</v>
      </c>
      <c r="AE301" s="103">
        <f t="shared" si="87"/>
        <v>1</v>
      </c>
      <c r="AF301" s="103">
        <f t="shared" si="87"/>
        <v>1</v>
      </c>
      <c r="AG301" s="103">
        <f t="shared" si="87"/>
        <v>5.1463601532567056</v>
      </c>
      <c r="AH301" s="103">
        <f t="shared" si="87"/>
        <v>5.1463601532567056</v>
      </c>
      <c r="AI301" s="103">
        <f t="shared" si="87"/>
        <v>1</v>
      </c>
      <c r="AJ301" s="103">
        <f t="shared" si="87"/>
        <v>1</v>
      </c>
      <c r="AK301" s="103">
        <f t="shared" si="87"/>
        <v>5.1463601532567056</v>
      </c>
      <c r="AL301" s="103">
        <f t="shared" si="87"/>
        <v>5.1463601532567056</v>
      </c>
      <c r="AM301" s="103">
        <f t="shared" si="87"/>
        <v>1</v>
      </c>
      <c r="AN301" s="103">
        <f t="shared" si="87"/>
        <v>1</v>
      </c>
      <c r="AO301" s="103">
        <f t="shared" si="87"/>
        <v>5.1463601532567056</v>
      </c>
      <c r="AP301" s="103">
        <f t="shared" si="87"/>
        <v>5.1463601532567056</v>
      </c>
    </row>
    <row r="302" spans="3:44" x14ac:dyDescent="0.25">
      <c r="F302" s="167"/>
      <c r="G302" s="28"/>
      <c r="J302" s="101"/>
      <c r="K302" s="101"/>
      <c r="L302" s="101"/>
      <c r="M302" s="101"/>
      <c r="N302" s="101"/>
      <c r="O302" s="101"/>
      <c r="P302" s="101"/>
      <c r="Q302" s="101"/>
      <c r="R302" s="101"/>
      <c r="S302" s="101"/>
      <c r="T302" s="101"/>
      <c r="U302" s="101"/>
      <c r="V302" s="101"/>
      <c r="W302" s="101"/>
      <c r="X302" s="101"/>
      <c r="Y302" s="101"/>
      <c r="Z302" s="101"/>
      <c r="AA302" s="101"/>
      <c r="AB302" s="101"/>
      <c r="AC302" s="101"/>
      <c r="AD302" s="101"/>
      <c r="AE302" s="101"/>
      <c r="AF302" s="101"/>
      <c r="AG302" s="101"/>
      <c r="AH302" s="101"/>
      <c r="AI302" s="101"/>
      <c r="AJ302" s="101"/>
      <c r="AK302" s="101"/>
      <c r="AL302" s="101"/>
      <c r="AM302" s="101"/>
      <c r="AN302" s="101"/>
      <c r="AO302" s="101"/>
      <c r="AP302" s="101"/>
    </row>
    <row r="303" spans="3:44" x14ac:dyDescent="0.25">
      <c r="E303" s="32" t="s">
        <v>193</v>
      </c>
      <c r="F303" s="28"/>
      <c r="G303" s="28"/>
      <c r="J303" s="92"/>
      <c r="K303" s="92"/>
      <c r="L303" s="92"/>
      <c r="M303" s="92"/>
      <c r="N303" s="92"/>
      <c r="O303" s="92"/>
      <c r="P303" s="92"/>
      <c r="Q303" s="92"/>
      <c r="R303" s="92"/>
      <c r="S303" s="92"/>
      <c r="T303" s="92"/>
      <c r="U303" s="92"/>
      <c r="V303" s="92"/>
      <c r="W303" s="92"/>
      <c r="X303" s="92"/>
      <c r="Y303" s="92"/>
      <c r="Z303" s="92"/>
      <c r="AA303" s="92"/>
      <c r="AB303" s="92"/>
      <c r="AC303" s="92"/>
      <c r="AD303" s="92"/>
      <c r="AE303" s="92"/>
      <c r="AF303" s="92"/>
      <c r="AG303" s="92"/>
      <c r="AH303" s="92"/>
      <c r="AI303" s="92"/>
      <c r="AJ303" s="92"/>
      <c r="AK303" s="92"/>
      <c r="AL303" s="92"/>
      <c r="AM303" s="92"/>
      <c r="AN303" s="92"/>
      <c r="AO303" s="92"/>
      <c r="AP303" s="92"/>
    </row>
    <row r="304" spans="3:44" x14ac:dyDescent="0.25">
      <c r="F304" s="64" t="s">
        <v>227</v>
      </c>
      <c r="G304" s="64" t="s">
        <v>342</v>
      </c>
      <c r="H304" s="23"/>
      <c r="I304" s="23"/>
      <c r="J304" s="129">
        <f t="shared" ref="J304:AP304" si="88">J269 * J$122</f>
        <v>0</v>
      </c>
      <c r="K304" s="129">
        <f t="shared" si="88"/>
        <v>0.63930415315592237</v>
      </c>
      <c r="L304" s="129">
        <f t="shared" si="88"/>
        <v>0</v>
      </c>
      <c r="M304" s="129">
        <f t="shared" si="88"/>
        <v>0</v>
      </c>
      <c r="N304" s="129">
        <f t="shared" si="88"/>
        <v>0.53591862151126668</v>
      </c>
      <c r="O304" s="129">
        <f t="shared" si="88"/>
        <v>0</v>
      </c>
      <c r="P304" s="129">
        <f t="shared" si="88"/>
        <v>0.50200210014915581</v>
      </c>
      <c r="Q304" s="129">
        <f t="shared" si="88"/>
        <v>0.40859244482232721</v>
      </c>
      <c r="R304" s="129">
        <f t="shared" si="88"/>
        <v>0.56362240705136524</v>
      </c>
      <c r="S304" s="129">
        <f t="shared" si="88"/>
        <v>0.87629317802392426</v>
      </c>
      <c r="T304" s="129">
        <f t="shared" si="88"/>
        <v>1.019230222076033</v>
      </c>
      <c r="U304" s="129">
        <f t="shared" si="88"/>
        <v>0.90088724405512599</v>
      </c>
      <c r="V304" s="129">
        <f t="shared" si="88"/>
        <v>0.89429973717441791</v>
      </c>
      <c r="W304" s="129">
        <f t="shared" si="88"/>
        <v>0.84901052552182599</v>
      </c>
      <c r="X304" s="129">
        <f t="shared" si="88"/>
        <v>0</v>
      </c>
      <c r="Y304" s="129">
        <f t="shared" si="88"/>
        <v>0</v>
      </c>
      <c r="Z304" s="129">
        <f t="shared" si="88"/>
        <v>0</v>
      </c>
      <c r="AA304" s="129">
        <f t="shared" si="88"/>
        <v>0</v>
      </c>
      <c r="AB304" s="129">
        <f t="shared" si="88"/>
        <v>0.87476501925688155</v>
      </c>
      <c r="AC304" s="129">
        <f t="shared" si="88"/>
        <v>0</v>
      </c>
      <c r="AD304" s="129">
        <f t="shared" si="88"/>
        <v>0</v>
      </c>
      <c r="AE304" s="129">
        <f t="shared" si="88"/>
        <v>0</v>
      </c>
      <c r="AF304" s="129">
        <f t="shared" si="88"/>
        <v>0</v>
      </c>
      <c r="AG304" s="129">
        <f t="shared" si="88"/>
        <v>0.75700783148798267</v>
      </c>
      <c r="AH304" s="129">
        <f t="shared" si="88"/>
        <v>0.75700783148798267</v>
      </c>
      <c r="AI304" s="129">
        <f t="shared" si="88"/>
        <v>0</v>
      </c>
      <c r="AJ304" s="129">
        <f t="shared" si="88"/>
        <v>0</v>
      </c>
      <c r="AK304" s="129">
        <f t="shared" si="88"/>
        <v>0.75700783148798267</v>
      </c>
      <c r="AL304" s="129">
        <f t="shared" si="88"/>
        <v>0.75700783148798267</v>
      </c>
      <c r="AM304" s="129">
        <f t="shared" si="88"/>
        <v>0</v>
      </c>
      <c r="AN304" s="129">
        <f t="shared" si="88"/>
        <v>0</v>
      </c>
      <c r="AO304" s="129">
        <f t="shared" si="88"/>
        <v>0.75700783148798267</v>
      </c>
      <c r="AP304" s="129">
        <f t="shared" si="88"/>
        <v>0.75700783148798267</v>
      </c>
    </row>
    <row r="305" spans="5:42" x14ac:dyDescent="0.25">
      <c r="F305" s="28" t="s">
        <v>228</v>
      </c>
      <c r="G305" s="28" t="s">
        <v>342</v>
      </c>
      <c r="J305" s="101">
        <f t="shared" ref="J305:AP305" si="89">J270 * J$122</f>
        <v>0</v>
      </c>
      <c r="K305" s="101">
        <f t="shared" si="89"/>
        <v>0</v>
      </c>
      <c r="L305" s="101">
        <f t="shared" si="89"/>
        <v>0</v>
      </c>
      <c r="M305" s="101">
        <f t="shared" si="89"/>
        <v>0</v>
      </c>
      <c r="N305" s="101">
        <f t="shared" si="89"/>
        <v>0</v>
      </c>
      <c r="O305" s="101">
        <f t="shared" si="89"/>
        <v>0</v>
      </c>
      <c r="P305" s="101">
        <f t="shared" si="89"/>
        <v>0</v>
      </c>
      <c r="Q305" s="101">
        <f t="shared" si="89"/>
        <v>0</v>
      </c>
      <c r="R305" s="101">
        <f t="shared" si="89"/>
        <v>0</v>
      </c>
      <c r="S305" s="101">
        <f t="shared" si="89"/>
        <v>0</v>
      </c>
      <c r="T305" s="101">
        <f t="shared" si="89"/>
        <v>0</v>
      </c>
      <c r="U305" s="101">
        <f t="shared" si="89"/>
        <v>0</v>
      </c>
      <c r="V305" s="101">
        <f t="shared" si="89"/>
        <v>0</v>
      </c>
      <c r="W305" s="101">
        <f t="shared" si="89"/>
        <v>0</v>
      </c>
      <c r="X305" s="101">
        <f t="shared" si="89"/>
        <v>0</v>
      </c>
      <c r="Y305" s="101">
        <f t="shared" si="89"/>
        <v>0</v>
      </c>
      <c r="Z305" s="101">
        <f t="shared" si="89"/>
        <v>0</v>
      </c>
      <c r="AA305" s="101">
        <f t="shared" si="89"/>
        <v>0</v>
      </c>
      <c r="AB305" s="101">
        <f t="shared" si="89"/>
        <v>0</v>
      </c>
      <c r="AC305" s="101">
        <f t="shared" si="89"/>
        <v>0</v>
      </c>
      <c r="AD305" s="101">
        <f t="shared" si="89"/>
        <v>0</v>
      </c>
      <c r="AE305" s="101">
        <f t="shared" si="89"/>
        <v>0</v>
      </c>
      <c r="AF305" s="101">
        <f t="shared" si="89"/>
        <v>0</v>
      </c>
      <c r="AG305" s="101">
        <f t="shared" si="89"/>
        <v>0</v>
      </c>
      <c r="AH305" s="101">
        <f t="shared" si="89"/>
        <v>0</v>
      </c>
      <c r="AI305" s="101">
        <f t="shared" si="89"/>
        <v>0</v>
      </c>
      <c r="AJ305" s="101">
        <f t="shared" si="89"/>
        <v>0</v>
      </c>
      <c r="AK305" s="101">
        <f t="shared" si="89"/>
        <v>0</v>
      </c>
      <c r="AL305" s="101">
        <f t="shared" si="89"/>
        <v>0</v>
      </c>
      <c r="AM305" s="101">
        <f t="shared" si="89"/>
        <v>0</v>
      </c>
      <c r="AN305" s="101">
        <f t="shared" si="89"/>
        <v>0</v>
      </c>
      <c r="AO305" s="101">
        <f t="shared" si="89"/>
        <v>0</v>
      </c>
      <c r="AP305" s="101">
        <f t="shared" si="89"/>
        <v>0</v>
      </c>
    </row>
    <row r="306" spans="5:42" x14ac:dyDescent="0.25">
      <c r="F306" s="28" t="s">
        <v>229</v>
      </c>
      <c r="G306" s="28" t="s">
        <v>342</v>
      </c>
      <c r="J306" s="101">
        <f t="shared" ref="J306:AP306" si="90">J271 * J$122</f>
        <v>0</v>
      </c>
      <c r="K306" s="101">
        <f t="shared" si="90"/>
        <v>0</v>
      </c>
      <c r="L306" s="101">
        <f t="shared" si="90"/>
        <v>0</v>
      </c>
      <c r="M306" s="101">
        <f t="shared" si="90"/>
        <v>0</v>
      </c>
      <c r="N306" s="101">
        <f t="shared" si="90"/>
        <v>0</v>
      </c>
      <c r="O306" s="101">
        <f t="shared" si="90"/>
        <v>0</v>
      </c>
      <c r="P306" s="101">
        <f t="shared" si="90"/>
        <v>0</v>
      </c>
      <c r="Q306" s="101">
        <f t="shared" si="90"/>
        <v>0</v>
      </c>
      <c r="R306" s="101">
        <f t="shared" si="90"/>
        <v>0</v>
      </c>
      <c r="S306" s="101">
        <f t="shared" si="90"/>
        <v>0</v>
      </c>
      <c r="T306" s="101">
        <f t="shared" si="90"/>
        <v>0</v>
      </c>
      <c r="U306" s="101">
        <f t="shared" si="90"/>
        <v>0</v>
      </c>
      <c r="V306" s="101">
        <f t="shared" si="90"/>
        <v>0</v>
      </c>
      <c r="W306" s="101">
        <f t="shared" si="90"/>
        <v>0</v>
      </c>
      <c r="X306" s="101">
        <f t="shared" si="90"/>
        <v>0</v>
      </c>
      <c r="Y306" s="101">
        <f t="shared" si="90"/>
        <v>0</v>
      </c>
      <c r="Z306" s="101">
        <f t="shared" si="90"/>
        <v>0</v>
      </c>
      <c r="AA306" s="101">
        <f t="shared" si="90"/>
        <v>0</v>
      </c>
      <c r="AB306" s="101">
        <f t="shared" si="90"/>
        <v>0</v>
      </c>
      <c r="AC306" s="101">
        <f t="shared" si="90"/>
        <v>0</v>
      </c>
      <c r="AD306" s="101">
        <f t="shared" si="90"/>
        <v>0</v>
      </c>
      <c r="AE306" s="101">
        <f t="shared" si="90"/>
        <v>0</v>
      </c>
      <c r="AF306" s="101">
        <f t="shared" si="90"/>
        <v>0</v>
      </c>
      <c r="AG306" s="101">
        <f t="shared" si="90"/>
        <v>0</v>
      </c>
      <c r="AH306" s="101">
        <f t="shared" si="90"/>
        <v>0</v>
      </c>
      <c r="AI306" s="101">
        <f t="shared" si="90"/>
        <v>0</v>
      </c>
      <c r="AJ306" s="101">
        <f t="shared" si="90"/>
        <v>0</v>
      </c>
      <c r="AK306" s="101">
        <f t="shared" si="90"/>
        <v>0</v>
      </c>
      <c r="AL306" s="101">
        <f t="shared" si="90"/>
        <v>0</v>
      </c>
      <c r="AM306" s="101">
        <f t="shared" si="90"/>
        <v>0</v>
      </c>
      <c r="AN306" s="101">
        <f t="shared" si="90"/>
        <v>0</v>
      </c>
      <c r="AO306" s="101">
        <f t="shared" si="90"/>
        <v>0</v>
      </c>
      <c r="AP306" s="101">
        <f t="shared" si="90"/>
        <v>0</v>
      </c>
    </row>
    <row r="307" spans="5:42" x14ac:dyDescent="0.25">
      <c r="F307" s="28" t="s">
        <v>230</v>
      </c>
      <c r="G307" s="28" t="s">
        <v>342</v>
      </c>
      <c r="J307" s="101">
        <f t="shared" ref="J307:AP307" si="91">J272 * J$122</f>
        <v>0</v>
      </c>
      <c r="K307" s="101">
        <f t="shared" si="91"/>
        <v>0.69298495539045812</v>
      </c>
      <c r="L307" s="101">
        <f t="shared" si="91"/>
        <v>0</v>
      </c>
      <c r="M307" s="101">
        <f t="shared" si="91"/>
        <v>0</v>
      </c>
      <c r="N307" s="101">
        <f t="shared" si="91"/>
        <v>0.5969979857302854</v>
      </c>
      <c r="O307" s="101">
        <f t="shared" si="91"/>
        <v>0</v>
      </c>
      <c r="P307" s="101">
        <f t="shared" si="91"/>
        <v>0.55778854727449012</v>
      </c>
      <c r="Q307" s="101">
        <f t="shared" si="91"/>
        <v>0.45399847163400642</v>
      </c>
      <c r="R307" s="101">
        <f t="shared" si="91"/>
        <v>0.62639185018679178</v>
      </c>
      <c r="S307" s="101">
        <f t="shared" si="91"/>
        <v>0.95844566346366722</v>
      </c>
      <c r="T307" s="101">
        <f t="shared" si="91"/>
        <v>1.114783055395661</v>
      </c>
      <c r="U307" s="101">
        <f t="shared" si="91"/>
        <v>0.98534542318529406</v>
      </c>
      <c r="V307" s="101">
        <f t="shared" si="91"/>
        <v>0.97814033753451957</v>
      </c>
      <c r="W307" s="101">
        <f t="shared" si="91"/>
        <v>0.92860526228949714</v>
      </c>
      <c r="X307" s="101">
        <f t="shared" si="91"/>
        <v>0</v>
      </c>
      <c r="Y307" s="101">
        <f t="shared" si="91"/>
        <v>0</v>
      </c>
      <c r="Z307" s="101">
        <f t="shared" si="91"/>
        <v>0</v>
      </c>
      <c r="AA307" s="101">
        <f t="shared" si="91"/>
        <v>0</v>
      </c>
      <c r="AB307" s="101">
        <f t="shared" si="91"/>
        <v>0.95428911191659793</v>
      </c>
      <c r="AC307" s="101">
        <f t="shared" si="91"/>
        <v>0</v>
      </c>
      <c r="AD307" s="101">
        <f t="shared" si="91"/>
        <v>0</v>
      </c>
      <c r="AE307" s="101">
        <f t="shared" si="91"/>
        <v>0</v>
      </c>
      <c r="AF307" s="101">
        <f t="shared" si="91"/>
        <v>0</v>
      </c>
      <c r="AG307" s="101">
        <f t="shared" si="91"/>
        <v>0.82797731568998101</v>
      </c>
      <c r="AH307" s="101">
        <f t="shared" si="91"/>
        <v>0.82797731568998101</v>
      </c>
      <c r="AI307" s="101">
        <f t="shared" si="91"/>
        <v>0</v>
      </c>
      <c r="AJ307" s="101">
        <f t="shared" si="91"/>
        <v>0</v>
      </c>
      <c r="AK307" s="101">
        <f t="shared" si="91"/>
        <v>0.82797731568998101</v>
      </c>
      <c r="AL307" s="101">
        <f t="shared" si="91"/>
        <v>0.82797731568998101</v>
      </c>
      <c r="AM307" s="101">
        <f t="shared" si="91"/>
        <v>0</v>
      </c>
      <c r="AN307" s="101">
        <f t="shared" si="91"/>
        <v>0</v>
      </c>
      <c r="AO307" s="101">
        <f t="shared" si="91"/>
        <v>0.82797731568998101</v>
      </c>
      <c r="AP307" s="101">
        <f t="shared" si="91"/>
        <v>0.82797731568998101</v>
      </c>
    </row>
    <row r="308" spans="5:42" x14ac:dyDescent="0.25">
      <c r="F308" s="28" t="s">
        <v>231</v>
      </c>
      <c r="G308" s="28" t="s">
        <v>342</v>
      </c>
      <c r="J308" s="101">
        <f t="shared" ref="J308:AP308" si="92">J273 * J$122</f>
        <v>0</v>
      </c>
      <c r="K308" s="101">
        <f t="shared" si="92"/>
        <v>0.69298495539045812</v>
      </c>
      <c r="L308" s="101">
        <f t="shared" si="92"/>
        <v>0</v>
      </c>
      <c r="M308" s="101">
        <f t="shared" si="92"/>
        <v>0</v>
      </c>
      <c r="N308" s="101">
        <f t="shared" si="92"/>
        <v>0.5969979857302854</v>
      </c>
      <c r="O308" s="101">
        <f t="shared" si="92"/>
        <v>0</v>
      </c>
      <c r="P308" s="101">
        <f t="shared" si="92"/>
        <v>0.55778854727449012</v>
      </c>
      <c r="Q308" s="101">
        <f t="shared" si="92"/>
        <v>0.45399847163400642</v>
      </c>
      <c r="R308" s="101">
        <f t="shared" si="92"/>
        <v>0.62639185018679178</v>
      </c>
      <c r="S308" s="101">
        <f t="shared" si="92"/>
        <v>0.95844566346366722</v>
      </c>
      <c r="T308" s="101">
        <f t="shared" si="92"/>
        <v>1.114783055395661</v>
      </c>
      <c r="U308" s="101">
        <f t="shared" si="92"/>
        <v>0.98534542318529406</v>
      </c>
      <c r="V308" s="101">
        <f t="shared" si="92"/>
        <v>0.97814033753451957</v>
      </c>
      <c r="W308" s="101">
        <f t="shared" si="92"/>
        <v>0.92860526228949714</v>
      </c>
      <c r="X308" s="101">
        <f t="shared" si="92"/>
        <v>0</v>
      </c>
      <c r="Y308" s="101">
        <f t="shared" si="92"/>
        <v>0</v>
      </c>
      <c r="Z308" s="101">
        <f t="shared" si="92"/>
        <v>0</v>
      </c>
      <c r="AA308" s="101">
        <f t="shared" si="92"/>
        <v>0</v>
      </c>
      <c r="AB308" s="101">
        <f t="shared" si="92"/>
        <v>0.95428911191659793</v>
      </c>
      <c r="AC308" s="101">
        <f t="shared" si="92"/>
        <v>0</v>
      </c>
      <c r="AD308" s="101">
        <f t="shared" si="92"/>
        <v>0</v>
      </c>
      <c r="AE308" s="101">
        <f t="shared" si="92"/>
        <v>0</v>
      </c>
      <c r="AF308" s="101">
        <f t="shared" si="92"/>
        <v>0</v>
      </c>
      <c r="AG308" s="101">
        <f t="shared" si="92"/>
        <v>0.82797731568998101</v>
      </c>
      <c r="AH308" s="101">
        <f t="shared" si="92"/>
        <v>0.82797731568998101</v>
      </c>
      <c r="AI308" s="101">
        <f t="shared" si="92"/>
        <v>0</v>
      </c>
      <c r="AJ308" s="101">
        <f t="shared" si="92"/>
        <v>0</v>
      </c>
      <c r="AK308" s="101">
        <f t="shared" si="92"/>
        <v>0.82797731568998101</v>
      </c>
      <c r="AL308" s="101">
        <f t="shared" si="92"/>
        <v>0.82797731568998101</v>
      </c>
      <c r="AM308" s="101">
        <f t="shared" si="92"/>
        <v>0</v>
      </c>
      <c r="AN308" s="101">
        <f t="shared" si="92"/>
        <v>0</v>
      </c>
      <c r="AO308" s="101">
        <f t="shared" si="92"/>
        <v>0.82797731568998101</v>
      </c>
      <c r="AP308" s="101">
        <f t="shared" si="92"/>
        <v>0.82797731568998101</v>
      </c>
    </row>
    <row r="309" spans="5:42" x14ac:dyDescent="0.25">
      <c r="F309" s="28" t="s">
        <v>232</v>
      </c>
      <c r="G309" s="28" t="s">
        <v>342</v>
      </c>
      <c r="J309" s="101">
        <f t="shared" ref="J309:AP309" si="93">J274 * J$122</f>
        <v>0</v>
      </c>
      <c r="K309" s="101">
        <f t="shared" si="93"/>
        <v>0</v>
      </c>
      <c r="L309" s="101">
        <f t="shared" si="93"/>
        <v>0</v>
      </c>
      <c r="M309" s="101">
        <f t="shared" si="93"/>
        <v>0</v>
      </c>
      <c r="N309" s="101">
        <f t="shared" si="93"/>
        <v>0</v>
      </c>
      <c r="O309" s="101">
        <f t="shared" si="93"/>
        <v>0</v>
      </c>
      <c r="P309" s="101">
        <f t="shared" si="93"/>
        <v>0</v>
      </c>
      <c r="Q309" s="101">
        <f t="shared" si="93"/>
        <v>0</v>
      </c>
      <c r="R309" s="101">
        <f t="shared" si="93"/>
        <v>0</v>
      </c>
      <c r="S309" s="101">
        <f t="shared" si="93"/>
        <v>0</v>
      </c>
      <c r="T309" s="101">
        <f t="shared" si="93"/>
        <v>0</v>
      </c>
      <c r="U309" s="101">
        <f t="shared" si="93"/>
        <v>0</v>
      </c>
      <c r="V309" s="101">
        <f t="shared" si="93"/>
        <v>0</v>
      </c>
      <c r="W309" s="101">
        <f t="shared" si="93"/>
        <v>0</v>
      </c>
      <c r="X309" s="101">
        <f t="shared" si="93"/>
        <v>0</v>
      </c>
      <c r="Y309" s="101">
        <f t="shared" si="93"/>
        <v>0</v>
      </c>
      <c r="Z309" s="101">
        <f t="shared" si="93"/>
        <v>0</v>
      </c>
      <c r="AA309" s="101">
        <f t="shared" si="93"/>
        <v>0</v>
      </c>
      <c r="AB309" s="101">
        <f t="shared" si="93"/>
        <v>0</v>
      </c>
      <c r="AC309" s="101">
        <f t="shared" si="93"/>
        <v>0</v>
      </c>
      <c r="AD309" s="101">
        <f t="shared" si="93"/>
        <v>0</v>
      </c>
      <c r="AE309" s="101">
        <f t="shared" si="93"/>
        <v>0</v>
      </c>
      <c r="AF309" s="101">
        <f t="shared" si="93"/>
        <v>0</v>
      </c>
      <c r="AG309" s="101">
        <f t="shared" si="93"/>
        <v>0</v>
      </c>
      <c r="AH309" s="101">
        <f t="shared" si="93"/>
        <v>0</v>
      </c>
      <c r="AI309" s="101">
        <f t="shared" si="93"/>
        <v>0</v>
      </c>
      <c r="AJ309" s="101">
        <f t="shared" si="93"/>
        <v>0</v>
      </c>
      <c r="AK309" s="101">
        <f t="shared" si="93"/>
        <v>0</v>
      </c>
      <c r="AL309" s="101">
        <f t="shared" si="93"/>
        <v>0</v>
      </c>
      <c r="AM309" s="101">
        <f t="shared" si="93"/>
        <v>0</v>
      </c>
      <c r="AN309" s="101">
        <f t="shared" si="93"/>
        <v>0</v>
      </c>
      <c r="AO309" s="101">
        <f t="shared" si="93"/>
        <v>0</v>
      </c>
      <c r="AP309" s="101">
        <f t="shared" si="93"/>
        <v>0</v>
      </c>
    </row>
    <row r="310" spans="5:42" x14ac:dyDescent="0.25">
      <c r="F310" s="28" t="s">
        <v>233</v>
      </c>
      <c r="G310" s="28" t="s">
        <v>342</v>
      </c>
      <c r="J310" s="101">
        <f t="shared" ref="J310:AP310" si="94">J275 * J$122</f>
        <v>0</v>
      </c>
      <c r="K310" s="101">
        <f t="shared" si="94"/>
        <v>0.69298495539045812</v>
      </c>
      <c r="L310" s="101">
        <f t="shared" si="94"/>
        <v>0</v>
      </c>
      <c r="M310" s="101">
        <f t="shared" si="94"/>
        <v>0</v>
      </c>
      <c r="N310" s="101">
        <f t="shared" si="94"/>
        <v>0.5969979857302854</v>
      </c>
      <c r="O310" s="101">
        <f t="shared" si="94"/>
        <v>0</v>
      </c>
      <c r="P310" s="101">
        <f t="shared" si="94"/>
        <v>0.55778854727449012</v>
      </c>
      <c r="Q310" s="101">
        <f t="shared" si="94"/>
        <v>0.45399847163400642</v>
      </c>
      <c r="R310" s="101">
        <f t="shared" si="94"/>
        <v>0.62639185018679178</v>
      </c>
      <c r="S310" s="101">
        <f t="shared" si="94"/>
        <v>0.95844566346366722</v>
      </c>
      <c r="T310" s="101">
        <f t="shared" si="94"/>
        <v>1.114783055395661</v>
      </c>
      <c r="U310" s="101">
        <f t="shared" si="94"/>
        <v>0.98534542318529406</v>
      </c>
      <c r="V310" s="101">
        <f t="shared" si="94"/>
        <v>0.97814033753451957</v>
      </c>
      <c r="W310" s="101">
        <f t="shared" si="94"/>
        <v>0.92860526228949714</v>
      </c>
      <c r="X310" s="101">
        <f t="shared" si="94"/>
        <v>0</v>
      </c>
      <c r="Y310" s="101">
        <f t="shared" si="94"/>
        <v>0</v>
      </c>
      <c r="Z310" s="101">
        <f t="shared" si="94"/>
        <v>0</v>
      </c>
      <c r="AA310" s="101">
        <f t="shared" si="94"/>
        <v>0</v>
      </c>
      <c r="AB310" s="101">
        <f t="shared" si="94"/>
        <v>0.95428911191659793</v>
      </c>
      <c r="AC310" s="101">
        <f t="shared" si="94"/>
        <v>0</v>
      </c>
      <c r="AD310" s="101">
        <f t="shared" si="94"/>
        <v>0</v>
      </c>
      <c r="AE310" s="101">
        <f t="shared" si="94"/>
        <v>0</v>
      </c>
      <c r="AF310" s="101">
        <f t="shared" si="94"/>
        <v>0</v>
      </c>
      <c r="AG310" s="101">
        <f t="shared" si="94"/>
        <v>0.82797731568998101</v>
      </c>
      <c r="AH310" s="101">
        <f t="shared" si="94"/>
        <v>0.82797731568998101</v>
      </c>
      <c r="AI310" s="101">
        <f t="shared" si="94"/>
        <v>0</v>
      </c>
      <c r="AJ310" s="101">
        <f t="shared" si="94"/>
        <v>0</v>
      </c>
      <c r="AK310" s="101">
        <f t="shared" si="94"/>
        <v>0.82797731568998101</v>
      </c>
      <c r="AL310" s="101">
        <f t="shared" si="94"/>
        <v>0.82797731568998101</v>
      </c>
      <c r="AM310" s="101">
        <f t="shared" si="94"/>
        <v>0</v>
      </c>
      <c r="AN310" s="101">
        <f t="shared" si="94"/>
        <v>0</v>
      </c>
      <c r="AO310" s="101">
        <f t="shared" si="94"/>
        <v>0.82797731568998101</v>
      </c>
      <c r="AP310" s="101">
        <f t="shared" si="94"/>
        <v>0.82797731568998101</v>
      </c>
    </row>
    <row r="311" spans="5:42" x14ac:dyDescent="0.25">
      <c r="F311" s="28" t="s">
        <v>234</v>
      </c>
      <c r="G311" s="28" t="s">
        <v>342</v>
      </c>
      <c r="J311" s="101">
        <f t="shared" ref="J311:AP311" si="95">J276 * J$122</f>
        <v>0</v>
      </c>
      <c r="K311" s="101">
        <f t="shared" si="95"/>
        <v>0.69298495539045812</v>
      </c>
      <c r="L311" s="101">
        <f t="shared" si="95"/>
        <v>0</v>
      </c>
      <c r="M311" s="101">
        <f t="shared" si="95"/>
        <v>0</v>
      </c>
      <c r="N311" s="101">
        <f t="shared" si="95"/>
        <v>0.5969979857302854</v>
      </c>
      <c r="O311" s="101">
        <f t="shared" si="95"/>
        <v>0</v>
      </c>
      <c r="P311" s="101">
        <f t="shared" si="95"/>
        <v>0.55778854727449012</v>
      </c>
      <c r="Q311" s="101">
        <f t="shared" si="95"/>
        <v>0.45399847163400642</v>
      </c>
      <c r="R311" s="101">
        <f t="shared" si="95"/>
        <v>0.62639185018679178</v>
      </c>
      <c r="S311" s="101">
        <f t="shared" si="95"/>
        <v>0.95844566346366722</v>
      </c>
      <c r="T311" s="101">
        <f t="shared" si="95"/>
        <v>1.114783055395661</v>
      </c>
      <c r="U311" s="101">
        <f t="shared" si="95"/>
        <v>0.98534542318529406</v>
      </c>
      <c r="V311" s="101">
        <f t="shared" si="95"/>
        <v>0.97814033753451957</v>
      </c>
      <c r="W311" s="101">
        <f t="shared" si="95"/>
        <v>0.92860526228949714</v>
      </c>
      <c r="X311" s="101">
        <f t="shared" si="95"/>
        <v>0</v>
      </c>
      <c r="Y311" s="101">
        <f t="shared" si="95"/>
        <v>0</v>
      </c>
      <c r="Z311" s="101">
        <f t="shared" si="95"/>
        <v>0</v>
      </c>
      <c r="AA311" s="101">
        <f t="shared" si="95"/>
        <v>0</v>
      </c>
      <c r="AB311" s="101">
        <f t="shared" si="95"/>
        <v>0.95428911191659793</v>
      </c>
      <c r="AC311" s="101">
        <f t="shared" si="95"/>
        <v>0</v>
      </c>
      <c r="AD311" s="101">
        <f t="shared" si="95"/>
        <v>0</v>
      </c>
      <c r="AE311" s="101">
        <f t="shared" si="95"/>
        <v>0</v>
      </c>
      <c r="AF311" s="101">
        <f t="shared" si="95"/>
        <v>0</v>
      </c>
      <c r="AG311" s="101">
        <f t="shared" si="95"/>
        <v>0.82797731568998101</v>
      </c>
      <c r="AH311" s="101">
        <f t="shared" si="95"/>
        <v>0.82797731568998101</v>
      </c>
      <c r="AI311" s="101">
        <f t="shared" si="95"/>
        <v>0</v>
      </c>
      <c r="AJ311" s="101">
        <f t="shared" si="95"/>
        <v>0</v>
      </c>
      <c r="AK311" s="101">
        <f t="shared" si="95"/>
        <v>0.82797731568998101</v>
      </c>
      <c r="AL311" s="101">
        <f t="shared" si="95"/>
        <v>0.82797731568998101</v>
      </c>
      <c r="AM311" s="101">
        <f t="shared" si="95"/>
        <v>0</v>
      </c>
      <c r="AN311" s="101">
        <f t="shared" si="95"/>
        <v>0</v>
      </c>
      <c r="AO311" s="101">
        <f t="shared" si="95"/>
        <v>0.82797731568998101</v>
      </c>
      <c r="AP311" s="101">
        <f t="shared" si="95"/>
        <v>0.82797731568998101</v>
      </c>
    </row>
    <row r="312" spans="5:42" x14ac:dyDescent="0.25">
      <c r="F312" s="67" t="s">
        <v>235</v>
      </c>
      <c r="G312" s="67" t="s">
        <v>342</v>
      </c>
      <c r="H312" s="37"/>
      <c r="I312" s="37"/>
      <c r="J312" s="103">
        <f t="shared" ref="J312:AP312" si="96">J277 * J$122</f>
        <v>0</v>
      </c>
      <c r="K312" s="103">
        <f t="shared" si="96"/>
        <v>0.69298495539045812</v>
      </c>
      <c r="L312" s="103">
        <f t="shared" si="96"/>
        <v>0</v>
      </c>
      <c r="M312" s="103">
        <f t="shared" si="96"/>
        <v>0</v>
      </c>
      <c r="N312" s="103">
        <f t="shared" si="96"/>
        <v>0.5969979857302854</v>
      </c>
      <c r="O312" s="103">
        <f t="shared" si="96"/>
        <v>0</v>
      </c>
      <c r="P312" s="103">
        <f t="shared" si="96"/>
        <v>0.55778854727449012</v>
      </c>
      <c r="Q312" s="103">
        <f t="shared" si="96"/>
        <v>0.45399847163400642</v>
      </c>
      <c r="R312" s="103">
        <f t="shared" si="96"/>
        <v>0.62639185018679178</v>
      </c>
      <c r="S312" s="103">
        <f t="shared" si="96"/>
        <v>0.95844566346366722</v>
      </c>
      <c r="T312" s="103">
        <f t="shared" si="96"/>
        <v>1.114783055395661</v>
      </c>
      <c r="U312" s="103">
        <f t="shared" si="96"/>
        <v>0.98534542318529406</v>
      </c>
      <c r="V312" s="103">
        <f t="shared" si="96"/>
        <v>0.97814033753451957</v>
      </c>
      <c r="W312" s="103">
        <f t="shared" si="96"/>
        <v>0.92860526228949714</v>
      </c>
      <c r="X312" s="103">
        <f t="shared" si="96"/>
        <v>0</v>
      </c>
      <c r="Y312" s="103">
        <f t="shared" si="96"/>
        <v>0</v>
      </c>
      <c r="Z312" s="103">
        <f t="shared" si="96"/>
        <v>0</v>
      </c>
      <c r="AA312" s="103">
        <f t="shared" si="96"/>
        <v>0</v>
      </c>
      <c r="AB312" s="103">
        <f t="shared" si="96"/>
        <v>0.95428911191659793</v>
      </c>
      <c r="AC312" s="103">
        <f t="shared" si="96"/>
        <v>0</v>
      </c>
      <c r="AD312" s="103">
        <f t="shared" si="96"/>
        <v>0</v>
      </c>
      <c r="AE312" s="103">
        <f t="shared" si="96"/>
        <v>0</v>
      </c>
      <c r="AF312" s="103">
        <f t="shared" si="96"/>
        <v>0</v>
      </c>
      <c r="AG312" s="103">
        <f t="shared" si="96"/>
        <v>0.82797731568998101</v>
      </c>
      <c r="AH312" s="103">
        <f t="shared" si="96"/>
        <v>0.82797731568998101</v>
      </c>
      <c r="AI312" s="103">
        <f t="shared" si="96"/>
        <v>0</v>
      </c>
      <c r="AJ312" s="103">
        <f t="shared" si="96"/>
        <v>0</v>
      </c>
      <c r="AK312" s="103">
        <f t="shared" si="96"/>
        <v>0.82797731568998101</v>
      </c>
      <c r="AL312" s="103">
        <f t="shared" si="96"/>
        <v>0.82797731568998101</v>
      </c>
      <c r="AM312" s="103">
        <f t="shared" si="96"/>
        <v>0</v>
      </c>
      <c r="AN312" s="103">
        <f t="shared" si="96"/>
        <v>0</v>
      </c>
      <c r="AO312" s="103">
        <f t="shared" si="96"/>
        <v>0.82797731568998101</v>
      </c>
      <c r="AP312" s="103">
        <f t="shared" si="96"/>
        <v>0.82797731568998101</v>
      </c>
    </row>
    <row r="313" spans="5:42" x14ac:dyDescent="0.25">
      <c r="F313" s="28"/>
      <c r="J313" s="92"/>
      <c r="K313" s="92"/>
      <c r="L313" s="92"/>
      <c r="M313" s="92"/>
      <c r="N313" s="92"/>
      <c r="O313" s="92"/>
      <c r="P313" s="92"/>
      <c r="Q313" s="92"/>
      <c r="R313" s="92"/>
      <c r="S313" s="92"/>
      <c r="T313" s="92"/>
      <c r="U313" s="92"/>
      <c r="V313" s="92"/>
      <c r="W313" s="92"/>
      <c r="X313" s="92"/>
      <c r="Y313" s="92"/>
      <c r="Z313" s="92"/>
      <c r="AA313" s="92"/>
      <c r="AB313" s="92"/>
      <c r="AC313" s="92"/>
      <c r="AD313" s="92"/>
      <c r="AE313" s="92"/>
      <c r="AF313" s="92"/>
      <c r="AG313" s="92"/>
      <c r="AH313" s="92"/>
      <c r="AI313" s="92"/>
      <c r="AJ313" s="92"/>
      <c r="AK313" s="92"/>
      <c r="AL313" s="92"/>
      <c r="AM313" s="92"/>
      <c r="AN313" s="92"/>
      <c r="AO313" s="92"/>
      <c r="AP313" s="92"/>
    </row>
    <row r="314" spans="5:42" x14ac:dyDescent="0.25">
      <c r="E314" s="32" t="s">
        <v>194</v>
      </c>
      <c r="F314" s="28"/>
      <c r="G314" s="28"/>
      <c r="J314" s="92"/>
      <c r="K314" s="92"/>
      <c r="L314" s="92"/>
      <c r="M314" s="92"/>
      <c r="N314" s="92"/>
      <c r="O314" s="92"/>
      <c r="P314" s="92"/>
      <c r="Q314" s="92"/>
      <c r="R314" s="92"/>
      <c r="S314" s="92"/>
      <c r="T314" s="92"/>
      <c r="U314" s="92"/>
      <c r="V314" s="92"/>
      <c r="W314" s="92"/>
      <c r="X314" s="92"/>
      <c r="Y314" s="92"/>
      <c r="Z314" s="92"/>
      <c r="AA314" s="92"/>
      <c r="AB314" s="92"/>
      <c r="AC314" s="92"/>
      <c r="AD314" s="92"/>
      <c r="AE314" s="92"/>
      <c r="AF314" s="92"/>
      <c r="AG314" s="92"/>
      <c r="AH314" s="92"/>
      <c r="AI314" s="92"/>
      <c r="AJ314" s="92"/>
      <c r="AK314" s="92"/>
      <c r="AL314" s="92"/>
      <c r="AM314" s="92"/>
      <c r="AN314" s="92"/>
      <c r="AO314" s="92"/>
      <c r="AP314" s="92"/>
    </row>
    <row r="315" spans="5:42" x14ac:dyDescent="0.25">
      <c r="F315" s="64" t="s">
        <v>227</v>
      </c>
      <c r="G315" s="64" t="s">
        <v>342</v>
      </c>
      <c r="H315" s="23"/>
      <c r="I315" s="23"/>
      <c r="J315" s="129">
        <f>J280 * J$122</f>
        <v>0</v>
      </c>
      <c r="K315" s="129">
        <f t="shared" ref="K315:AP315" si="97">K280 * K$122</f>
        <v>0</v>
      </c>
      <c r="L315" s="129">
        <f t="shared" si="97"/>
        <v>0</v>
      </c>
      <c r="M315" s="129">
        <f t="shared" si="97"/>
        <v>0</v>
      </c>
      <c r="N315" s="129">
        <f t="shared" si="97"/>
        <v>0</v>
      </c>
      <c r="O315" s="129">
        <f t="shared" si="97"/>
        <v>0</v>
      </c>
      <c r="P315" s="129">
        <f t="shared" si="97"/>
        <v>0</v>
      </c>
      <c r="Q315" s="129">
        <f t="shared" si="97"/>
        <v>0</v>
      </c>
      <c r="R315" s="129">
        <f t="shared" si="97"/>
        <v>0</v>
      </c>
      <c r="S315" s="129">
        <f t="shared" si="97"/>
        <v>0.40333653961295091</v>
      </c>
      <c r="T315" s="129">
        <f t="shared" si="97"/>
        <v>0.46912700127155743</v>
      </c>
      <c r="U315" s="129">
        <f t="shared" si="97"/>
        <v>0.41465659292023166</v>
      </c>
      <c r="V315" s="129">
        <f t="shared" si="97"/>
        <v>0.41162452295030122</v>
      </c>
      <c r="W315" s="129">
        <f t="shared" si="97"/>
        <v>0.39077899502898689</v>
      </c>
      <c r="X315" s="129">
        <f t="shared" si="97"/>
        <v>0</v>
      </c>
      <c r="Y315" s="129">
        <f t="shared" si="97"/>
        <v>0</v>
      </c>
      <c r="Z315" s="129">
        <f t="shared" si="97"/>
        <v>0</v>
      </c>
      <c r="AA315" s="129">
        <f t="shared" si="97"/>
        <v>0</v>
      </c>
      <c r="AB315" s="129">
        <f t="shared" si="97"/>
        <v>0.33457705970609664</v>
      </c>
      <c r="AC315" s="129">
        <f t="shared" si="97"/>
        <v>0</v>
      </c>
      <c r="AD315" s="129">
        <f t="shared" si="97"/>
        <v>0</v>
      </c>
      <c r="AE315" s="129">
        <f t="shared" si="97"/>
        <v>0</v>
      </c>
      <c r="AF315" s="129">
        <f t="shared" si="97"/>
        <v>0</v>
      </c>
      <c r="AG315" s="129">
        <f t="shared" si="97"/>
        <v>0.34843238184370617</v>
      </c>
      <c r="AH315" s="129">
        <f t="shared" si="97"/>
        <v>0.34843238184370617</v>
      </c>
      <c r="AI315" s="129">
        <f t="shared" si="97"/>
        <v>0</v>
      </c>
      <c r="AJ315" s="129">
        <f t="shared" si="97"/>
        <v>0</v>
      </c>
      <c r="AK315" s="129">
        <f t="shared" si="97"/>
        <v>0.34843238184370617</v>
      </c>
      <c r="AL315" s="129">
        <f t="shared" si="97"/>
        <v>0.34843238184370617</v>
      </c>
      <c r="AM315" s="129">
        <f t="shared" si="97"/>
        <v>0</v>
      </c>
      <c r="AN315" s="129">
        <f t="shared" si="97"/>
        <v>0</v>
      </c>
      <c r="AO315" s="129">
        <f t="shared" si="97"/>
        <v>0.34843238184370617</v>
      </c>
      <c r="AP315" s="129">
        <f t="shared" si="97"/>
        <v>0.34843238184370617</v>
      </c>
    </row>
    <row r="316" spans="5:42" x14ac:dyDescent="0.25">
      <c r="F316" s="28" t="s">
        <v>228</v>
      </c>
      <c r="G316" s="28" t="s">
        <v>342</v>
      </c>
      <c r="J316" s="101">
        <f t="shared" ref="J316:AP316" si="98">J281 * J$122</f>
        <v>0</v>
      </c>
      <c r="K316" s="101">
        <f t="shared" si="98"/>
        <v>0</v>
      </c>
      <c r="L316" s="101">
        <f t="shared" si="98"/>
        <v>0</v>
      </c>
      <c r="M316" s="101">
        <f t="shared" si="98"/>
        <v>0</v>
      </c>
      <c r="N316" s="101">
        <f t="shared" si="98"/>
        <v>0</v>
      </c>
      <c r="O316" s="101">
        <f t="shared" si="98"/>
        <v>0</v>
      </c>
      <c r="P316" s="101">
        <f t="shared" si="98"/>
        <v>0</v>
      </c>
      <c r="Q316" s="101">
        <f t="shared" si="98"/>
        <v>0</v>
      </c>
      <c r="R316" s="101">
        <f t="shared" si="98"/>
        <v>0</v>
      </c>
      <c r="S316" s="101">
        <f t="shared" si="98"/>
        <v>0</v>
      </c>
      <c r="T316" s="101">
        <f t="shared" si="98"/>
        <v>0</v>
      </c>
      <c r="U316" s="101">
        <f t="shared" si="98"/>
        <v>0</v>
      </c>
      <c r="V316" s="101">
        <f t="shared" si="98"/>
        <v>0</v>
      </c>
      <c r="W316" s="101">
        <f t="shared" si="98"/>
        <v>0</v>
      </c>
      <c r="X316" s="101">
        <f t="shared" si="98"/>
        <v>0</v>
      </c>
      <c r="Y316" s="101">
        <f t="shared" si="98"/>
        <v>0</v>
      </c>
      <c r="Z316" s="101">
        <f t="shared" si="98"/>
        <v>0</v>
      </c>
      <c r="AA316" s="101">
        <f t="shared" si="98"/>
        <v>0</v>
      </c>
      <c r="AB316" s="101">
        <f t="shared" si="98"/>
        <v>0</v>
      </c>
      <c r="AC316" s="101">
        <f t="shared" si="98"/>
        <v>0</v>
      </c>
      <c r="AD316" s="101">
        <f t="shared" si="98"/>
        <v>0</v>
      </c>
      <c r="AE316" s="101">
        <f t="shared" si="98"/>
        <v>0</v>
      </c>
      <c r="AF316" s="101">
        <f t="shared" si="98"/>
        <v>0</v>
      </c>
      <c r="AG316" s="101">
        <f t="shared" si="98"/>
        <v>0</v>
      </c>
      <c r="AH316" s="101">
        <f t="shared" si="98"/>
        <v>0</v>
      </c>
      <c r="AI316" s="101">
        <f t="shared" si="98"/>
        <v>0</v>
      </c>
      <c r="AJ316" s="101">
        <f t="shared" si="98"/>
        <v>0</v>
      </c>
      <c r="AK316" s="101">
        <f t="shared" si="98"/>
        <v>0</v>
      </c>
      <c r="AL316" s="101">
        <f t="shared" si="98"/>
        <v>0</v>
      </c>
      <c r="AM316" s="101">
        <f t="shared" si="98"/>
        <v>0</v>
      </c>
      <c r="AN316" s="101">
        <f t="shared" si="98"/>
        <v>0</v>
      </c>
      <c r="AO316" s="101">
        <f t="shared" si="98"/>
        <v>0</v>
      </c>
      <c r="AP316" s="101">
        <f t="shared" si="98"/>
        <v>0</v>
      </c>
    </row>
    <row r="317" spans="5:42" x14ac:dyDescent="0.25">
      <c r="F317" s="28" t="s">
        <v>229</v>
      </c>
      <c r="G317" s="28" t="s">
        <v>342</v>
      </c>
      <c r="J317" s="101">
        <f t="shared" ref="J317:AP317" si="99">J282 * J$122</f>
        <v>0</v>
      </c>
      <c r="K317" s="101">
        <f t="shared" si="99"/>
        <v>0</v>
      </c>
      <c r="L317" s="101">
        <f t="shared" si="99"/>
        <v>0</v>
      </c>
      <c r="M317" s="101">
        <f t="shared" si="99"/>
        <v>0</v>
      </c>
      <c r="N317" s="101">
        <f t="shared" si="99"/>
        <v>0</v>
      </c>
      <c r="O317" s="101">
        <f t="shared" si="99"/>
        <v>0</v>
      </c>
      <c r="P317" s="101">
        <f t="shared" si="99"/>
        <v>0</v>
      </c>
      <c r="Q317" s="101">
        <f t="shared" si="99"/>
        <v>0</v>
      </c>
      <c r="R317" s="101">
        <f t="shared" si="99"/>
        <v>0</v>
      </c>
      <c r="S317" s="101">
        <f t="shared" si="99"/>
        <v>0</v>
      </c>
      <c r="T317" s="101">
        <f t="shared" si="99"/>
        <v>0</v>
      </c>
      <c r="U317" s="101">
        <f t="shared" si="99"/>
        <v>0</v>
      </c>
      <c r="V317" s="101">
        <f t="shared" si="99"/>
        <v>0</v>
      </c>
      <c r="W317" s="101">
        <f t="shared" si="99"/>
        <v>0</v>
      </c>
      <c r="X317" s="101">
        <f t="shared" si="99"/>
        <v>0</v>
      </c>
      <c r="Y317" s="101">
        <f t="shared" si="99"/>
        <v>0</v>
      </c>
      <c r="Z317" s="101">
        <f t="shared" si="99"/>
        <v>0</v>
      </c>
      <c r="AA317" s="101">
        <f t="shared" si="99"/>
        <v>0</v>
      </c>
      <c r="AB317" s="101">
        <f t="shared" si="99"/>
        <v>0</v>
      </c>
      <c r="AC317" s="101">
        <f t="shared" si="99"/>
        <v>0</v>
      </c>
      <c r="AD317" s="101">
        <f t="shared" si="99"/>
        <v>0</v>
      </c>
      <c r="AE317" s="101">
        <f t="shared" si="99"/>
        <v>0</v>
      </c>
      <c r="AF317" s="101">
        <f t="shared" si="99"/>
        <v>0</v>
      </c>
      <c r="AG317" s="101">
        <f t="shared" si="99"/>
        <v>0</v>
      </c>
      <c r="AH317" s="101">
        <f t="shared" si="99"/>
        <v>0</v>
      </c>
      <c r="AI317" s="101">
        <f t="shared" si="99"/>
        <v>0</v>
      </c>
      <c r="AJ317" s="101">
        <f t="shared" si="99"/>
        <v>0</v>
      </c>
      <c r="AK317" s="101">
        <f t="shared" si="99"/>
        <v>0</v>
      </c>
      <c r="AL317" s="101">
        <f t="shared" si="99"/>
        <v>0</v>
      </c>
      <c r="AM317" s="101">
        <f t="shared" si="99"/>
        <v>0</v>
      </c>
      <c r="AN317" s="101">
        <f t="shared" si="99"/>
        <v>0</v>
      </c>
      <c r="AO317" s="101">
        <f t="shared" si="99"/>
        <v>0</v>
      </c>
      <c r="AP317" s="101">
        <f t="shared" si="99"/>
        <v>0</v>
      </c>
    </row>
    <row r="318" spans="5:42" x14ac:dyDescent="0.25">
      <c r="F318" s="28" t="s">
        <v>230</v>
      </c>
      <c r="G318" s="28" t="s">
        <v>342</v>
      </c>
      <c r="J318" s="101">
        <f t="shared" ref="J318:AP318" si="100">J283 * J$122</f>
        <v>0</v>
      </c>
      <c r="K318" s="101">
        <f t="shared" si="100"/>
        <v>0</v>
      </c>
      <c r="L318" s="101">
        <f t="shared" si="100"/>
        <v>0</v>
      </c>
      <c r="M318" s="101">
        <f t="shared" si="100"/>
        <v>0</v>
      </c>
      <c r="N318" s="101">
        <f t="shared" si="100"/>
        <v>0</v>
      </c>
      <c r="O318" s="101">
        <f t="shared" si="100"/>
        <v>0</v>
      </c>
      <c r="P318" s="101">
        <f t="shared" si="100"/>
        <v>0</v>
      </c>
      <c r="Q318" s="101">
        <f t="shared" si="100"/>
        <v>0</v>
      </c>
      <c r="R318" s="101">
        <f t="shared" si="100"/>
        <v>0</v>
      </c>
      <c r="S318" s="101">
        <f t="shared" si="100"/>
        <v>0.45078789721447454</v>
      </c>
      <c r="T318" s="101">
        <f t="shared" si="100"/>
        <v>0.52431841318585837</v>
      </c>
      <c r="U318" s="101">
        <f t="shared" si="100"/>
        <v>0.46343972149908247</v>
      </c>
      <c r="V318" s="101">
        <f t="shared" si="100"/>
        <v>0.46005093741504249</v>
      </c>
      <c r="W318" s="101">
        <f t="shared" si="100"/>
        <v>0.43675299444416182</v>
      </c>
      <c r="X318" s="101">
        <f t="shared" si="100"/>
        <v>0</v>
      </c>
      <c r="Y318" s="101">
        <f t="shared" si="100"/>
        <v>0</v>
      </c>
      <c r="Z318" s="101">
        <f t="shared" si="100"/>
        <v>0</v>
      </c>
      <c r="AA318" s="101">
        <f t="shared" si="100"/>
        <v>0</v>
      </c>
      <c r="AB318" s="101">
        <f t="shared" si="100"/>
        <v>0.37393906673034333</v>
      </c>
      <c r="AC318" s="101">
        <f t="shared" si="100"/>
        <v>0</v>
      </c>
      <c r="AD318" s="101">
        <f t="shared" si="100"/>
        <v>0</v>
      </c>
      <c r="AE318" s="101">
        <f t="shared" si="100"/>
        <v>0</v>
      </c>
      <c r="AF318" s="101">
        <f t="shared" si="100"/>
        <v>0</v>
      </c>
      <c r="AG318" s="101">
        <f t="shared" si="100"/>
        <v>0.38942442676649514</v>
      </c>
      <c r="AH318" s="101">
        <f t="shared" si="100"/>
        <v>0.38942442676649514</v>
      </c>
      <c r="AI318" s="101">
        <f t="shared" si="100"/>
        <v>0</v>
      </c>
      <c r="AJ318" s="101">
        <f t="shared" si="100"/>
        <v>0</v>
      </c>
      <c r="AK318" s="101">
        <f t="shared" si="100"/>
        <v>0.38942442676649514</v>
      </c>
      <c r="AL318" s="101">
        <f t="shared" si="100"/>
        <v>0.38942442676649514</v>
      </c>
      <c r="AM318" s="101">
        <f t="shared" si="100"/>
        <v>0</v>
      </c>
      <c r="AN318" s="101">
        <f t="shared" si="100"/>
        <v>0</v>
      </c>
      <c r="AO318" s="101">
        <f t="shared" si="100"/>
        <v>0.38942442676649514</v>
      </c>
      <c r="AP318" s="101">
        <f t="shared" si="100"/>
        <v>0.38942442676649514</v>
      </c>
    </row>
    <row r="319" spans="5:42" x14ac:dyDescent="0.25">
      <c r="F319" s="28" t="s">
        <v>231</v>
      </c>
      <c r="G319" s="28" t="s">
        <v>342</v>
      </c>
      <c r="J319" s="101">
        <f t="shared" ref="J319:AP319" si="101">J284 * J$122</f>
        <v>0</v>
      </c>
      <c r="K319" s="101">
        <f t="shared" si="101"/>
        <v>0</v>
      </c>
      <c r="L319" s="101">
        <f t="shared" si="101"/>
        <v>0</v>
      </c>
      <c r="M319" s="101">
        <f t="shared" si="101"/>
        <v>0</v>
      </c>
      <c r="N319" s="101">
        <f t="shared" si="101"/>
        <v>0</v>
      </c>
      <c r="O319" s="101">
        <f t="shared" si="101"/>
        <v>0</v>
      </c>
      <c r="P319" s="101">
        <f t="shared" si="101"/>
        <v>0</v>
      </c>
      <c r="Q319" s="101">
        <f t="shared" si="101"/>
        <v>0</v>
      </c>
      <c r="R319" s="101">
        <f t="shared" si="101"/>
        <v>0</v>
      </c>
      <c r="S319" s="101">
        <f t="shared" si="101"/>
        <v>0.45078789721447454</v>
      </c>
      <c r="T319" s="101">
        <f t="shared" si="101"/>
        <v>0.52431841318585837</v>
      </c>
      <c r="U319" s="101">
        <f t="shared" si="101"/>
        <v>0.46343972149908247</v>
      </c>
      <c r="V319" s="101">
        <f t="shared" si="101"/>
        <v>0.46005093741504249</v>
      </c>
      <c r="W319" s="101">
        <f t="shared" si="101"/>
        <v>0.43675299444416182</v>
      </c>
      <c r="X319" s="101">
        <f t="shared" si="101"/>
        <v>0</v>
      </c>
      <c r="Y319" s="101">
        <f t="shared" si="101"/>
        <v>0</v>
      </c>
      <c r="Z319" s="101">
        <f t="shared" si="101"/>
        <v>0</v>
      </c>
      <c r="AA319" s="101">
        <f t="shared" si="101"/>
        <v>0</v>
      </c>
      <c r="AB319" s="101">
        <f t="shared" si="101"/>
        <v>0.37393906673034333</v>
      </c>
      <c r="AC319" s="101">
        <f t="shared" si="101"/>
        <v>0</v>
      </c>
      <c r="AD319" s="101">
        <f t="shared" si="101"/>
        <v>0</v>
      </c>
      <c r="AE319" s="101">
        <f t="shared" si="101"/>
        <v>0</v>
      </c>
      <c r="AF319" s="101">
        <f t="shared" si="101"/>
        <v>0</v>
      </c>
      <c r="AG319" s="101">
        <f t="shared" si="101"/>
        <v>0.38942442676649514</v>
      </c>
      <c r="AH319" s="101">
        <f t="shared" si="101"/>
        <v>0.38942442676649514</v>
      </c>
      <c r="AI319" s="101">
        <f t="shared" si="101"/>
        <v>0</v>
      </c>
      <c r="AJ319" s="101">
        <f t="shared" si="101"/>
        <v>0</v>
      </c>
      <c r="AK319" s="101">
        <f t="shared" si="101"/>
        <v>0.38942442676649514</v>
      </c>
      <c r="AL319" s="101">
        <f t="shared" si="101"/>
        <v>0.38942442676649514</v>
      </c>
      <c r="AM319" s="101">
        <f t="shared" si="101"/>
        <v>0</v>
      </c>
      <c r="AN319" s="101">
        <f t="shared" si="101"/>
        <v>0</v>
      </c>
      <c r="AO319" s="101">
        <f t="shared" si="101"/>
        <v>0.38942442676649514</v>
      </c>
      <c r="AP319" s="101">
        <f t="shared" si="101"/>
        <v>0.38942442676649514</v>
      </c>
    </row>
    <row r="320" spans="5:42" x14ac:dyDescent="0.25">
      <c r="F320" s="28" t="s">
        <v>232</v>
      </c>
      <c r="G320" s="28" t="s">
        <v>342</v>
      </c>
      <c r="J320" s="101">
        <f t="shared" ref="J320:AP320" si="102">J285 * J$122</f>
        <v>0</v>
      </c>
      <c r="K320" s="101">
        <f t="shared" si="102"/>
        <v>0</v>
      </c>
      <c r="L320" s="101">
        <f t="shared" si="102"/>
        <v>0</v>
      </c>
      <c r="M320" s="101">
        <f t="shared" si="102"/>
        <v>0</v>
      </c>
      <c r="N320" s="101">
        <f t="shared" si="102"/>
        <v>0</v>
      </c>
      <c r="O320" s="101">
        <f t="shared" si="102"/>
        <v>0</v>
      </c>
      <c r="P320" s="101">
        <f t="shared" si="102"/>
        <v>0</v>
      </c>
      <c r="Q320" s="101">
        <f t="shared" si="102"/>
        <v>0</v>
      </c>
      <c r="R320" s="101">
        <f t="shared" si="102"/>
        <v>0</v>
      </c>
      <c r="S320" s="101">
        <f t="shared" si="102"/>
        <v>0</v>
      </c>
      <c r="T320" s="101">
        <f t="shared" si="102"/>
        <v>0</v>
      </c>
      <c r="U320" s="101">
        <f t="shared" si="102"/>
        <v>0</v>
      </c>
      <c r="V320" s="101">
        <f t="shared" si="102"/>
        <v>0</v>
      </c>
      <c r="W320" s="101">
        <f t="shared" si="102"/>
        <v>0</v>
      </c>
      <c r="X320" s="101">
        <f t="shared" si="102"/>
        <v>0</v>
      </c>
      <c r="Y320" s="101">
        <f t="shared" si="102"/>
        <v>0</v>
      </c>
      <c r="Z320" s="101">
        <f t="shared" si="102"/>
        <v>0</v>
      </c>
      <c r="AA320" s="101">
        <f t="shared" si="102"/>
        <v>0</v>
      </c>
      <c r="AB320" s="101">
        <f t="shared" si="102"/>
        <v>0</v>
      </c>
      <c r="AC320" s="101">
        <f t="shared" si="102"/>
        <v>0</v>
      </c>
      <c r="AD320" s="101">
        <f t="shared" si="102"/>
        <v>0</v>
      </c>
      <c r="AE320" s="101">
        <f t="shared" si="102"/>
        <v>0</v>
      </c>
      <c r="AF320" s="101">
        <f t="shared" si="102"/>
        <v>0</v>
      </c>
      <c r="AG320" s="101">
        <f t="shared" si="102"/>
        <v>0</v>
      </c>
      <c r="AH320" s="101">
        <f t="shared" si="102"/>
        <v>0</v>
      </c>
      <c r="AI320" s="101">
        <f t="shared" si="102"/>
        <v>0</v>
      </c>
      <c r="AJ320" s="101">
        <f t="shared" si="102"/>
        <v>0</v>
      </c>
      <c r="AK320" s="101">
        <f t="shared" si="102"/>
        <v>0</v>
      </c>
      <c r="AL320" s="101">
        <f t="shared" si="102"/>
        <v>0</v>
      </c>
      <c r="AM320" s="101">
        <f t="shared" si="102"/>
        <v>0</v>
      </c>
      <c r="AN320" s="101">
        <f t="shared" si="102"/>
        <v>0</v>
      </c>
      <c r="AO320" s="101">
        <f t="shared" si="102"/>
        <v>0</v>
      </c>
      <c r="AP320" s="101">
        <f t="shared" si="102"/>
        <v>0</v>
      </c>
    </row>
    <row r="321" spans="2:44" x14ac:dyDescent="0.25">
      <c r="F321" s="28" t="s">
        <v>233</v>
      </c>
      <c r="G321" s="28" t="s">
        <v>342</v>
      </c>
      <c r="J321" s="101">
        <f t="shared" ref="J321:AP321" si="103">J286 * J$122</f>
        <v>0</v>
      </c>
      <c r="K321" s="101">
        <f t="shared" si="103"/>
        <v>0</v>
      </c>
      <c r="L321" s="101">
        <f t="shared" si="103"/>
        <v>0</v>
      </c>
      <c r="M321" s="101">
        <f t="shared" si="103"/>
        <v>0</v>
      </c>
      <c r="N321" s="101">
        <f t="shared" si="103"/>
        <v>0</v>
      </c>
      <c r="O321" s="101">
        <f t="shared" si="103"/>
        <v>0</v>
      </c>
      <c r="P321" s="101">
        <f t="shared" si="103"/>
        <v>0</v>
      </c>
      <c r="Q321" s="101">
        <f t="shared" si="103"/>
        <v>0</v>
      </c>
      <c r="R321" s="101">
        <f t="shared" si="103"/>
        <v>0</v>
      </c>
      <c r="S321" s="101">
        <f t="shared" si="103"/>
        <v>0.45078789721447454</v>
      </c>
      <c r="T321" s="101">
        <f t="shared" si="103"/>
        <v>0.52431841318585837</v>
      </c>
      <c r="U321" s="101">
        <f t="shared" si="103"/>
        <v>0.46343972149908247</v>
      </c>
      <c r="V321" s="101">
        <f t="shared" si="103"/>
        <v>0.46005093741504249</v>
      </c>
      <c r="W321" s="101">
        <f t="shared" si="103"/>
        <v>0.43675299444416182</v>
      </c>
      <c r="X321" s="101">
        <f t="shared" si="103"/>
        <v>0</v>
      </c>
      <c r="Y321" s="101">
        <f t="shared" si="103"/>
        <v>0</v>
      </c>
      <c r="Z321" s="101">
        <f t="shared" si="103"/>
        <v>0</v>
      </c>
      <c r="AA321" s="101">
        <f t="shared" si="103"/>
        <v>0</v>
      </c>
      <c r="AB321" s="101">
        <f t="shared" si="103"/>
        <v>0.37393906673034333</v>
      </c>
      <c r="AC321" s="101">
        <f t="shared" si="103"/>
        <v>0</v>
      </c>
      <c r="AD321" s="101">
        <f t="shared" si="103"/>
        <v>0</v>
      </c>
      <c r="AE321" s="101">
        <f t="shared" si="103"/>
        <v>0</v>
      </c>
      <c r="AF321" s="101">
        <f t="shared" si="103"/>
        <v>0</v>
      </c>
      <c r="AG321" s="101">
        <f t="shared" si="103"/>
        <v>0.38942442676649514</v>
      </c>
      <c r="AH321" s="101">
        <f t="shared" si="103"/>
        <v>0.38942442676649514</v>
      </c>
      <c r="AI321" s="101">
        <f t="shared" si="103"/>
        <v>0</v>
      </c>
      <c r="AJ321" s="101">
        <f t="shared" si="103"/>
        <v>0</v>
      </c>
      <c r="AK321" s="101">
        <f t="shared" si="103"/>
        <v>0.38942442676649514</v>
      </c>
      <c r="AL321" s="101">
        <f t="shared" si="103"/>
        <v>0.38942442676649514</v>
      </c>
      <c r="AM321" s="101">
        <f t="shared" si="103"/>
        <v>0</v>
      </c>
      <c r="AN321" s="101">
        <f t="shared" si="103"/>
        <v>0</v>
      </c>
      <c r="AO321" s="101">
        <f t="shared" si="103"/>
        <v>0.38942442676649514</v>
      </c>
      <c r="AP321" s="101">
        <f t="shared" si="103"/>
        <v>0.38942442676649514</v>
      </c>
    </row>
    <row r="322" spans="2:44" x14ac:dyDescent="0.25">
      <c r="F322" s="28" t="s">
        <v>234</v>
      </c>
      <c r="G322" s="28" t="s">
        <v>342</v>
      </c>
      <c r="J322" s="101">
        <f t="shared" ref="J322:AP322" si="104">J287 * J$122</f>
        <v>0</v>
      </c>
      <c r="K322" s="101">
        <f t="shared" si="104"/>
        <v>0</v>
      </c>
      <c r="L322" s="101">
        <f t="shared" si="104"/>
        <v>0</v>
      </c>
      <c r="M322" s="101">
        <f t="shared" si="104"/>
        <v>0</v>
      </c>
      <c r="N322" s="101">
        <f t="shared" si="104"/>
        <v>0</v>
      </c>
      <c r="O322" s="101">
        <f t="shared" si="104"/>
        <v>0</v>
      </c>
      <c r="P322" s="101">
        <f t="shared" si="104"/>
        <v>0</v>
      </c>
      <c r="Q322" s="101">
        <f t="shared" si="104"/>
        <v>0</v>
      </c>
      <c r="R322" s="101">
        <f t="shared" si="104"/>
        <v>0</v>
      </c>
      <c r="S322" s="101">
        <f t="shared" si="104"/>
        <v>0.45078789721447454</v>
      </c>
      <c r="T322" s="101">
        <f t="shared" si="104"/>
        <v>0.52431841318585837</v>
      </c>
      <c r="U322" s="101">
        <f t="shared" si="104"/>
        <v>0.46343972149908247</v>
      </c>
      <c r="V322" s="101">
        <f t="shared" si="104"/>
        <v>0.46005093741504249</v>
      </c>
      <c r="W322" s="101">
        <f t="shared" si="104"/>
        <v>0.43675299444416182</v>
      </c>
      <c r="X322" s="101">
        <f t="shared" si="104"/>
        <v>0</v>
      </c>
      <c r="Y322" s="101">
        <f t="shared" si="104"/>
        <v>0</v>
      </c>
      <c r="Z322" s="101">
        <f t="shared" si="104"/>
        <v>0</v>
      </c>
      <c r="AA322" s="101">
        <f t="shared" si="104"/>
        <v>0</v>
      </c>
      <c r="AB322" s="101">
        <f t="shared" si="104"/>
        <v>0.37393906673034333</v>
      </c>
      <c r="AC322" s="101">
        <f t="shared" si="104"/>
        <v>0</v>
      </c>
      <c r="AD322" s="101">
        <f t="shared" si="104"/>
        <v>0</v>
      </c>
      <c r="AE322" s="101">
        <f t="shared" si="104"/>
        <v>0</v>
      </c>
      <c r="AF322" s="101">
        <f t="shared" si="104"/>
        <v>0</v>
      </c>
      <c r="AG322" s="101">
        <f t="shared" si="104"/>
        <v>0.38942442676649514</v>
      </c>
      <c r="AH322" s="101">
        <f t="shared" si="104"/>
        <v>0.38942442676649514</v>
      </c>
      <c r="AI322" s="101">
        <f t="shared" si="104"/>
        <v>0</v>
      </c>
      <c r="AJ322" s="101">
        <f t="shared" si="104"/>
        <v>0</v>
      </c>
      <c r="AK322" s="101">
        <f t="shared" si="104"/>
        <v>0.38942442676649514</v>
      </c>
      <c r="AL322" s="101">
        <f t="shared" si="104"/>
        <v>0.38942442676649514</v>
      </c>
      <c r="AM322" s="101">
        <f t="shared" si="104"/>
        <v>0</v>
      </c>
      <c r="AN322" s="101">
        <f t="shared" si="104"/>
        <v>0</v>
      </c>
      <c r="AO322" s="101">
        <f t="shared" si="104"/>
        <v>0.38942442676649514</v>
      </c>
      <c r="AP322" s="101">
        <f t="shared" si="104"/>
        <v>0.38942442676649514</v>
      </c>
    </row>
    <row r="323" spans="2:44" x14ac:dyDescent="0.25">
      <c r="F323" s="67" t="s">
        <v>235</v>
      </c>
      <c r="G323" s="67" t="s">
        <v>342</v>
      </c>
      <c r="H323" s="37"/>
      <c r="I323" s="37"/>
      <c r="J323" s="103">
        <f t="shared" ref="J323:AP323" si="105">J288 * J$122</f>
        <v>0</v>
      </c>
      <c r="K323" s="103">
        <f t="shared" si="105"/>
        <v>0</v>
      </c>
      <c r="L323" s="103">
        <f t="shared" si="105"/>
        <v>0</v>
      </c>
      <c r="M323" s="103">
        <f t="shared" si="105"/>
        <v>0</v>
      </c>
      <c r="N323" s="103">
        <f t="shared" si="105"/>
        <v>0</v>
      </c>
      <c r="O323" s="103">
        <f t="shared" si="105"/>
        <v>0</v>
      </c>
      <c r="P323" s="103">
        <f t="shared" si="105"/>
        <v>0</v>
      </c>
      <c r="Q323" s="103">
        <f t="shared" si="105"/>
        <v>0</v>
      </c>
      <c r="R323" s="103">
        <f t="shared" si="105"/>
        <v>0</v>
      </c>
      <c r="S323" s="103">
        <f t="shared" si="105"/>
        <v>0.45078789721447454</v>
      </c>
      <c r="T323" s="103">
        <f t="shared" si="105"/>
        <v>0.52431841318585837</v>
      </c>
      <c r="U323" s="103">
        <f t="shared" si="105"/>
        <v>0.46343972149908247</v>
      </c>
      <c r="V323" s="103">
        <f t="shared" si="105"/>
        <v>0.46005093741504249</v>
      </c>
      <c r="W323" s="103">
        <f t="shared" si="105"/>
        <v>0.43675299444416182</v>
      </c>
      <c r="X323" s="103">
        <f t="shared" si="105"/>
        <v>0</v>
      </c>
      <c r="Y323" s="103">
        <f t="shared" si="105"/>
        <v>0</v>
      </c>
      <c r="Z323" s="103">
        <f t="shared" si="105"/>
        <v>0</v>
      </c>
      <c r="AA323" s="103">
        <f t="shared" si="105"/>
        <v>0</v>
      </c>
      <c r="AB323" s="103">
        <f t="shared" si="105"/>
        <v>0.37393906673034333</v>
      </c>
      <c r="AC323" s="103">
        <f t="shared" si="105"/>
        <v>0</v>
      </c>
      <c r="AD323" s="103">
        <f t="shared" si="105"/>
        <v>0</v>
      </c>
      <c r="AE323" s="103">
        <f t="shared" si="105"/>
        <v>0</v>
      </c>
      <c r="AF323" s="103">
        <f t="shared" si="105"/>
        <v>0</v>
      </c>
      <c r="AG323" s="103">
        <f t="shared" si="105"/>
        <v>0.38942442676649514</v>
      </c>
      <c r="AH323" s="103">
        <f t="shared" si="105"/>
        <v>0.38942442676649514</v>
      </c>
      <c r="AI323" s="103">
        <f t="shared" si="105"/>
        <v>0</v>
      </c>
      <c r="AJ323" s="103">
        <f t="shared" si="105"/>
        <v>0</v>
      </c>
      <c r="AK323" s="103">
        <f t="shared" si="105"/>
        <v>0.38942442676649514</v>
      </c>
      <c r="AL323" s="103">
        <f t="shared" si="105"/>
        <v>0.38942442676649514</v>
      </c>
      <c r="AM323" s="103">
        <f t="shared" si="105"/>
        <v>0</v>
      </c>
      <c r="AN323" s="103">
        <f t="shared" si="105"/>
        <v>0</v>
      </c>
      <c r="AO323" s="103">
        <f t="shared" si="105"/>
        <v>0.38942442676649514</v>
      </c>
      <c r="AP323" s="103">
        <f t="shared" si="105"/>
        <v>0.38942442676649514</v>
      </c>
    </row>
    <row r="324" spans="2:44" x14ac:dyDescent="0.25">
      <c r="J324" s="92"/>
      <c r="K324" s="92"/>
      <c r="L324" s="92"/>
      <c r="M324" s="92"/>
      <c r="N324" s="92"/>
      <c r="O324" s="92"/>
      <c r="P324" s="92"/>
      <c r="Q324" s="92"/>
      <c r="R324" s="92"/>
      <c r="S324" s="92"/>
      <c r="T324" s="92"/>
      <c r="U324" s="92"/>
      <c r="V324" s="92"/>
      <c r="W324" s="92"/>
      <c r="X324" s="92"/>
      <c r="Y324" s="92"/>
      <c r="Z324" s="92"/>
      <c r="AA324" s="92"/>
      <c r="AB324" s="92"/>
      <c r="AC324" s="92"/>
      <c r="AD324" s="92"/>
      <c r="AE324" s="92"/>
      <c r="AF324" s="92"/>
      <c r="AG324" s="92"/>
      <c r="AH324" s="92"/>
      <c r="AI324" s="92"/>
      <c r="AJ324" s="92"/>
      <c r="AK324" s="92"/>
      <c r="AL324" s="92"/>
      <c r="AM324" s="92"/>
      <c r="AN324" s="92"/>
      <c r="AO324" s="92"/>
      <c r="AP324" s="92"/>
    </row>
    <row r="325" spans="2:44" x14ac:dyDescent="0.25">
      <c r="B325" s="30" t="s">
        <v>574</v>
      </c>
      <c r="C325" s="30"/>
      <c r="D325" s="30"/>
      <c r="E325" s="30"/>
      <c r="F325" s="30"/>
      <c r="G325" s="30"/>
      <c r="H325" s="30"/>
      <c r="I325" s="108"/>
      <c r="J325" s="168"/>
      <c r="K325" s="168"/>
      <c r="L325" s="168"/>
      <c r="M325" s="168"/>
      <c r="N325" s="168"/>
      <c r="O325" s="168"/>
      <c r="P325" s="168"/>
      <c r="Q325" s="168"/>
      <c r="R325" s="168"/>
      <c r="S325" s="168"/>
      <c r="T325" s="168"/>
      <c r="U325" s="168"/>
      <c r="V325" s="168"/>
      <c r="W325" s="168"/>
      <c r="X325" s="168"/>
      <c r="Y325" s="168"/>
      <c r="Z325" s="168"/>
      <c r="AA325" s="168"/>
      <c r="AB325" s="168"/>
      <c r="AC325" s="168"/>
      <c r="AD325" s="168"/>
      <c r="AE325" s="168"/>
      <c r="AF325" s="168"/>
      <c r="AG325" s="168"/>
      <c r="AH325" s="168"/>
      <c r="AI325" s="168"/>
      <c r="AJ325" s="168"/>
      <c r="AK325" s="168"/>
      <c r="AL325" s="168"/>
      <c r="AM325" s="168"/>
      <c r="AN325" s="168"/>
      <c r="AO325" s="168"/>
      <c r="AP325" s="168"/>
      <c r="AQ325" s="108"/>
      <c r="AR325" s="108"/>
    </row>
    <row r="326" spans="2:44" x14ac:dyDescent="0.25">
      <c r="F326" s="28"/>
      <c r="G326" s="28"/>
      <c r="J326" s="92"/>
      <c r="K326" s="92"/>
      <c r="L326" s="92"/>
      <c r="M326" s="92"/>
      <c r="N326" s="92"/>
      <c r="O326" s="92"/>
      <c r="P326" s="92"/>
      <c r="Q326" s="92"/>
      <c r="R326" s="92"/>
      <c r="S326" s="92"/>
      <c r="T326" s="92"/>
      <c r="U326" s="92"/>
      <c r="V326" s="92"/>
      <c r="W326" s="92"/>
      <c r="X326" s="92"/>
      <c r="Y326" s="92"/>
      <c r="Z326" s="92"/>
      <c r="AA326" s="92"/>
      <c r="AB326" s="92"/>
      <c r="AC326" s="92"/>
      <c r="AD326" s="92"/>
      <c r="AE326" s="92"/>
      <c r="AF326" s="92"/>
      <c r="AG326" s="92"/>
      <c r="AH326" s="92"/>
      <c r="AI326" s="92"/>
      <c r="AJ326" s="92"/>
      <c r="AK326" s="92"/>
      <c r="AL326" s="92"/>
      <c r="AM326" s="92"/>
      <c r="AN326" s="92"/>
      <c r="AO326" s="92"/>
      <c r="AP326" s="92"/>
    </row>
    <row r="327" spans="2:44" x14ac:dyDescent="0.25">
      <c r="C327" s="29" t="s">
        <v>575</v>
      </c>
      <c r="D327" s="29"/>
      <c r="E327" s="32"/>
      <c r="I327" s="3" t="s">
        <v>190</v>
      </c>
      <c r="J327" s="169"/>
      <c r="K327" s="169"/>
      <c r="L327" s="169"/>
      <c r="M327" s="169"/>
      <c r="N327" s="169"/>
      <c r="O327" s="169"/>
      <c r="P327" s="169"/>
      <c r="Q327" s="169"/>
      <c r="R327" s="169"/>
      <c r="S327" s="169"/>
      <c r="T327" s="169"/>
      <c r="U327" s="169"/>
      <c r="V327" s="169"/>
      <c r="W327" s="169"/>
      <c r="X327" s="169"/>
      <c r="Y327" s="169"/>
      <c r="Z327" s="169"/>
      <c r="AA327" s="169"/>
      <c r="AB327" s="169"/>
      <c r="AC327" s="169"/>
      <c r="AD327" s="169"/>
      <c r="AE327" s="169"/>
      <c r="AF327" s="169"/>
      <c r="AG327" s="169"/>
      <c r="AH327" s="169"/>
      <c r="AI327" s="169"/>
      <c r="AJ327" s="169"/>
      <c r="AK327" s="169"/>
      <c r="AL327" s="169"/>
      <c r="AM327" s="169"/>
      <c r="AN327" s="169"/>
      <c r="AO327" s="169"/>
      <c r="AP327" s="169"/>
      <c r="AR327" t="s">
        <v>576</v>
      </c>
    </row>
    <row r="328" spans="2:44" x14ac:dyDescent="0.25">
      <c r="C328" s="29" t="s">
        <v>577</v>
      </c>
      <c r="D328" s="29"/>
      <c r="E328" s="32"/>
      <c r="J328" s="169"/>
      <c r="K328" s="169"/>
      <c r="L328" s="169"/>
      <c r="M328" s="169"/>
      <c r="N328" s="169"/>
      <c r="O328" s="169"/>
      <c r="P328" s="169"/>
      <c r="Q328" s="169"/>
      <c r="R328" s="169"/>
      <c r="S328" s="169"/>
      <c r="T328" s="169"/>
      <c r="U328" s="169"/>
      <c r="V328" s="169"/>
      <c r="W328" s="169"/>
      <c r="X328" s="169"/>
      <c r="Y328" s="169"/>
      <c r="Z328" s="169"/>
      <c r="AA328" s="169"/>
      <c r="AB328" s="169"/>
      <c r="AC328" s="169"/>
      <c r="AD328" s="169"/>
      <c r="AE328" s="169"/>
      <c r="AF328" s="169"/>
      <c r="AG328" s="169"/>
      <c r="AH328" s="169"/>
      <c r="AI328" s="169"/>
      <c r="AJ328" s="169"/>
      <c r="AK328" s="169"/>
      <c r="AL328" s="169"/>
      <c r="AM328" s="169"/>
      <c r="AN328" s="169"/>
      <c r="AO328" s="169"/>
      <c r="AP328" s="169"/>
    </row>
    <row r="329" spans="2:44" x14ac:dyDescent="0.25">
      <c r="C329" s="29"/>
      <c r="D329" s="170" t="s">
        <v>578</v>
      </c>
      <c r="E329" s="170"/>
      <c r="J329" s="169"/>
      <c r="K329" s="169"/>
      <c r="L329" s="169"/>
      <c r="M329" s="169"/>
      <c r="N329" s="169"/>
      <c r="O329" s="169"/>
      <c r="P329" s="169"/>
      <c r="Q329" s="169"/>
      <c r="R329" s="169"/>
      <c r="S329" s="169"/>
      <c r="T329" s="169"/>
      <c r="U329" s="169"/>
      <c r="V329" s="169"/>
      <c r="W329" s="169"/>
      <c r="X329" s="169"/>
      <c r="Y329" s="169"/>
      <c r="Z329" s="169"/>
      <c r="AA329" s="169"/>
      <c r="AB329" s="169"/>
      <c r="AC329" s="169"/>
      <c r="AD329" s="169"/>
      <c r="AE329" s="169"/>
      <c r="AF329" s="169"/>
      <c r="AG329" s="169"/>
      <c r="AH329" s="169"/>
      <c r="AI329" s="169"/>
      <c r="AJ329" s="169"/>
      <c r="AK329" s="169"/>
      <c r="AL329" s="169"/>
      <c r="AM329" s="169"/>
      <c r="AN329" s="169"/>
      <c r="AO329" s="169"/>
      <c r="AP329" s="169"/>
    </row>
    <row r="330" spans="2:44" x14ac:dyDescent="0.25">
      <c r="C330" s="29"/>
      <c r="D330" s="170" t="s">
        <v>579</v>
      </c>
      <c r="E330" s="170"/>
      <c r="J330" s="169"/>
      <c r="K330" s="169"/>
      <c r="L330" s="169"/>
      <c r="M330" s="169"/>
      <c r="N330" s="169"/>
      <c r="O330" s="169"/>
      <c r="P330" s="169"/>
      <c r="Q330" s="169"/>
      <c r="R330" s="169"/>
      <c r="S330" s="169"/>
      <c r="T330" s="169"/>
      <c r="U330" s="169"/>
      <c r="V330" s="169"/>
      <c r="W330" s="169"/>
      <c r="X330" s="169"/>
      <c r="Y330" s="169"/>
      <c r="Z330" s="169"/>
      <c r="AA330" s="169"/>
      <c r="AB330" s="169"/>
      <c r="AC330" s="169"/>
      <c r="AD330" s="169"/>
      <c r="AE330" s="169"/>
      <c r="AF330" s="169"/>
      <c r="AG330" s="169"/>
      <c r="AH330" s="169"/>
      <c r="AI330" s="169"/>
      <c r="AJ330" s="169"/>
      <c r="AK330" s="169"/>
      <c r="AL330" s="169"/>
      <c r="AM330" s="169"/>
      <c r="AN330" s="169"/>
      <c r="AO330" s="169"/>
      <c r="AP330" s="169"/>
    </row>
    <row r="331" spans="2:44" x14ac:dyDescent="0.25">
      <c r="C331" s="29"/>
      <c r="D331" s="170" t="s">
        <v>580</v>
      </c>
      <c r="E331" s="170"/>
      <c r="J331" s="169"/>
      <c r="K331" s="169"/>
      <c r="L331" s="169"/>
      <c r="M331" s="169"/>
      <c r="N331" s="169"/>
      <c r="O331" s="169"/>
      <c r="P331" s="169"/>
      <c r="Q331" s="169"/>
      <c r="R331" s="169"/>
      <c r="S331" s="169"/>
      <c r="T331" s="169"/>
      <c r="U331" s="169"/>
      <c r="V331" s="169"/>
      <c r="W331" s="169"/>
      <c r="X331" s="169"/>
      <c r="Y331" s="169"/>
      <c r="Z331" s="169"/>
      <c r="AA331" s="169"/>
      <c r="AB331" s="169"/>
      <c r="AC331" s="169"/>
      <c r="AD331" s="169"/>
      <c r="AE331" s="169"/>
      <c r="AF331" s="169"/>
      <c r="AG331" s="169"/>
      <c r="AH331" s="169"/>
      <c r="AI331" s="169"/>
      <c r="AJ331" s="169"/>
      <c r="AK331" s="169"/>
      <c r="AL331" s="169"/>
      <c r="AM331" s="169"/>
      <c r="AN331" s="169"/>
      <c r="AO331" s="169"/>
      <c r="AP331" s="169"/>
    </row>
    <row r="332" spans="2:44" x14ac:dyDescent="0.25">
      <c r="C332" s="29"/>
      <c r="D332" s="170" t="s">
        <v>581</v>
      </c>
      <c r="E332" s="170"/>
      <c r="J332" s="169"/>
      <c r="K332" s="169"/>
      <c r="L332" s="169"/>
      <c r="M332" s="169"/>
      <c r="N332" s="169"/>
      <c r="O332" s="169"/>
      <c r="P332" s="169"/>
      <c r="Q332" s="169"/>
      <c r="R332" s="169"/>
      <c r="S332" s="169"/>
      <c r="T332" s="169"/>
      <c r="U332" s="169"/>
      <c r="V332" s="169"/>
      <c r="W332" s="169"/>
      <c r="X332" s="169"/>
      <c r="Y332" s="169"/>
      <c r="Z332" s="169"/>
      <c r="AA332" s="169"/>
      <c r="AB332" s="169"/>
      <c r="AC332" s="169"/>
      <c r="AD332" s="169"/>
      <c r="AE332" s="169"/>
      <c r="AF332" s="169"/>
      <c r="AG332" s="169"/>
      <c r="AH332" s="169"/>
      <c r="AI332" s="169"/>
      <c r="AJ332" s="169"/>
      <c r="AK332" s="169"/>
      <c r="AL332" s="169"/>
      <c r="AM332" s="169"/>
      <c r="AN332" s="169"/>
      <c r="AO332" s="169"/>
      <c r="AP332" s="169"/>
    </row>
    <row r="333" spans="2:44" x14ac:dyDescent="0.25">
      <c r="C333" s="29" t="s">
        <v>582</v>
      </c>
      <c r="D333" s="29"/>
      <c r="E333" s="32"/>
      <c r="J333" s="169"/>
      <c r="K333" s="169"/>
      <c r="L333" s="169"/>
      <c r="M333" s="169"/>
      <c r="N333" s="169"/>
      <c r="O333" s="169"/>
      <c r="P333" s="169"/>
      <c r="Q333" s="169"/>
      <c r="R333" s="169"/>
      <c r="S333" s="169"/>
      <c r="T333" s="169"/>
      <c r="U333" s="169"/>
      <c r="V333" s="169"/>
      <c r="W333" s="169"/>
      <c r="X333" s="169"/>
      <c r="Y333" s="169"/>
      <c r="Z333" s="169"/>
      <c r="AA333" s="169"/>
      <c r="AB333" s="169"/>
      <c r="AC333" s="169"/>
      <c r="AD333" s="169"/>
      <c r="AE333" s="169"/>
      <c r="AF333" s="169"/>
      <c r="AG333" s="169"/>
      <c r="AH333" s="169"/>
      <c r="AI333" s="169"/>
      <c r="AJ333" s="169"/>
      <c r="AK333" s="169"/>
      <c r="AL333" s="169"/>
      <c r="AM333" s="169"/>
      <c r="AN333" s="169"/>
      <c r="AO333" s="169"/>
      <c r="AP333" s="169"/>
    </row>
    <row r="334" spans="2:44" x14ac:dyDescent="0.25">
      <c r="F334" s="28"/>
      <c r="G334" s="28"/>
      <c r="J334" s="169"/>
      <c r="K334" s="169"/>
      <c r="L334" s="169"/>
      <c r="M334" s="169"/>
      <c r="N334" s="169"/>
      <c r="O334" s="169"/>
      <c r="P334" s="169"/>
      <c r="Q334" s="169"/>
      <c r="R334" s="169"/>
      <c r="S334" s="169"/>
      <c r="T334" s="169"/>
      <c r="U334" s="92"/>
      <c r="V334" s="92"/>
      <c r="W334" s="92"/>
      <c r="X334" s="92"/>
      <c r="Y334" s="92"/>
      <c r="Z334" s="92"/>
      <c r="AA334" s="92"/>
      <c r="AB334" s="92"/>
      <c r="AC334" s="92"/>
      <c r="AD334" s="92"/>
      <c r="AE334" s="92"/>
      <c r="AF334" s="92"/>
      <c r="AG334" s="92"/>
      <c r="AH334" s="92"/>
      <c r="AI334" s="92"/>
      <c r="AJ334" s="92"/>
      <c r="AK334" s="92"/>
      <c r="AL334" s="92"/>
      <c r="AM334" s="92"/>
      <c r="AN334" s="92"/>
      <c r="AO334" s="92"/>
      <c r="AP334" s="92"/>
    </row>
    <row r="335" spans="2:44" x14ac:dyDescent="0.25">
      <c r="C335" s="31" t="str">
        <f ca="1">INDEX('Version control'!$H$34:$H$56,MATCH($A$1,'Version control'!$F$34:$F$56,0),1)&amp;"-L: Peak load based on average pseudo load coefficient"</f>
        <v>Section 105-L: Peak load based on average pseudo load coefficient</v>
      </c>
      <c r="D335" s="31"/>
      <c r="E335" s="31"/>
      <c r="F335" s="31"/>
      <c r="G335" s="31"/>
      <c r="H335" s="31"/>
      <c r="I335" s="31"/>
      <c r="J335" s="93"/>
      <c r="K335" s="93"/>
      <c r="L335" s="93"/>
      <c r="M335" s="93"/>
      <c r="N335" s="93"/>
      <c r="O335" s="93"/>
      <c r="P335" s="93"/>
      <c r="Q335" s="93"/>
      <c r="R335" s="93"/>
      <c r="S335" s="93"/>
      <c r="T335" s="93"/>
      <c r="U335" s="93"/>
      <c r="V335" s="93"/>
      <c r="W335" s="93"/>
      <c r="X335" s="93"/>
      <c r="Y335" s="93"/>
      <c r="Z335" s="93"/>
      <c r="AA335" s="93"/>
      <c r="AB335" s="93"/>
      <c r="AC335" s="93"/>
      <c r="AD335" s="93"/>
      <c r="AE335" s="93"/>
      <c r="AF335" s="93"/>
      <c r="AG335" s="93"/>
      <c r="AH335" s="93"/>
      <c r="AI335" s="93"/>
      <c r="AJ335" s="93"/>
      <c r="AK335" s="93"/>
      <c r="AL335" s="93"/>
      <c r="AM335" s="93"/>
      <c r="AN335" s="93"/>
      <c r="AO335" s="93"/>
      <c r="AP335" s="93"/>
      <c r="AQ335" s="31"/>
      <c r="AR335" s="31"/>
    </row>
    <row r="336" spans="2:44" x14ac:dyDescent="0.25">
      <c r="F336" s="28"/>
      <c r="G336" s="28"/>
      <c r="J336" s="92"/>
      <c r="K336" s="92"/>
      <c r="L336" s="92"/>
      <c r="M336" s="92"/>
      <c r="N336" s="92"/>
      <c r="O336" s="92"/>
      <c r="P336" s="92"/>
      <c r="Q336" s="92"/>
      <c r="R336" s="92"/>
      <c r="S336" s="92"/>
      <c r="T336" s="92"/>
      <c r="U336" s="92"/>
      <c r="V336" s="92"/>
      <c r="W336" s="92"/>
      <c r="X336" s="92"/>
      <c r="Y336" s="92"/>
      <c r="Z336" s="92"/>
      <c r="AA336" s="92"/>
      <c r="AB336" s="92"/>
      <c r="AC336" s="92"/>
      <c r="AD336" s="92"/>
      <c r="AE336" s="92"/>
      <c r="AF336" s="92"/>
      <c r="AG336" s="92"/>
      <c r="AH336" s="92"/>
      <c r="AI336" s="92"/>
      <c r="AJ336" s="92"/>
      <c r="AK336" s="92"/>
      <c r="AL336" s="92"/>
      <c r="AM336" s="92"/>
      <c r="AN336" s="92"/>
      <c r="AO336" s="92"/>
      <c r="AP336" s="92"/>
    </row>
    <row r="337" spans="5:44" x14ac:dyDescent="0.25">
      <c r="E337" s="32" t="s">
        <v>583</v>
      </c>
      <c r="F337" s="28"/>
      <c r="G337" s="28"/>
      <c r="H337" s="28"/>
      <c r="I337" s="28"/>
      <c r="J337" s="171"/>
      <c r="K337" s="171"/>
      <c r="L337" s="171"/>
      <c r="M337" s="171"/>
      <c r="N337" s="171"/>
      <c r="O337" s="171"/>
      <c r="P337" s="171"/>
      <c r="Q337" s="171"/>
      <c r="R337" s="171"/>
      <c r="S337" s="171"/>
      <c r="T337" s="171"/>
      <c r="U337" s="171"/>
      <c r="V337" s="171"/>
      <c r="W337" s="171"/>
      <c r="X337" s="171"/>
      <c r="Y337" s="171"/>
      <c r="Z337" s="171"/>
      <c r="AA337" s="171"/>
      <c r="AB337" s="171"/>
      <c r="AC337" s="171"/>
      <c r="AD337" s="171"/>
      <c r="AE337" s="171"/>
      <c r="AF337" s="171"/>
      <c r="AG337" s="171"/>
      <c r="AH337" s="171"/>
      <c r="AI337" s="171"/>
      <c r="AJ337" s="171"/>
      <c r="AK337" s="171"/>
      <c r="AL337" s="171"/>
      <c r="AM337" s="171"/>
      <c r="AN337" s="171"/>
      <c r="AO337" s="171"/>
      <c r="AP337" s="171"/>
      <c r="AQ337" s="28"/>
      <c r="AR337" s="28"/>
    </row>
    <row r="338" spans="5:44" x14ac:dyDescent="0.25">
      <c r="F338" s="64" t="s">
        <v>227</v>
      </c>
      <c r="G338" s="64" t="s">
        <v>342</v>
      </c>
      <c r="H338" s="23"/>
      <c r="I338" s="23"/>
      <c r="J338" s="129">
        <f t="shared" ref="J338:O338" si="106">SUMPRODUCT(J206:J208,J$70:J$72,J$253:J$255) * hours_in_year * J$122</f>
        <v>1.720208329573901</v>
      </c>
      <c r="K338" s="129">
        <f t="shared" si="106"/>
        <v>1.3822705278159764</v>
      </c>
      <c r="L338" s="129">
        <f t="shared" si="106"/>
        <v>0.63789742032065866</v>
      </c>
      <c r="M338" s="129">
        <f t="shared" si="106"/>
        <v>1.7621961798251133</v>
      </c>
      <c r="N338" s="129">
        <f t="shared" si="106"/>
        <v>1.4445370654466498</v>
      </c>
      <c r="O338" s="129">
        <f t="shared" si="106"/>
        <v>0.57804955915299028</v>
      </c>
      <c r="P338" s="83"/>
      <c r="Q338" s="83"/>
      <c r="R338" s="83"/>
      <c r="S338" s="129">
        <f>SUMPRODUCT(S206:S208,S$70:S$72,S$253:S$255) * hours_in_year * S$122</f>
        <v>1.5259720720959427</v>
      </c>
      <c r="T338" s="129">
        <f>SUMPRODUCT(T206:T208,T$70:T$72,T$253:T$255) * hours_in_year * T$122</f>
        <v>1.5221889249664404</v>
      </c>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row>
    <row r="339" spans="5:44" x14ac:dyDescent="0.25">
      <c r="F339" s="28" t="s">
        <v>228</v>
      </c>
      <c r="G339" s="28" t="s">
        <v>342</v>
      </c>
      <c r="J339" s="101">
        <f t="shared" ref="J339:O339" si="107">SUMPRODUCT(J211:J213,J$70:J$72,J$253:J$255) * hours_in_year * J$122</f>
        <v>0</v>
      </c>
      <c r="K339" s="101">
        <f t="shared" si="107"/>
        <v>0</v>
      </c>
      <c r="L339" s="101">
        <f t="shared" si="107"/>
        <v>0</v>
      </c>
      <c r="M339" s="101">
        <f t="shared" si="107"/>
        <v>0</v>
      </c>
      <c r="N339" s="101">
        <f t="shared" si="107"/>
        <v>0</v>
      </c>
      <c r="O339" s="101">
        <f t="shared" si="107"/>
        <v>0</v>
      </c>
      <c r="P339" s="79"/>
      <c r="Q339" s="79"/>
      <c r="R339" s="79"/>
      <c r="S339" s="101">
        <f>SUMPRODUCT(S211:S213,S$70:S$72,S$253:S$255) * hours_in_year * S$122</f>
        <v>0</v>
      </c>
      <c r="T339" s="101">
        <f>SUMPRODUCT(T211:T213,T$70:T$72,T$253:T$255) * hours_in_year * T$122</f>
        <v>0</v>
      </c>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row>
    <row r="340" spans="5:44" x14ac:dyDescent="0.25">
      <c r="F340" s="28" t="s">
        <v>229</v>
      </c>
      <c r="G340" s="28" t="s">
        <v>342</v>
      </c>
      <c r="J340" s="101">
        <f t="shared" ref="J340:O340" si="108">SUMPRODUCT(J216:J218,J$70:J$72,J$253:J$255) * hours_in_year * J$122</f>
        <v>0</v>
      </c>
      <c r="K340" s="101">
        <f t="shared" si="108"/>
        <v>0</v>
      </c>
      <c r="L340" s="101">
        <f t="shared" si="108"/>
        <v>0</v>
      </c>
      <c r="M340" s="101">
        <f t="shared" si="108"/>
        <v>0</v>
      </c>
      <c r="N340" s="101">
        <f t="shared" si="108"/>
        <v>0</v>
      </c>
      <c r="O340" s="101">
        <f t="shared" si="108"/>
        <v>0</v>
      </c>
      <c r="P340" s="79"/>
      <c r="Q340" s="79"/>
      <c r="R340" s="79"/>
      <c r="S340" s="101">
        <f>SUMPRODUCT(S216:S218,S$70:S$72,S$253:S$255) * hours_in_year * S$122</f>
        <v>0</v>
      </c>
      <c r="T340" s="101">
        <f>SUMPRODUCT(T216:T218,T$70:T$72,T$253:T$255) * hours_in_year * T$122</f>
        <v>0</v>
      </c>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row>
    <row r="341" spans="5:44" x14ac:dyDescent="0.25">
      <c r="F341" s="28" t="s">
        <v>230</v>
      </c>
      <c r="G341" s="28" t="s">
        <v>342</v>
      </c>
      <c r="J341" s="101">
        <f t="shared" ref="J341:O341" si="109">SUMPRODUCT(J221:J223,J$70:J$72,J$253:J$255) * hours_in_year * J$122</f>
        <v>1.6922585176949778</v>
      </c>
      <c r="K341" s="101">
        <f t="shared" si="109"/>
        <v>1.3762852735935978</v>
      </c>
      <c r="L341" s="101">
        <f t="shared" si="109"/>
        <v>0.67654463695392009</v>
      </c>
      <c r="M341" s="101">
        <f t="shared" si="109"/>
        <v>1.7546340804461242</v>
      </c>
      <c r="N341" s="101">
        <f t="shared" si="109"/>
        <v>1.4442468878186689</v>
      </c>
      <c r="O341" s="101">
        <f t="shared" si="109"/>
        <v>0.61853047742426237</v>
      </c>
      <c r="P341" s="79"/>
      <c r="Q341" s="79"/>
      <c r="R341" s="79"/>
      <c r="S341" s="101">
        <f>SUMPRODUCT(S221:S223,S$70:S$72,S$253:S$255) * hours_in_year * S$122</f>
        <v>1.4812916976908002</v>
      </c>
      <c r="T341" s="101">
        <f>SUMPRODUCT(T221:T223,T$70:T$72,T$253:T$255) * hours_in_year * T$122</f>
        <v>1.5131442492249889</v>
      </c>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row>
    <row r="342" spans="5:44" x14ac:dyDescent="0.25">
      <c r="F342" s="28" t="s">
        <v>231</v>
      </c>
      <c r="G342" s="28" t="s">
        <v>342</v>
      </c>
      <c r="J342" s="101">
        <f t="shared" ref="J342:O342" si="110">SUMPRODUCT(J226:J228,J$70:J$72,J$253:J$255) * hours_in_year * J$122</f>
        <v>1.6922585176949778</v>
      </c>
      <c r="K342" s="101">
        <f t="shared" si="110"/>
        <v>1.3762852735935978</v>
      </c>
      <c r="L342" s="101">
        <f t="shared" si="110"/>
        <v>0.67654463695392009</v>
      </c>
      <c r="M342" s="101">
        <f t="shared" si="110"/>
        <v>1.7546340804461242</v>
      </c>
      <c r="N342" s="101">
        <f t="shared" si="110"/>
        <v>1.4442468878186689</v>
      </c>
      <c r="O342" s="101">
        <f t="shared" si="110"/>
        <v>0.61853047742426237</v>
      </c>
      <c r="P342" s="79"/>
      <c r="Q342" s="79"/>
      <c r="R342" s="79"/>
      <c r="S342" s="101">
        <f>SUMPRODUCT(S226:S228,S$70:S$72,S$253:S$255) * hours_in_year * S$122</f>
        <v>1.4812916976908002</v>
      </c>
      <c r="T342" s="101">
        <f>SUMPRODUCT(T226:T228,T$70:T$72,T$253:T$255) * hours_in_year * T$122</f>
        <v>1.5131442492249889</v>
      </c>
      <c r="U342" s="79"/>
      <c r="V342" s="79"/>
      <c r="W342" s="79"/>
      <c r="X342" s="79"/>
      <c r="Y342" s="79"/>
      <c r="Z342" s="79"/>
      <c r="AA342" s="79"/>
      <c r="AB342" s="79"/>
      <c r="AC342" s="79"/>
      <c r="AD342" s="79"/>
      <c r="AE342" s="79"/>
      <c r="AF342" s="79"/>
      <c r="AG342" s="79"/>
      <c r="AH342" s="79"/>
      <c r="AI342" s="79"/>
      <c r="AJ342" s="79"/>
      <c r="AK342" s="79"/>
      <c r="AL342" s="79"/>
      <c r="AM342" s="79"/>
      <c r="AN342" s="79"/>
      <c r="AO342" s="79"/>
      <c r="AP342" s="79"/>
    </row>
    <row r="343" spans="5:44" x14ac:dyDescent="0.25">
      <c r="F343" s="28" t="s">
        <v>232</v>
      </c>
      <c r="G343" s="28" t="s">
        <v>342</v>
      </c>
      <c r="J343" s="101">
        <f t="shared" ref="J343:O343" si="111">SUMPRODUCT(J231:J233,J$70:J$72,J$253:J$255) * hours_in_year * J$122</f>
        <v>0</v>
      </c>
      <c r="K343" s="101">
        <f t="shared" si="111"/>
        <v>0</v>
      </c>
      <c r="L343" s="101">
        <f t="shared" si="111"/>
        <v>0</v>
      </c>
      <c r="M343" s="101">
        <f t="shared" si="111"/>
        <v>0</v>
      </c>
      <c r="N343" s="101">
        <f t="shared" si="111"/>
        <v>0</v>
      </c>
      <c r="O343" s="101">
        <f t="shared" si="111"/>
        <v>0</v>
      </c>
      <c r="P343" s="79"/>
      <c r="Q343" s="79"/>
      <c r="R343" s="79"/>
      <c r="S343" s="101">
        <f>SUMPRODUCT(S231:S233,S$70:S$72,S$253:S$255) * hours_in_year * S$122</f>
        <v>0</v>
      </c>
      <c r="T343" s="101">
        <f>SUMPRODUCT(T231:T233,T$70:T$72,T$253:T$255) * hours_in_year * T$122</f>
        <v>0</v>
      </c>
      <c r="U343" s="79"/>
      <c r="V343" s="79"/>
      <c r="W343" s="79"/>
      <c r="X343" s="79"/>
      <c r="Y343" s="79"/>
      <c r="Z343" s="79"/>
      <c r="AA343" s="79"/>
      <c r="AB343" s="79"/>
      <c r="AC343" s="79"/>
      <c r="AD343" s="79"/>
      <c r="AE343" s="79"/>
      <c r="AF343" s="79"/>
      <c r="AG343" s="79"/>
      <c r="AH343" s="79"/>
      <c r="AI343" s="79"/>
      <c r="AJ343" s="79"/>
      <c r="AK343" s="79"/>
      <c r="AL343" s="79"/>
      <c r="AM343" s="79"/>
      <c r="AN343" s="79"/>
      <c r="AO343" s="79"/>
      <c r="AP343" s="79"/>
    </row>
    <row r="344" spans="5:44" x14ac:dyDescent="0.25">
      <c r="F344" s="28" t="s">
        <v>233</v>
      </c>
      <c r="G344" s="28" t="s">
        <v>342</v>
      </c>
      <c r="J344" s="101">
        <f t="shared" ref="J344:O344" si="112">SUMPRODUCT(J236:J238,J$70:J$72,J$253:J$255) * hours_in_year * J$122</f>
        <v>1.6922585176949778</v>
      </c>
      <c r="K344" s="101">
        <f t="shared" si="112"/>
        <v>1.3762852735935978</v>
      </c>
      <c r="L344" s="101">
        <f t="shared" si="112"/>
        <v>0.67654463695392009</v>
      </c>
      <c r="M344" s="101">
        <f t="shared" si="112"/>
        <v>1.7546340804461242</v>
      </c>
      <c r="N344" s="101">
        <f t="shared" si="112"/>
        <v>1.4442468878186689</v>
      </c>
      <c r="O344" s="101">
        <f t="shared" si="112"/>
        <v>0.61853047742426237</v>
      </c>
      <c r="P344" s="79"/>
      <c r="Q344" s="79"/>
      <c r="R344" s="79"/>
      <c r="S344" s="101">
        <f>SUMPRODUCT(S236:S238,S$70:S$72,S$253:S$255) * hours_in_year * S$122</f>
        <v>1.4812916976908002</v>
      </c>
      <c r="T344" s="101">
        <f>SUMPRODUCT(T236:T238,T$70:T$72,T$253:T$255) * hours_in_year * T$122</f>
        <v>1.5131442492249889</v>
      </c>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row>
    <row r="345" spans="5:44" x14ac:dyDescent="0.25">
      <c r="F345" s="28" t="s">
        <v>234</v>
      </c>
      <c r="G345" s="28" t="s">
        <v>342</v>
      </c>
      <c r="J345" s="101">
        <f t="shared" ref="J345:O345" si="113">SUMPRODUCT(J241:J243,J$70:J$72,J$253:J$255) * hours_in_year * J$122</f>
        <v>1.6922585176949778</v>
      </c>
      <c r="K345" s="101">
        <f t="shared" si="113"/>
        <v>1.3762852735935978</v>
      </c>
      <c r="L345" s="101">
        <f t="shared" si="113"/>
        <v>0.67654463695392009</v>
      </c>
      <c r="M345" s="101">
        <f t="shared" si="113"/>
        <v>1.7546340804461242</v>
      </c>
      <c r="N345" s="101">
        <f t="shared" si="113"/>
        <v>1.4442468878186689</v>
      </c>
      <c r="O345" s="101">
        <f t="shared" si="113"/>
        <v>0.61853047742426237</v>
      </c>
      <c r="P345" s="79"/>
      <c r="Q345" s="79"/>
      <c r="R345" s="79"/>
      <c r="S345" s="101">
        <f>SUMPRODUCT(S241:S243,S$70:S$72,S$253:S$255) * hours_in_year * S$122</f>
        <v>1.4812916976908002</v>
      </c>
      <c r="T345" s="101">
        <f>SUMPRODUCT(T241:T243,T$70:T$72,T$253:T$255) * hours_in_year * T$122</f>
        <v>1.5131442492249889</v>
      </c>
      <c r="U345" s="79"/>
      <c r="V345" s="79"/>
      <c r="W345" s="79"/>
      <c r="X345" s="79"/>
      <c r="Y345" s="79"/>
      <c r="Z345" s="79"/>
      <c r="AA345" s="79"/>
      <c r="AB345" s="79"/>
      <c r="AC345" s="79"/>
      <c r="AD345" s="79"/>
      <c r="AE345" s="79"/>
      <c r="AF345" s="79"/>
      <c r="AG345" s="79"/>
      <c r="AH345" s="79"/>
      <c r="AI345" s="79"/>
      <c r="AJ345" s="79"/>
      <c r="AK345" s="79"/>
      <c r="AL345" s="79"/>
      <c r="AM345" s="79"/>
      <c r="AN345" s="79"/>
      <c r="AO345" s="79"/>
      <c r="AP345" s="79"/>
    </row>
    <row r="346" spans="5:44" x14ac:dyDescent="0.25">
      <c r="F346" s="80" t="s">
        <v>235</v>
      </c>
      <c r="G346" s="67" t="s">
        <v>342</v>
      </c>
      <c r="H346" s="144"/>
      <c r="I346" s="37"/>
      <c r="J346" s="103">
        <f t="shared" ref="J346:O346" si="114">SUMPRODUCT(J246:J248,J$70:J$72,J$253:J$255) * hours_in_year * J$122</f>
        <v>1.6922585176949778</v>
      </c>
      <c r="K346" s="103">
        <f t="shared" si="114"/>
        <v>1.3762852735935978</v>
      </c>
      <c r="L346" s="103">
        <f t="shared" si="114"/>
        <v>0.67654463695392009</v>
      </c>
      <c r="M346" s="103">
        <f t="shared" si="114"/>
        <v>1.7546340804461242</v>
      </c>
      <c r="N346" s="103">
        <f t="shared" si="114"/>
        <v>1.4442468878186689</v>
      </c>
      <c r="O346" s="103">
        <f t="shared" si="114"/>
        <v>0.61853047742426237</v>
      </c>
      <c r="P346" s="81"/>
      <c r="Q346" s="81"/>
      <c r="R346" s="81"/>
      <c r="S346" s="103">
        <f>SUMPRODUCT(S246:S248,S$70:S$72,S$253:S$255) * hours_in_year * S$122</f>
        <v>1.4812916976908002</v>
      </c>
      <c r="T346" s="103">
        <f>SUMPRODUCT(T246:T248,T$70:T$72,T$253:T$255) * hours_in_year * T$122</f>
        <v>1.5131442492249889</v>
      </c>
      <c r="U346" s="81"/>
      <c r="V346" s="81"/>
      <c r="W346" s="81"/>
      <c r="X346" s="81"/>
      <c r="Y346" s="81"/>
      <c r="Z346" s="81"/>
      <c r="AA346" s="81"/>
      <c r="AB346" s="81"/>
      <c r="AC346" s="81"/>
      <c r="AD346" s="81"/>
      <c r="AE346" s="81"/>
      <c r="AF346" s="81"/>
      <c r="AG346" s="81"/>
      <c r="AH346" s="81"/>
      <c r="AI346" s="81"/>
      <c r="AJ346" s="81"/>
      <c r="AK346" s="81"/>
      <c r="AL346" s="81"/>
      <c r="AM346" s="81"/>
      <c r="AN346" s="81"/>
      <c r="AO346" s="81"/>
      <c r="AP346" s="81"/>
    </row>
    <row r="347" spans="5:44" x14ac:dyDescent="0.25">
      <c r="G347" s="28"/>
      <c r="H347" s="25"/>
      <c r="J347" s="101"/>
      <c r="K347" s="101"/>
      <c r="L347" s="101"/>
      <c r="M347" s="101"/>
      <c r="N347" s="101"/>
      <c r="O347" s="101"/>
      <c r="P347" s="101"/>
      <c r="Q347" s="101"/>
      <c r="R347" s="101"/>
      <c r="S347" s="101"/>
      <c r="T347" s="101"/>
      <c r="U347" s="101"/>
      <c r="V347" s="101"/>
      <c r="W347" s="101"/>
      <c r="X347" s="101"/>
      <c r="Y347" s="101"/>
      <c r="Z347" s="101"/>
      <c r="AA347" s="101"/>
      <c r="AB347" s="101"/>
      <c r="AC347" s="101"/>
      <c r="AD347" s="101"/>
      <c r="AE347" s="101"/>
      <c r="AF347" s="101"/>
      <c r="AG347" s="101"/>
      <c r="AH347" s="101"/>
      <c r="AI347" s="101"/>
      <c r="AJ347" s="101"/>
      <c r="AK347" s="101"/>
      <c r="AL347" s="101"/>
      <c r="AM347" s="101"/>
      <c r="AN347" s="101"/>
      <c r="AO347" s="101"/>
      <c r="AP347" s="101"/>
    </row>
    <row r="348" spans="5:44" x14ac:dyDescent="0.25">
      <c r="E348" s="32" t="s">
        <v>584</v>
      </c>
      <c r="J348" s="92"/>
      <c r="K348" s="92"/>
      <c r="L348" s="92"/>
      <c r="M348" s="92"/>
      <c r="N348" s="92"/>
      <c r="O348" s="92"/>
      <c r="P348" s="92"/>
      <c r="Q348" s="92"/>
      <c r="R348" s="92"/>
      <c r="S348" s="92"/>
      <c r="T348" s="92"/>
      <c r="U348" s="92"/>
      <c r="V348" s="92"/>
      <c r="W348" s="92"/>
      <c r="X348" s="92"/>
      <c r="Y348" s="92"/>
      <c r="Z348" s="92"/>
      <c r="AA348" s="92"/>
      <c r="AB348" s="92"/>
      <c r="AC348" s="92"/>
      <c r="AD348" s="92"/>
      <c r="AE348" s="92"/>
      <c r="AF348" s="92"/>
      <c r="AG348" s="92"/>
      <c r="AH348" s="92"/>
      <c r="AI348" s="92"/>
      <c r="AJ348" s="92"/>
      <c r="AK348" s="92"/>
      <c r="AL348" s="92"/>
      <c r="AM348" s="92"/>
      <c r="AN348" s="92"/>
      <c r="AO348" s="92"/>
      <c r="AP348" s="92"/>
    </row>
    <row r="349" spans="5:44" x14ac:dyDescent="0.25">
      <c r="F349" s="64" t="s">
        <v>227</v>
      </c>
      <c r="G349" s="23" t="s">
        <v>208</v>
      </c>
      <c r="H349" s="23"/>
      <c r="I349" s="23"/>
      <c r="J349" s="163">
        <f t="shared" ref="J349:O357" si="115">J338 * J$39</f>
        <v>4058591.8630376286</v>
      </c>
      <c r="K349" s="163">
        <f t="shared" si="115"/>
        <v>615972.77643471828</v>
      </c>
      <c r="L349" s="163">
        <f t="shared" si="115"/>
        <v>269866.25295878842</v>
      </c>
      <c r="M349" s="163">
        <f t="shared" si="115"/>
        <v>1475503.035513747</v>
      </c>
      <c r="N349" s="163">
        <f t="shared" si="115"/>
        <v>338699.54938770994</v>
      </c>
      <c r="O349" s="163">
        <f t="shared" si="115"/>
        <v>16267.1841560798</v>
      </c>
      <c r="P349" s="83"/>
      <c r="Q349" s="83"/>
      <c r="R349" s="83"/>
      <c r="S349" s="163">
        <f t="shared" ref="S349:T357" si="116">S338 * S$39</f>
        <v>543.35041696331336</v>
      </c>
      <c r="T349" s="163">
        <f t="shared" si="116"/>
        <v>112804.41894088754</v>
      </c>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row>
    <row r="350" spans="5:44" x14ac:dyDescent="0.25">
      <c r="F350" s="28" t="s">
        <v>228</v>
      </c>
      <c r="G350" t="s">
        <v>208</v>
      </c>
      <c r="J350" s="92">
        <f t="shared" si="115"/>
        <v>0</v>
      </c>
      <c r="K350" s="92">
        <f t="shared" si="115"/>
        <v>0</v>
      </c>
      <c r="L350" s="92">
        <f t="shared" si="115"/>
        <v>0</v>
      </c>
      <c r="M350" s="92">
        <f t="shared" si="115"/>
        <v>0</v>
      </c>
      <c r="N350" s="92">
        <f t="shared" si="115"/>
        <v>0</v>
      </c>
      <c r="O350" s="92">
        <f t="shared" si="115"/>
        <v>0</v>
      </c>
      <c r="P350" s="79"/>
      <c r="Q350" s="79"/>
      <c r="R350" s="79"/>
      <c r="S350" s="92">
        <f t="shared" si="116"/>
        <v>0</v>
      </c>
      <c r="T350" s="92">
        <f t="shared" si="116"/>
        <v>0</v>
      </c>
      <c r="U350" s="79"/>
      <c r="V350" s="79"/>
      <c r="W350" s="79"/>
      <c r="X350" s="79"/>
      <c r="Y350" s="79"/>
      <c r="Z350" s="79"/>
      <c r="AA350" s="79"/>
      <c r="AB350" s="79"/>
      <c r="AC350" s="79"/>
      <c r="AD350" s="79"/>
      <c r="AE350" s="79"/>
      <c r="AF350" s="79"/>
      <c r="AG350" s="79"/>
      <c r="AH350" s="79"/>
      <c r="AI350" s="79"/>
      <c r="AJ350" s="79"/>
      <c r="AK350" s="79"/>
      <c r="AL350" s="79"/>
      <c r="AM350" s="79"/>
      <c r="AN350" s="79"/>
      <c r="AO350" s="79"/>
      <c r="AP350" s="79"/>
    </row>
    <row r="351" spans="5:44" x14ac:dyDescent="0.25">
      <c r="F351" s="28" t="s">
        <v>229</v>
      </c>
      <c r="G351" t="s">
        <v>208</v>
      </c>
      <c r="J351" s="92">
        <f t="shared" si="115"/>
        <v>0</v>
      </c>
      <c r="K351" s="92">
        <f t="shared" si="115"/>
        <v>0</v>
      </c>
      <c r="L351" s="92">
        <f t="shared" si="115"/>
        <v>0</v>
      </c>
      <c r="M351" s="92">
        <f t="shared" si="115"/>
        <v>0</v>
      </c>
      <c r="N351" s="92">
        <f t="shared" si="115"/>
        <v>0</v>
      </c>
      <c r="O351" s="92">
        <f t="shared" si="115"/>
        <v>0</v>
      </c>
      <c r="P351" s="79"/>
      <c r="Q351" s="79"/>
      <c r="R351" s="79"/>
      <c r="S351" s="92">
        <f t="shared" si="116"/>
        <v>0</v>
      </c>
      <c r="T351" s="92">
        <f t="shared" si="116"/>
        <v>0</v>
      </c>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row>
    <row r="352" spans="5:44" x14ac:dyDescent="0.25">
      <c r="F352" s="28" t="s">
        <v>230</v>
      </c>
      <c r="G352" t="s">
        <v>208</v>
      </c>
      <c r="J352" s="101">
        <f t="shared" si="115"/>
        <v>3992648.1763835074</v>
      </c>
      <c r="K352" s="101">
        <f t="shared" si="115"/>
        <v>613305.60413607187</v>
      </c>
      <c r="L352" s="101">
        <f t="shared" si="115"/>
        <v>286216.18510753743</v>
      </c>
      <c r="M352" s="101">
        <f t="shared" si="115"/>
        <v>1469171.2202957261</v>
      </c>
      <c r="N352" s="101">
        <f t="shared" si="115"/>
        <v>338631.51165147562</v>
      </c>
      <c r="O352" s="101">
        <f t="shared" si="115"/>
        <v>17406.378091788196</v>
      </c>
      <c r="P352" s="79"/>
      <c r="Q352" s="79"/>
      <c r="R352" s="79"/>
      <c r="S352" s="101">
        <f t="shared" si="116"/>
        <v>527.44114804087087</v>
      </c>
      <c r="T352" s="101">
        <f t="shared" si="116"/>
        <v>112134.14774472463</v>
      </c>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row>
    <row r="353" spans="3:44" x14ac:dyDescent="0.25">
      <c r="F353" s="28" t="s">
        <v>231</v>
      </c>
      <c r="G353" t="s">
        <v>208</v>
      </c>
      <c r="J353" s="101">
        <f t="shared" si="115"/>
        <v>3992648.1763835074</v>
      </c>
      <c r="K353" s="101">
        <f t="shared" si="115"/>
        <v>613305.60413607187</v>
      </c>
      <c r="L353" s="101">
        <f t="shared" si="115"/>
        <v>286216.18510753743</v>
      </c>
      <c r="M353" s="101">
        <f t="shared" si="115"/>
        <v>1469171.2202957261</v>
      </c>
      <c r="N353" s="101">
        <f t="shared" si="115"/>
        <v>338631.51165147562</v>
      </c>
      <c r="O353" s="101">
        <f t="shared" si="115"/>
        <v>17406.378091788196</v>
      </c>
      <c r="P353" s="79"/>
      <c r="Q353" s="79"/>
      <c r="R353" s="79"/>
      <c r="S353" s="101">
        <f t="shared" si="116"/>
        <v>527.44114804087087</v>
      </c>
      <c r="T353" s="101">
        <f t="shared" si="116"/>
        <v>112134.14774472463</v>
      </c>
      <c r="U353" s="79"/>
      <c r="V353" s="79"/>
      <c r="W353" s="79"/>
      <c r="X353" s="79"/>
      <c r="Y353" s="79"/>
      <c r="Z353" s="79"/>
      <c r="AA353" s="79"/>
      <c r="AB353" s="79"/>
      <c r="AC353" s="79"/>
      <c r="AD353" s="79"/>
      <c r="AE353" s="79"/>
      <c r="AF353" s="79"/>
      <c r="AG353" s="79"/>
      <c r="AH353" s="79"/>
      <c r="AI353" s="79"/>
      <c r="AJ353" s="79"/>
      <c r="AK353" s="79"/>
      <c r="AL353" s="79"/>
      <c r="AM353" s="79"/>
      <c r="AN353" s="79"/>
      <c r="AO353" s="79"/>
      <c r="AP353" s="79"/>
    </row>
    <row r="354" spans="3:44" x14ac:dyDescent="0.25">
      <c r="F354" s="28" t="s">
        <v>232</v>
      </c>
      <c r="G354" t="s">
        <v>208</v>
      </c>
      <c r="J354" s="101">
        <f t="shared" si="115"/>
        <v>0</v>
      </c>
      <c r="K354" s="101">
        <f t="shared" si="115"/>
        <v>0</v>
      </c>
      <c r="L354" s="101">
        <f t="shared" si="115"/>
        <v>0</v>
      </c>
      <c r="M354" s="101">
        <f t="shared" si="115"/>
        <v>0</v>
      </c>
      <c r="N354" s="101">
        <f t="shared" si="115"/>
        <v>0</v>
      </c>
      <c r="O354" s="101">
        <f t="shared" si="115"/>
        <v>0</v>
      </c>
      <c r="P354" s="79"/>
      <c r="Q354" s="79"/>
      <c r="R354" s="79"/>
      <c r="S354" s="101">
        <f t="shared" si="116"/>
        <v>0</v>
      </c>
      <c r="T354" s="101">
        <f t="shared" si="116"/>
        <v>0</v>
      </c>
      <c r="U354" s="79"/>
      <c r="V354" s="79"/>
      <c r="W354" s="79"/>
      <c r="X354" s="79"/>
      <c r="Y354" s="79"/>
      <c r="Z354" s="79"/>
      <c r="AA354" s="79"/>
      <c r="AB354" s="79"/>
      <c r="AC354" s="79"/>
      <c r="AD354" s="79"/>
      <c r="AE354" s="79"/>
      <c r="AF354" s="79"/>
      <c r="AG354" s="79"/>
      <c r="AH354" s="79"/>
      <c r="AI354" s="79"/>
      <c r="AJ354" s="79"/>
      <c r="AK354" s="79"/>
      <c r="AL354" s="79"/>
      <c r="AM354" s="79"/>
      <c r="AN354" s="79"/>
      <c r="AO354" s="79"/>
      <c r="AP354" s="79"/>
    </row>
    <row r="355" spans="3:44" x14ac:dyDescent="0.25">
      <c r="F355" s="28" t="s">
        <v>233</v>
      </c>
      <c r="G355" t="s">
        <v>208</v>
      </c>
      <c r="J355" s="92">
        <f t="shared" si="115"/>
        <v>3992648.1763835074</v>
      </c>
      <c r="K355" s="92">
        <f t="shared" si="115"/>
        <v>613305.60413607187</v>
      </c>
      <c r="L355" s="92">
        <f t="shared" si="115"/>
        <v>286216.18510753743</v>
      </c>
      <c r="M355" s="92">
        <f t="shared" si="115"/>
        <v>1469171.2202957261</v>
      </c>
      <c r="N355" s="92">
        <f t="shared" si="115"/>
        <v>338631.51165147562</v>
      </c>
      <c r="O355" s="92">
        <f t="shared" si="115"/>
        <v>17406.378091788196</v>
      </c>
      <c r="P355" s="79"/>
      <c r="Q355" s="79"/>
      <c r="R355" s="79"/>
      <c r="S355" s="92">
        <f t="shared" si="116"/>
        <v>527.44114804087087</v>
      </c>
      <c r="T355" s="92">
        <f t="shared" si="116"/>
        <v>112134.14774472463</v>
      </c>
      <c r="U355" s="79"/>
      <c r="V355" s="79"/>
      <c r="W355" s="79"/>
      <c r="X355" s="79"/>
      <c r="Y355" s="79"/>
      <c r="Z355" s="79"/>
      <c r="AA355" s="79"/>
      <c r="AB355" s="79"/>
      <c r="AC355" s="79"/>
      <c r="AD355" s="79"/>
      <c r="AE355" s="79"/>
      <c r="AF355" s="79"/>
      <c r="AG355" s="79"/>
      <c r="AH355" s="79"/>
      <c r="AI355" s="79"/>
      <c r="AJ355" s="79"/>
      <c r="AK355" s="79"/>
      <c r="AL355" s="79"/>
      <c r="AM355" s="79"/>
      <c r="AN355" s="79"/>
      <c r="AO355" s="79"/>
      <c r="AP355" s="79"/>
    </row>
    <row r="356" spans="3:44" x14ac:dyDescent="0.25">
      <c r="F356" s="28" t="s">
        <v>234</v>
      </c>
      <c r="G356" t="s">
        <v>208</v>
      </c>
      <c r="J356" s="92">
        <f t="shared" si="115"/>
        <v>3992648.1763835074</v>
      </c>
      <c r="K356" s="92">
        <f t="shared" si="115"/>
        <v>613305.60413607187</v>
      </c>
      <c r="L356" s="92">
        <f t="shared" si="115"/>
        <v>286216.18510753743</v>
      </c>
      <c r="M356" s="92">
        <f t="shared" si="115"/>
        <v>1469171.2202957261</v>
      </c>
      <c r="N356" s="92">
        <f t="shared" si="115"/>
        <v>338631.51165147562</v>
      </c>
      <c r="O356" s="92">
        <f t="shared" si="115"/>
        <v>17406.378091788196</v>
      </c>
      <c r="P356" s="79"/>
      <c r="Q356" s="79"/>
      <c r="R356" s="79"/>
      <c r="S356" s="92">
        <f t="shared" si="116"/>
        <v>527.44114804087087</v>
      </c>
      <c r="T356" s="92">
        <f t="shared" si="116"/>
        <v>112134.14774472463</v>
      </c>
      <c r="U356" s="79"/>
      <c r="V356" s="79"/>
      <c r="W356" s="79"/>
      <c r="X356" s="79"/>
      <c r="Y356" s="79"/>
      <c r="Z356" s="79"/>
      <c r="AA356" s="79"/>
      <c r="AB356" s="79"/>
      <c r="AC356" s="79"/>
      <c r="AD356" s="79"/>
      <c r="AE356" s="79"/>
      <c r="AF356" s="79"/>
      <c r="AG356" s="79"/>
      <c r="AH356" s="79"/>
      <c r="AI356" s="79"/>
      <c r="AJ356" s="79"/>
      <c r="AK356" s="79"/>
      <c r="AL356" s="79"/>
      <c r="AM356" s="79"/>
      <c r="AN356" s="79"/>
      <c r="AO356" s="79"/>
      <c r="AP356" s="79"/>
    </row>
    <row r="357" spans="3:44" x14ac:dyDescent="0.25">
      <c r="F357" s="80" t="s">
        <v>235</v>
      </c>
      <c r="G357" s="37" t="s">
        <v>208</v>
      </c>
      <c r="H357" s="144"/>
      <c r="I357" s="37"/>
      <c r="J357" s="103">
        <f t="shared" si="115"/>
        <v>3992648.1763835074</v>
      </c>
      <c r="K357" s="103">
        <f t="shared" si="115"/>
        <v>613305.60413607187</v>
      </c>
      <c r="L357" s="103">
        <f t="shared" si="115"/>
        <v>286216.18510753743</v>
      </c>
      <c r="M357" s="103">
        <f t="shared" si="115"/>
        <v>1469171.2202957261</v>
      </c>
      <c r="N357" s="103">
        <f t="shared" si="115"/>
        <v>338631.51165147562</v>
      </c>
      <c r="O357" s="103">
        <f t="shared" si="115"/>
        <v>17406.378091788196</v>
      </c>
      <c r="P357" s="81"/>
      <c r="Q357" s="81"/>
      <c r="R357" s="81"/>
      <c r="S357" s="103">
        <f t="shared" si="116"/>
        <v>527.44114804087087</v>
      </c>
      <c r="T357" s="103">
        <f t="shared" si="116"/>
        <v>112134.14774472463</v>
      </c>
      <c r="U357" s="81"/>
      <c r="V357" s="81"/>
      <c r="W357" s="81"/>
      <c r="X357" s="81"/>
      <c r="Y357" s="81"/>
      <c r="Z357" s="81"/>
      <c r="AA357" s="81"/>
      <c r="AB357" s="81"/>
      <c r="AC357" s="81"/>
      <c r="AD357" s="81"/>
      <c r="AE357" s="81"/>
      <c r="AF357" s="81"/>
      <c r="AG357" s="81"/>
      <c r="AH357" s="81"/>
      <c r="AI357" s="81"/>
      <c r="AJ357" s="81"/>
      <c r="AK357" s="81"/>
      <c r="AL357" s="81"/>
      <c r="AM357" s="81"/>
      <c r="AN357" s="81"/>
      <c r="AO357" s="81"/>
      <c r="AP357" s="81"/>
    </row>
    <row r="358" spans="3:44" x14ac:dyDescent="0.25">
      <c r="F358" s="172"/>
      <c r="G358" s="28"/>
      <c r="H358" s="2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5"/>
      <c r="AL358" s="105"/>
      <c r="AM358" s="105"/>
      <c r="AN358" s="105"/>
      <c r="AO358" s="105"/>
      <c r="AP358" s="105"/>
    </row>
    <row r="359" spans="3:44" x14ac:dyDescent="0.25">
      <c r="C359" s="31" t="str">
        <f ca="1">INDEX('Version control'!$H$34:$H$56,MATCH($A$1,'Version control'!$F$34:$F$56,0),1)&amp;"-M: Adjustment group flags"</f>
        <v>Section 105-M: Adjustment group flags</v>
      </c>
      <c r="D359" s="31"/>
      <c r="E359" s="31"/>
      <c r="F359" s="31"/>
      <c r="G359" s="31"/>
      <c r="H359" s="31"/>
      <c r="I359" s="31"/>
      <c r="J359" s="31"/>
      <c r="K359" s="31"/>
      <c r="L359" s="31"/>
      <c r="M359" s="31"/>
      <c r="N359" s="31"/>
      <c r="O359" s="31"/>
      <c r="P359" s="31"/>
      <c r="Q359" s="31"/>
      <c r="R359" s="31"/>
      <c r="S359" s="31"/>
      <c r="T359" s="31"/>
      <c r="U359" s="31"/>
      <c r="V359" s="31"/>
      <c r="W359" s="31"/>
      <c r="X359" s="31"/>
      <c r="Y359" s="31"/>
      <c r="Z359" s="31"/>
      <c r="AA359" s="31"/>
      <c r="AB359" s="31"/>
      <c r="AC359" s="31"/>
      <c r="AD359" s="31"/>
      <c r="AE359" s="31"/>
      <c r="AF359" s="31"/>
      <c r="AG359" s="31"/>
      <c r="AH359" s="31"/>
      <c r="AI359" s="31"/>
      <c r="AJ359" s="31"/>
      <c r="AK359" s="31"/>
      <c r="AL359" s="31"/>
      <c r="AM359" s="31"/>
      <c r="AN359" s="31"/>
      <c r="AO359" s="31"/>
      <c r="AP359" s="31"/>
      <c r="AQ359" s="31"/>
      <c r="AR359" s="31"/>
    </row>
    <row r="360" spans="3:44" x14ac:dyDescent="0.25">
      <c r="F360" s="28"/>
      <c r="G360" s="28"/>
      <c r="J360" s="63"/>
      <c r="K360" s="63"/>
      <c r="L360" s="63"/>
      <c r="M360" s="63"/>
      <c r="N360" s="63"/>
      <c r="O360" s="63"/>
      <c r="P360" s="63"/>
      <c r="Q360" s="63"/>
      <c r="R360" s="63"/>
      <c r="S360" s="63"/>
      <c r="T360" s="63"/>
    </row>
    <row r="361" spans="3:44" x14ac:dyDescent="0.25">
      <c r="E361" s="32" t="s">
        <v>585</v>
      </c>
      <c r="F361" s="32"/>
      <c r="I361" s="3" t="s">
        <v>190</v>
      </c>
      <c r="J361" s="173"/>
      <c r="K361" s="173"/>
      <c r="L361" s="173"/>
      <c r="M361" s="173"/>
      <c r="N361" s="173"/>
      <c r="O361" s="173"/>
      <c r="P361" s="173"/>
      <c r="Q361" s="173"/>
      <c r="R361" s="173"/>
      <c r="S361" s="173"/>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R361" t="s">
        <v>576</v>
      </c>
    </row>
    <row r="362" spans="3:44" x14ac:dyDescent="0.25">
      <c r="E362" s="32"/>
      <c r="F362" s="23" t="s">
        <v>271</v>
      </c>
      <c r="G362" s="23" t="s">
        <v>586</v>
      </c>
      <c r="H362" s="23"/>
      <c r="I362" s="23"/>
      <c r="J362" s="151" t="str">
        <f>'Fixed inputs'!J154</f>
        <v>1&amp;2</v>
      </c>
      <c r="K362" s="151" t="str">
        <f>'Fixed inputs'!K154</f>
        <v>1&amp;2</v>
      </c>
      <c r="L362" s="151" t="str">
        <f>'Fixed inputs'!L154</f>
        <v>1&amp;2</v>
      </c>
      <c r="M362" s="151" t="str">
        <f>'Fixed inputs'!M154</f>
        <v>3&amp;4</v>
      </c>
      <c r="N362" s="151" t="str">
        <f>'Fixed inputs'!N154</f>
        <v>3&amp;4</v>
      </c>
      <c r="O362" s="151" t="str">
        <f>'Fixed inputs'!O154</f>
        <v>3&amp;4</v>
      </c>
      <c r="P362" s="151">
        <f>'Fixed inputs'!P154</f>
        <v>0</v>
      </c>
      <c r="Q362" s="151">
        <f>'Fixed inputs'!Q154</f>
        <v>0</v>
      </c>
      <c r="R362" s="151">
        <f>'Fixed inputs'!R154</f>
        <v>0</v>
      </c>
      <c r="S362" s="151" t="str">
        <f>'Fixed inputs'!S154</f>
        <v>LV Network Domestic</v>
      </c>
      <c r="T362" s="151" t="str">
        <f>'Fixed inputs'!T154</f>
        <v>LV Network Non-Domestic</v>
      </c>
      <c r="U362" s="151">
        <f>'Fixed inputs'!U154</f>
        <v>0</v>
      </c>
      <c r="V362" s="151">
        <f>'Fixed inputs'!V154</f>
        <v>0</v>
      </c>
      <c r="W362" s="151">
        <f>'Fixed inputs'!W154</f>
        <v>0</v>
      </c>
      <c r="X362" s="151">
        <f>'Fixed inputs'!X154</f>
        <v>0</v>
      </c>
      <c r="Y362" s="151">
        <f>'Fixed inputs'!Y154</f>
        <v>0</v>
      </c>
      <c r="Z362" s="151">
        <f>'Fixed inputs'!Z154</f>
        <v>0</v>
      </c>
      <c r="AA362" s="151">
        <f>'Fixed inputs'!AA154</f>
        <v>0</v>
      </c>
      <c r="AB362" s="151">
        <f>'Fixed inputs'!AB154</f>
        <v>0</v>
      </c>
      <c r="AC362" s="151">
        <f>'Fixed inputs'!AC154</f>
        <v>0</v>
      </c>
      <c r="AD362" s="151">
        <f>'Fixed inputs'!AD154</f>
        <v>0</v>
      </c>
      <c r="AE362" s="151">
        <f>'Fixed inputs'!AE154</f>
        <v>0</v>
      </c>
      <c r="AF362" s="151">
        <f>'Fixed inputs'!AF154</f>
        <v>0</v>
      </c>
      <c r="AG362" s="151">
        <f>'Fixed inputs'!AG154</f>
        <v>0</v>
      </c>
      <c r="AH362" s="151">
        <f>'Fixed inputs'!AH154</f>
        <v>0</v>
      </c>
      <c r="AI362" s="151">
        <f>'Fixed inputs'!AI154</f>
        <v>0</v>
      </c>
      <c r="AJ362" s="151">
        <f>'Fixed inputs'!AJ154</f>
        <v>0</v>
      </c>
      <c r="AK362" s="151">
        <f>'Fixed inputs'!AK154</f>
        <v>0</v>
      </c>
      <c r="AL362" s="151">
        <f>'Fixed inputs'!AL154</f>
        <v>0</v>
      </c>
      <c r="AM362" s="151">
        <f>'Fixed inputs'!AM154</f>
        <v>0</v>
      </c>
      <c r="AN362" s="151">
        <f>'Fixed inputs'!AN154</f>
        <v>0</v>
      </c>
      <c r="AO362" s="151">
        <f>'Fixed inputs'!AO154</f>
        <v>0</v>
      </c>
      <c r="AP362" s="151">
        <f>'Fixed inputs'!AP154</f>
        <v>0</v>
      </c>
    </row>
    <row r="363" spans="3:44" x14ac:dyDescent="0.25">
      <c r="E363" s="32"/>
      <c r="F363" s="37" t="s">
        <v>276</v>
      </c>
      <c r="G363" s="37" t="s">
        <v>586</v>
      </c>
      <c r="H363" s="37"/>
      <c r="I363" s="37"/>
      <c r="J363" s="152" t="str">
        <f>'Fixed inputs'!J155</f>
        <v>Domestic</v>
      </c>
      <c r="K363" s="152" t="str">
        <f>'Fixed inputs'!K155</f>
        <v>Domestic</v>
      </c>
      <c r="L363" s="152" t="str">
        <f>'Fixed inputs'!L155</f>
        <v>Domestic</v>
      </c>
      <c r="M363" s="152" t="str">
        <f>'Fixed inputs'!M155</f>
        <v>Non-domestic</v>
      </c>
      <c r="N363" s="152" t="str">
        <f>'Fixed inputs'!N155</f>
        <v>Non-domestic</v>
      </c>
      <c r="O363" s="152" t="str">
        <f>'Fixed inputs'!O155</f>
        <v>Non-domestic</v>
      </c>
      <c r="P363" s="152">
        <f>'Fixed inputs'!P155</f>
        <v>0</v>
      </c>
      <c r="Q363" s="152">
        <f>'Fixed inputs'!Q155</f>
        <v>0</v>
      </c>
      <c r="R363" s="152">
        <f>'Fixed inputs'!R155</f>
        <v>0</v>
      </c>
      <c r="S363" s="152" t="str">
        <f>'Fixed inputs'!S155</f>
        <v>Domestic</v>
      </c>
      <c r="T363" s="152" t="str">
        <f>'Fixed inputs'!T155</f>
        <v>Non-domestic</v>
      </c>
      <c r="U363" s="152">
        <f>'Fixed inputs'!U155</f>
        <v>0</v>
      </c>
      <c r="V363" s="152">
        <f>'Fixed inputs'!V155</f>
        <v>0</v>
      </c>
      <c r="W363" s="152">
        <f>'Fixed inputs'!W155</f>
        <v>0</v>
      </c>
      <c r="X363" s="152">
        <f>'Fixed inputs'!X155</f>
        <v>0</v>
      </c>
      <c r="Y363" s="152">
        <f>'Fixed inputs'!Y155</f>
        <v>0</v>
      </c>
      <c r="Z363" s="152">
        <f>'Fixed inputs'!Z155</f>
        <v>0</v>
      </c>
      <c r="AA363" s="152">
        <f>'Fixed inputs'!AA155</f>
        <v>0</v>
      </c>
      <c r="AB363" s="152">
        <f>'Fixed inputs'!AB155</f>
        <v>0</v>
      </c>
      <c r="AC363" s="152">
        <f>'Fixed inputs'!AC155</f>
        <v>0</v>
      </c>
      <c r="AD363" s="152">
        <f>'Fixed inputs'!AD155</f>
        <v>0</v>
      </c>
      <c r="AE363" s="152">
        <f>'Fixed inputs'!AE155</f>
        <v>0</v>
      </c>
      <c r="AF363" s="152">
        <f>'Fixed inputs'!AF155</f>
        <v>0</v>
      </c>
      <c r="AG363" s="152">
        <f>'Fixed inputs'!AG155</f>
        <v>0</v>
      </c>
      <c r="AH363" s="152">
        <f>'Fixed inputs'!AH155</f>
        <v>0</v>
      </c>
      <c r="AI363" s="152">
        <f>'Fixed inputs'!AI155</f>
        <v>0</v>
      </c>
      <c r="AJ363" s="152">
        <f>'Fixed inputs'!AJ155</f>
        <v>0</v>
      </c>
      <c r="AK363" s="152">
        <f>'Fixed inputs'!AK155</f>
        <v>0</v>
      </c>
      <c r="AL363" s="152">
        <f>'Fixed inputs'!AL155</f>
        <v>0</v>
      </c>
      <c r="AM363" s="152">
        <f>'Fixed inputs'!AM155</f>
        <v>0</v>
      </c>
      <c r="AN363" s="152">
        <f>'Fixed inputs'!AN155</f>
        <v>0</v>
      </c>
      <c r="AO363" s="152">
        <f>'Fixed inputs'!AO155</f>
        <v>0</v>
      </c>
      <c r="AP363" s="152">
        <f>'Fixed inputs'!AP155</f>
        <v>0</v>
      </c>
    </row>
    <row r="364" spans="3:44" x14ac:dyDescent="0.25">
      <c r="D364" s="32"/>
      <c r="J364" s="14"/>
      <c r="K364" s="14"/>
      <c r="L364" s="14"/>
      <c r="M364" s="14"/>
      <c r="N364" s="14"/>
      <c r="O364" s="14"/>
      <c r="P364" s="14"/>
      <c r="Q364" s="14"/>
      <c r="R364" s="14"/>
      <c r="S364" s="14"/>
      <c r="T364" s="14"/>
      <c r="U364" s="14"/>
      <c r="V364" s="14"/>
      <c r="W364" s="14"/>
      <c r="X364" s="14"/>
      <c r="Y364" s="14"/>
      <c r="Z364" s="14"/>
      <c r="AA364" s="14"/>
      <c r="AB364" s="14"/>
      <c r="AC364" s="14"/>
      <c r="AD364" s="14"/>
      <c r="AE364" s="14"/>
      <c r="AF364" s="14"/>
      <c r="AG364" s="14"/>
      <c r="AH364" s="14"/>
      <c r="AI364" s="14"/>
      <c r="AJ364" s="14"/>
      <c r="AK364" s="14"/>
      <c r="AL364" s="14"/>
      <c r="AM364" s="14"/>
      <c r="AN364" s="14"/>
      <c r="AO364" s="14"/>
      <c r="AP364" s="14"/>
    </row>
    <row r="365" spans="3:44" x14ac:dyDescent="0.25">
      <c r="C365" s="31" t="str">
        <f ca="1">INDEX('Version control'!$H$34:$H$56,MATCH($A$1,'Version control'!$F$34:$F$56,0),1)&amp;"-N: Average pseudo load coefficient for HH tariff forecast, based on average split of units for NHH tariff forecast"</f>
        <v>Section 105-N: Average pseudo load coefficient for HH tariff forecast, based on average split of units for NHH tariff forecast</v>
      </c>
      <c r="D365" s="31"/>
      <c r="E365" s="31"/>
      <c r="F365" s="31"/>
      <c r="G365" s="31"/>
      <c r="H365" s="31"/>
      <c r="I365" s="31"/>
      <c r="J365" s="31"/>
      <c r="K365" s="31"/>
      <c r="L365" s="31"/>
      <c r="M365" s="31"/>
      <c r="N365" s="31"/>
      <c r="O365" s="31"/>
      <c r="P365" s="31"/>
      <c r="Q365" s="31"/>
      <c r="R365" s="31"/>
      <c r="S365" s="31"/>
      <c r="T365" s="31"/>
      <c r="U365" s="31"/>
      <c r="V365" s="31"/>
      <c r="W365" s="31"/>
      <c r="X365" s="31"/>
      <c r="Y365" s="31"/>
      <c r="Z365" s="31"/>
      <c r="AA365" s="31"/>
      <c r="AB365" s="31"/>
      <c r="AC365" s="31"/>
      <c r="AD365" s="31"/>
      <c r="AE365" s="31"/>
      <c r="AF365" s="31"/>
      <c r="AG365" s="31"/>
      <c r="AH365" s="31"/>
      <c r="AI365" s="31"/>
      <c r="AJ365" s="31"/>
      <c r="AK365" s="31"/>
      <c r="AL365" s="31"/>
      <c r="AM365" s="31"/>
      <c r="AN365" s="31"/>
      <c r="AO365" s="31"/>
      <c r="AP365" s="31"/>
      <c r="AQ365" s="31"/>
      <c r="AR365" s="31"/>
    </row>
    <row r="366" spans="3:44" x14ac:dyDescent="0.25">
      <c r="F366" s="28"/>
      <c r="G366" s="28"/>
    </row>
    <row r="367" spans="3:44" x14ac:dyDescent="0.25">
      <c r="E367" s="32" t="s">
        <v>587</v>
      </c>
      <c r="H367" s="131" t="s">
        <v>588</v>
      </c>
    </row>
    <row r="368" spans="3:44" x14ac:dyDescent="0.25">
      <c r="F368" s="64" t="s">
        <v>353</v>
      </c>
      <c r="G368" s="64" t="s">
        <v>203</v>
      </c>
      <c r="H368" s="174" t="s">
        <v>273</v>
      </c>
      <c r="I368" s="23"/>
      <c r="J368" s="65"/>
      <c r="K368" s="65"/>
      <c r="L368" s="65"/>
      <c r="M368" s="65"/>
      <c r="N368" s="65"/>
      <c r="O368" s="65"/>
      <c r="P368" s="65"/>
      <c r="Q368" s="65"/>
      <c r="R368" s="65"/>
      <c r="S368" s="175">
        <f>IF(SUMIF($J$362:$AP$362, $H368, $J$39:$AP$39) &lt;&gt; 0, SUMIF($J$362:$AP$362, $H368, $J73:$AP73) / SUMIF($J$362:$AP$362, $H368, $J$39:$AP$39), 0)</f>
        <v>0.10803365428227263</v>
      </c>
      <c r="T368" s="176"/>
      <c r="U368" s="65"/>
      <c r="V368" s="65"/>
      <c r="W368" s="65"/>
      <c r="X368" s="65"/>
      <c r="Y368" s="65"/>
      <c r="Z368" s="65"/>
      <c r="AA368" s="65"/>
      <c r="AB368" s="65"/>
      <c r="AC368" s="65"/>
      <c r="AD368" s="65"/>
      <c r="AE368" s="65"/>
      <c r="AF368" s="65"/>
      <c r="AG368" s="65"/>
      <c r="AH368" s="65"/>
      <c r="AI368" s="65"/>
      <c r="AJ368" s="65"/>
      <c r="AK368" s="65"/>
      <c r="AL368" s="65"/>
      <c r="AM368" s="65"/>
      <c r="AN368" s="65"/>
      <c r="AO368" s="65"/>
      <c r="AP368" s="65"/>
    </row>
    <row r="369" spans="5:42" x14ac:dyDescent="0.25">
      <c r="F369" s="28" t="s">
        <v>354</v>
      </c>
      <c r="G369" s="28" t="s">
        <v>203</v>
      </c>
      <c r="H369" s="14" t="s">
        <v>273</v>
      </c>
      <c r="J369" s="66"/>
      <c r="K369" s="66"/>
      <c r="L369" s="66"/>
      <c r="M369" s="66"/>
      <c r="N369" s="66"/>
      <c r="O369" s="66"/>
      <c r="P369" s="66"/>
      <c r="Q369" s="66"/>
      <c r="R369" s="66"/>
      <c r="S369" s="177">
        <f>IF(SUMIF($J$362:$AP$362, $H369, $J$39:$AP$39) &lt;&gt; 0, SUMIF($J$362:$AP$362, $H369, $J74:$AP74) / SUMIF($J$362:$AP$362, $H369, $J$39:$AP$39), 0)</f>
        <v>0.4611059477327295</v>
      </c>
      <c r="T369" s="97"/>
      <c r="U369" s="66"/>
      <c r="V369" s="66"/>
      <c r="W369" s="66"/>
      <c r="X369" s="66"/>
      <c r="Y369" s="66"/>
      <c r="Z369" s="66"/>
      <c r="AA369" s="66"/>
      <c r="AB369" s="66"/>
      <c r="AC369" s="66"/>
      <c r="AD369" s="66"/>
      <c r="AE369" s="66"/>
      <c r="AF369" s="66"/>
      <c r="AG369" s="66"/>
      <c r="AH369" s="66"/>
      <c r="AI369" s="66"/>
      <c r="AJ369" s="66"/>
      <c r="AK369" s="66"/>
      <c r="AL369" s="66"/>
      <c r="AM369" s="66"/>
      <c r="AN369" s="66"/>
      <c r="AO369" s="66"/>
      <c r="AP369" s="66"/>
    </row>
    <row r="370" spans="5:42" x14ac:dyDescent="0.25">
      <c r="F370" s="67" t="s">
        <v>313</v>
      </c>
      <c r="G370" s="67" t="s">
        <v>203</v>
      </c>
      <c r="H370" s="178" t="s">
        <v>273</v>
      </c>
      <c r="I370" s="37"/>
      <c r="J370" s="68"/>
      <c r="K370" s="68"/>
      <c r="L370" s="68"/>
      <c r="M370" s="68"/>
      <c r="N370" s="68"/>
      <c r="O370" s="68"/>
      <c r="P370" s="68"/>
      <c r="Q370" s="68"/>
      <c r="R370" s="68"/>
      <c r="S370" s="179">
        <f>IF(SUMIF($J$362:$AP$362, $H370, $J$39:$AP$39) &lt;&gt; 0, SUMIF($J$362:$AP$362, $H370, $J75:$AP75) / SUMIF($J$362:$AP$362, $H370, $J$39:$AP$39), 0)</f>
        <v>0.43086039798499765</v>
      </c>
      <c r="T370" s="180"/>
      <c r="U370" s="68"/>
      <c r="V370" s="68"/>
      <c r="W370" s="68"/>
      <c r="X370" s="68"/>
      <c r="Y370" s="68"/>
      <c r="Z370" s="68"/>
      <c r="AA370" s="68"/>
      <c r="AB370" s="68"/>
      <c r="AC370" s="68"/>
      <c r="AD370" s="68"/>
      <c r="AE370" s="68"/>
      <c r="AF370" s="68"/>
      <c r="AG370" s="68"/>
      <c r="AH370" s="68"/>
      <c r="AI370" s="68"/>
      <c r="AJ370" s="68"/>
      <c r="AK370" s="68"/>
      <c r="AL370" s="68"/>
      <c r="AM370" s="68"/>
      <c r="AN370" s="68"/>
      <c r="AO370" s="68"/>
      <c r="AP370" s="68"/>
    </row>
    <row r="371" spans="5:42" x14ac:dyDescent="0.25">
      <c r="G371" s="28"/>
      <c r="H371" s="14"/>
      <c r="J371" s="63"/>
      <c r="S371" s="181"/>
      <c r="T371" s="181"/>
    </row>
    <row r="372" spans="5:42" x14ac:dyDescent="0.25">
      <c r="E372" s="32" t="s">
        <v>589</v>
      </c>
      <c r="H372" s="131" t="s">
        <v>588</v>
      </c>
      <c r="S372" s="181"/>
      <c r="T372" s="181"/>
    </row>
    <row r="373" spans="5:42" x14ac:dyDescent="0.25">
      <c r="F373" s="64" t="s">
        <v>353</v>
      </c>
      <c r="G373" s="64" t="s">
        <v>203</v>
      </c>
      <c r="H373" s="174" t="s">
        <v>274</v>
      </c>
      <c r="I373" s="23"/>
      <c r="J373" s="65"/>
      <c r="K373" s="65"/>
      <c r="L373" s="65"/>
      <c r="M373" s="65"/>
      <c r="N373" s="65"/>
      <c r="O373" s="65"/>
      <c r="P373" s="65"/>
      <c r="Q373" s="65"/>
      <c r="R373" s="65"/>
      <c r="S373" s="176"/>
      <c r="T373" s="175">
        <f>IF(SUMIF($J$362:$AP$362, $H373, $J$39:$AP$39) &lt;&gt; 0, SUMIF($J$362:$AP$362, $H373, $J73:$AP73) / SUMIF($J$362:$AP$362, $H373, $J$39:$AP$39), 0)</f>
        <v>9.9710414154515953E-2</v>
      </c>
      <c r="U373" s="65"/>
      <c r="V373" s="65"/>
      <c r="W373" s="65"/>
      <c r="X373" s="65"/>
      <c r="Y373" s="65"/>
      <c r="Z373" s="65"/>
      <c r="AA373" s="65"/>
      <c r="AB373" s="65"/>
      <c r="AC373" s="65"/>
      <c r="AD373" s="65"/>
      <c r="AE373" s="65"/>
      <c r="AF373" s="65"/>
      <c r="AG373" s="65"/>
      <c r="AH373" s="65"/>
      <c r="AI373" s="65"/>
      <c r="AJ373" s="65"/>
      <c r="AK373" s="65"/>
      <c r="AL373" s="65"/>
      <c r="AM373" s="65"/>
      <c r="AN373" s="65"/>
      <c r="AO373" s="65"/>
      <c r="AP373" s="65"/>
    </row>
    <row r="374" spans="5:42" x14ac:dyDescent="0.25">
      <c r="F374" s="28" t="s">
        <v>354</v>
      </c>
      <c r="G374" s="28" t="s">
        <v>203</v>
      </c>
      <c r="H374" s="14" t="s">
        <v>274</v>
      </c>
      <c r="J374" s="66"/>
      <c r="K374" s="66"/>
      <c r="L374" s="66"/>
      <c r="M374" s="66"/>
      <c r="N374" s="66"/>
      <c r="O374" s="66"/>
      <c r="P374" s="66"/>
      <c r="Q374" s="66"/>
      <c r="R374" s="66"/>
      <c r="S374" s="97"/>
      <c r="T374" s="177">
        <f>IF(SUMIF($J$362:$AP$362, $H374, $J$39:$AP$39) &lt;&gt; 0, SUMIF($J$362:$AP$362, $H374, $J74:$AP74) / SUMIF($J$362:$AP$362, $H374, $J$39:$AP$39), 0)</f>
        <v>0.53816784381055283</v>
      </c>
      <c r="U374" s="66"/>
      <c r="V374" s="66"/>
      <c r="W374" s="66"/>
      <c r="X374" s="66"/>
      <c r="Y374" s="66"/>
      <c r="Z374" s="66"/>
      <c r="AA374" s="66"/>
      <c r="AB374" s="66"/>
      <c r="AC374" s="66"/>
      <c r="AD374" s="66"/>
      <c r="AE374" s="66"/>
      <c r="AF374" s="66"/>
      <c r="AG374" s="66"/>
      <c r="AH374" s="66"/>
      <c r="AI374" s="66"/>
      <c r="AJ374" s="66"/>
      <c r="AK374" s="66"/>
      <c r="AL374" s="66"/>
      <c r="AM374" s="66"/>
      <c r="AN374" s="66"/>
      <c r="AO374" s="66"/>
      <c r="AP374" s="66"/>
    </row>
    <row r="375" spans="5:42" x14ac:dyDescent="0.25">
      <c r="F375" s="67" t="s">
        <v>313</v>
      </c>
      <c r="G375" s="67" t="s">
        <v>203</v>
      </c>
      <c r="H375" s="178" t="s">
        <v>274</v>
      </c>
      <c r="I375" s="37"/>
      <c r="J375" s="68"/>
      <c r="K375" s="68"/>
      <c r="L375" s="68"/>
      <c r="M375" s="68"/>
      <c r="N375" s="68"/>
      <c r="O375" s="68"/>
      <c r="P375" s="68"/>
      <c r="Q375" s="68"/>
      <c r="R375" s="68"/>
      <c r="S375" s="180"/>
      <c r="T375" s="179">
        <f>IF(SUMIF($J$362:$AP$362, $H375, $J$39:$AP$39) &lt;&gt; 0, SUMIF($J$362:$AP$362, $H375, $J75:$AP75) / SUMIF($J$362:$AP$362, $H375, $J$39:$AP$39), 0)</f>
        <v>0.36212174203493125</v>
      </c>
      <c r="U375" s="68"/>
      <c r="V375" s="68"/>
      <c r="W375" s="68"/>
      <c r="X375" s="68"/>
      <c r="Y375" s="68"/>
      <c r="Z375" s="68"/>
      <c r="AA375" s="68"/>
      <c r="AB375" s="68"/>
      <c r="AC375" s="68"/>
      <c r="AD375" s="68"/>
      <c r="AE375" s="68"/>
      <c r="AF375" s="68"/>
      <c r="AG375" s="68"/>
      <c r="AH375" s="68"/>
      <c r="AI375" s="68"/>
      <c r="AJ375" s="68"/>
      <c r="AK375" s="68"/>
      <c r="AL375" s="68"/>
      <c r="AM375" s="68"/>
      <c r="AN375" s="68"/>
      <c r="AO375" s="68"/>
      <c r="AP375" s="68"/>
    </row>
    <row r="376" spans="5:42" x14ac:dyDescent="0.25">
      <c r="G376" s="28"/>
      <c r="J376" s="63"/>
    </row>
    <row r="377" spans="5:42" x14ac:dyDescent="0.25">
      <c r="E377" s="32" t="s">
        <v>590</v>
      </c>
      <c r="H377" s="131"/>
      <c r="S377" s="181"/>
      <c r="T377" s="181"/>
    </row>
    <row r="378" spans="5:42" x14ac:dyDescent="0.25">
      <c r="F378" s="64" t="s">
        <v>353</v>
      </c>
      <c r="G378" s="64" t="s">
        <v>203</v>
      </c>
      <c r="H378" s="174"/>
      <c r="I378" s="23"/>
      <c r="J378" s="65"/>
      <c r="K378" s="65"/>
      <c r="L378" s="65"/>
      <c r="M378" s="65"/>
      <c r="N378" s="65"/>
      <c r="O378" s="65"/>
      <c r="P378" s="65"/>
      <c r="Q378" s="65"/>
      <c r="R378" s="65"/>
      <c r="S378" s="175">
        <f>S368 + S373</f>
        <v>0.10803365428227263</v>
      </c>
      <c r="T378" s="175">
        <f>T368 + T373</f>
        <v>9.9710414154515953E-2</v>
      </c>
      <c r="U378" s="65"/>
      <c r="V378" s="65"/>
      <c r="W378" s="65"/>
      <c r="X378" s="65"/>
      <c r="Y378" s="65"/>
      <c r="Z378" s="65"/>
      <c r="AA378" s="65"/>
      <c r="AB378" s="65"/>
      <c r="AC378" s="65"/>
      <c r="AD378" s="65"/>
      <c r="AE378" s="65"/>
      <c r="AF378" s="65"/>
      <c r="AG378" s="65"/>
      <c r="AH378" s="65"/>
      <c r="AI378" s="65"/>
      <c r="AJ378" s="65"/>
      <c r="AK378" s="65"/>
      <c r="AL378" s="65"/>
      <c r="AM378" s="65"/>
      <c r="AN378" s="65"/>
      <c r="AO378" s="65"/>
      <c r="AP378" s="65"/>
    </row>
    <row r="379" spans="5:42" x14ac:dyDescent="0.25">
      <c r="F379" s="28" t="s">
        <v>354</v>
      </c>
      <c r="G379" s="28" t="s">
        <v>203</v>
      </c>
      <c r="H379" s="14"/>
      <c r="J379" s="66"/>
      <c r="K379" s="66"/>
      <c r="L379" s="66"/>
      <c r="M379" s="66"/>
      <c r="N379" s="66"/>
      <c r="O379" s="66"/>
      <c r="P379" s="66"/>
      <c r="Q379" s="66"/>
      <c r="R379" s="66"/>
      <c r="S379" s="177">
        <f t="shared" ref="S379:T380" si="117">S369 + S374</f>
        <v>0.4611059477327295</v>
      </c>
      <c r="T379" s="177">
        <f t="shared" si="117"/>
        <v>0.53816784381055283</v>
      </c>
      <c r="U379" s="66"/>
      <c r="V379" s="66"/>
      <c r="W379" s="66"/>
      <c r="X379" s="66"/>
      <c r="Y379" s="66"/>
      <c r="Z379" s="66"/>
      <c r="AA379" s="66"/>
      <c r="AB379" s="66"/>
      <c r="AC379" s="66"/>
      <c r="AD379" s="66"/>
      <c r="AE379" s="66"/>
      <c r="AF379" s="66"/>
      <c r="AG379" s="66"/>
      <c r="AH379" s="66"/>
      <c r="AI379" s="66"/>
      <c r="AJ379" s="66"/>
      <c r="AK379" s="66"/>
      <c r="AL379" s="66"/>
      <c r="AM379" s="66"/>
      <c r="AN379" s="66"/>
      <c r="AO379" s="66"/>
      <c r="AP379" s="66"/>
    </row>
    <row r="380" spans="5:42" x14ac:dyDescent="0.25">
      <c r="F380" s="67" t="s">
        <v>313</v>
      </c>
      <c r="G380" s="67" t="s">
        <v>203</v>
      </c>
      <c r="H380" s="178"/>
      <c r="I380" s="37"/>
      <c r="J380" s="68"/>
      <c r="K380" s="68"/>
      <c r="L380" s="68"/>
      <c r="M380" s="68"/>
      <c r="N380" s="68"/>
      <c r="O380" s="68"/>
      <c r="P380" s="68"/>
      <c r="Q380" s="68"/>
      <c r="R380" s="68"/>
      <c r="S380" s="179">
        <f t="shared" si="117"/>
        <v>0.43086039798499765</v>
      </c>
      <c r="T380" s="179">
        <f t="shared" si="117"/>
        <v>0.36212174203493125</v>
      </c>
      <c r="U380" s="68"/>
      <c r="V380" s="68"/>
      <c r="W380" s="68"/>
      <c r="X380" s="68"/>
      <c r="Y380" s="68"/>
      <c r="Z380" s="68"/>
      <c r="AA380" s="68"/>
      <c r="AB380" s="68"/>
      <c r="AC380" s="68"/>
      <c r="AD380" s="68"/>
      <c r="AE380" s="68"/>
      <c r="AF380" s="68"/>
      <c r="AG380" s="68"/>
      <c r="AH380" s="68"/>
      <c r="AI380" s="68"/>
      <c r="AJ380" s="68"/>
      <c r="AK380" s="68"/>
      <c r="AL380" s="68"/>
      <c r="AM380" s="68"/>
      <c r="AN380" s="68"/>
      <c r="AO380" s="68"/>
      <c r="AP380" s="68"/>
    </row>
    <row r="381" spans="5:42" x14ac:dyDescent="0.25">
      <c r="G381" s="28"/>
      <c r="J381" s="63"/>
    </row>
    <row r="382" spans="5:42" x14ac:dyDescent="0.25">
      <c r="E382" s="32" t="s">
        <v>591</v>
      </c>
      <c r="G382" s="28"/>
    </row>
    <row r="383" spans="5:42" x14ac:dyDescent="0.25">
      <c r="F383" s="64" t="s">
        <v>227</v>
      </c>
      <c r="G383" s="64" t="s">
        <v>342</v>
      </c>
      <c r="H383" s="23"/>
      <c r="I383" s="23"/>
      <c r="J383" s="83"/>
      <c r="K383" s="83"/>
      <c r="L383" s="83"/>
      <c r="M383" s="83"/>
      <c r="N383" s="83"/>
      <c r="O383" s="83"/>
      <c r="P383" s="83"/>
      <c r="Q383" s="83"/>
      <c r="R383" s="83"/>
      <c r="S383" s="129">
        <f>SUMPRODUCT(S206:S208,S$378:S$380,S$253:S$255) * hours_in_year * S$122</f>
        <v>1.2913895516439828</v>
      </c>
      <c r="T383" s="129">
        <f>SUMPRODUCT(T206:T208,T$378:T$380,T$253:T$255) * hours_in_year * T$122</f>
        <v>1.4843912998531679</v>
      </c>
      <c r="U383" s="83"/>
      <c r="V383" s="83"/>
      <c r="W383" s="83"/>
      <c r="X383" s="83"/>
      <c r="Y383" s="83"/>
      <c r="Z383" s="83"/>
      <c r="AA383" s="83"/>
      <c r="AB383" s="83"/>
      <c r="AC383" s="83"/>
      <c r="AD383" s="83"/>
      <c r="AE383" s="83"/>
      <c r="AF383" s="83"/>
      <c r="AG383" s="83"/>
      <c r="AH383" s="83"/>
      <c r="AI383" s="83"/>
      <c r="AJ383" s="83"/>
      <c r="AK383" s="83"/>
      <c r="AL383" s="83"/>
      <c r="AM383" s="83"/>
      <c r="AN383" s="83"/>
      <c r="AO383" s="83"/>
      <c r="AP383" s="83"/>
    </row>
    <row r="384" spans="5:42" x14ac:dyDescent="0.25">
      <c r="F384" s="28" t="s">
        <v>228</v>
      </c>
      <c r="G384" s="28" t="s">
        <v>342</v>
      </c>
      <c r="J384" s="79"/>
      <c r="K384" s="79"/>
      <c r="L384" s="79"/>
      <c r="M384" s="79"/>
      <c r="N384" s="79"/>
      <c r="O384" s="79"/>
      <c r="P384" s="79"/>
      <c r="Q384" s="79"/>
      <c r="R384" s="79"/>
      <c r="S384" s="101">
        <f>SUMPRODUCT(S211:S213,S$378:S$380,S$253:S$255) * hours_in_year * S$122</f>
        <v>0</v>
      </c>
      <c r="T384" s="101">
        <f>SUMPRODUCT(T211:T213,T$378:T$380,T$253:T$255) * hours_in_year * T$122</f>
        <v>0</v>
      </c>
      <c r="U384" s="79"/>
      <c r="V384" s="79"/>
      <c r="W384" s="79"/>
      <c r="X384" s="79"/>
      <c r="Y384" s="79"/>
      <c r="Z384" s="79"/>
      <c r="AA384" s="79"/>
      <c r="AB384" s="79"/>
      <c r="AC384" s="79"/>
      <c r="AD384" s="79"/>
      <c r="AE384" s="79"/>
      <c r="AF384" s="79"/>
      <c r="AG384" s="79"/>
      <c r="AH384" s="79"/>
      <c r="AI384" s="79"/>
      <c r="AJ384" s="79"/>
      <c r="AK384" s="79"/>
      <c r="AL384" s="79"/>
      <c r="AM384" s="79"/>
      <c r="AN384" s="79"/>
      <c r="AO384" s="79"/>
      <c r="AP384" s="79"/>
    </row>
    <row r="385" spans="3:44" x14ac:dyDescent="0.25">
      <c r="F385" s="28" t="s">
        <v>229</v>
      </c>
      <c r="G385" s="28" t="s">
        <v>342</v>
      </c>
      <c r="J385" s="79"/>
      <c r="K385" s="79"/>
      <c r="L385" s="79"/>
      <c r="M385" s="79"/>
      <c r="N385" s="79"/>
      <c r="O385" s="79"/>
      <c r="P385" s="79"/>
      <c r="Q385" s="79"/>
      <c r="R385" s="79"/>
      <c r="S385" s="101">
        <f>SUMPRODUCT(S216:S218,S$378:S$380,S$253:S$255) * hours_in_year * S$122</f>
        <v>0</v>
      </c>
      <c r="T385" s="101">
        <f>SUMPRODUCT(T216:T218,T$378:T$380,T$253:T$255) * hours_in_year * T$122</f>
        <v>0</v>
      </c>
      <c r="U385" s="79"/>
      <c r="V385" s="79"/>
      <c r="W385" s="79"/>
      <c r="X385" s="79"/>
      <c r="Y385" s="79"/>
      <c r="Z385" s="79"/>
      <c r="AA385" s="79"/>
      <c r="AB385" s="79"/>
      <c r="AC385" s="79"/>
      <c r="AD385" s="79"/>
      <c r="AE385" s="79"/>
      <c r="AF385" s="79"/>
      <c r="AG385" s="79"/>
      <c r="AH385" s="79"/>
      <c r="AI385" s="79"/>
      <c r="AJ385" s="79"/>
      <c r="AK385" s="79"/>
      <c r="AL385" s="79"/>
      <c r="AM385" s="79"/>
      <c r="AN385" s="79"/>
      <c r="AO385" s="79"/>
      <c r="AP385" s="79"/>
    </row>
    <row r="386" spans="3:44" x14ac:dyDescent="0.25">
      <c r="F386" s="28" t="s">
        <v>230</v>
      </c>
      <c r="G386" s="28" t="s">
        <v>342</v>
      </c>
      <c r="J386" s="79"/>
      <c r="K386" s="79"/>
      <c r="L386" s="79"/>
      <c r="M386" s="79"/>
      <c r="N386" s="79"/>
      <c r="O386" s="79"/>
      <c r="P386" s="79"/>
      <c r="Q386" s="79"/>
      <c r="R386" s="79"/>
      <c r="S386" s="101">
        <f>SUMPRODUCT(S221:S223,S$378:S$380,S$253:S$255) * hours_in_year * S$122</f>
        <v>1.2797601863067085</v>
      </c>
      <c r="T386" s="101">
        <f>SUMPRODUCT(T221:T223,T$378:T$380,T$253:T$255) * hours_in_year * T$122</f>
        <v>1.4807033917746455</v>
      </c>
      <c r="U386" s="79"/>
      <c r="V386" s="79"/>
      <c r="W386" s="79"/>
      <c r="X386" s="79"/>
      <c r="Y386" s="79"/>
      <c r="Z386" s="79"/>
      <c r="AA386" s="79"/>
      <c r="AB386" s="79"/>
      <c r="AC386" s="79"/>
      <c r="AD386" s="79"/>
      <c r="AE386" s="79"/>
      <c r="AF386" s="79"/>
      <c r="AG386" s="79"/>
      <c r="AH386" s="79"/>
      <c r="AI386" s="79"/>
      <c r="AJ386" s="79"/>
      <c r="AK386" s="79"/>
      <c r="AL386" s="79"/>
      <c r="AM386" s="79"/>
      <c r="AN386" s="79"/>
      <c r="AO386" s="79"/>
      <c r="AP386" s="79"/>
    </row>
    <row r="387" spans="3:44" x14ac:dyDescent="0.25">
      <c r="F387" s="28" t="s">
        <v>231</v>
      </c>
      <c r="G387" s="28" t="s">
        <v>342</v>
      </c>
      <c r="J387" s="79"/>
      <c r="K387" s="79"/>
      <c r="L387" s="79"/>
      <c r="M387" s="79"/>
      <c r="N387" s="79"/>
      <c r="O387" s="79"/>
      <c r="P387" s="79"/>
      <c r="Q387" s="79"/>
      <c r="R387" s="79"/>
      <c r="S387" s="101">
        <f>SUMPRODUCT(S226:S228,S$378:S$380,S$253:S$255) * hours_in_year * S$122</f>
        <v>1.2797601863067085</v>
      </c>
      <c r="T387" s="101">
        <f>SUMPRODUCT(T226:T228,T$378:T$380,T$253:T$255) * hours_in_year * T$122</f>
        <v>1.4807033917746455</v>
      </c>
      <c r="U387" s="79"/>
      <c r="V387" s="79"/>
      <c r="W387" s="79"/>
      <c r="X387" s="79"/>
      <c r="Y387" s="79"/>
      <c r="Z387" s="79"/>
      <c r="AA387" s="79"/>
      <c r="AB387" s="79"/>
      <c r="AC387" s="79"/>
      <c r="AD387" s="79"/>
      <c r="AE387" s="79"/>
      <c r="AF387" s="79"/>
      <c r="AG387" s="79"/>
      <c r="AH387" s="79"/>
      <c r="AI387" s="79"/>
      <c r="AJ387" s="79"/>
      <c r="AK387" s="79"/>
      <c r="AL387" s="79"/>
      <c r="AM387" s="79"/>
      <c r="AN387" s="79"/>
      <c r="AO387" s="79"/>
      <c r="AP387" s="79"/>
    </row>
    <row r="388" spans="3:44" x14ac:dyDescent="0.25">
      <c r="F388" s="28" t="s">
        <v>232</v>
      </c>
      <c r="G388" s="28" t="s">
        <v>342</v>
      </c>
      <c r="J388" s="79"/>
      <c r="K388" s="79"/>
      <c r="L388" s="79"/>
      <c r="M388" s="79"/>
      <c r="N388" s="79"/>
      <c r="O388" s="79"/>
      <c r="P388" s="79"/>
      <c r="Q388" s="79"/>
      <c r="R388" s="79"/>
      <c r="S388" s="101">
        <f>SUMPRODUCT(S231:S233,S$378:S$380,S$253:S$255) * hours_in_year * S$122</f>
        <v>0</v>
      </c>
      <c r="T388" s="101">
        <f>SUMPRODUCT(T231:T233,T$378:T$380,T$253:T$255) * hours_in_year * T$122</f>
        <v>0</v>
      </c>
      <c r="U388" s="79"/>
      <c r="V388" s="79"/>
      <c r="W388" s="79"/>
      <c r="X388" s="79"/>
      <c r="Y388" s="79"/>
      <c r="Z388" s="79"/>
      <c r="AA388" s="79"/>
      <c r="AB388" s="79"/>
      <c r="AC388" s="79"/>
      <c r="AD388" s="79"/>
      <c r="AE388" s="79"/>
      <c r="AF388" s="79"/>
      <c r="AG388" s="79"/>
      <c r="AH388" s="79"/>
      <c r="AI388" s="79"/>
      <c r="AJ388" s="79"/>
      <c r="AK388" s="79"/>
      <c r="AL388" s="79"/>
      <c r="AM388" s="79"/>
      <c r="AN388" s="79"/>
      <c r="AO388" s="79"/>
      <c r="AP388" s="79"/>
    </row>
    <row r="389" spans="3:44" x14ac:dyDescent="0.25">
      <c r="F389" s="28" t="s">
        <v>233</v>
      </c>
      <c r="G389" s="28" t="s">
        <v>342</v>
      </c>
      <c r="J389" s="79"/>
      <c r="K389" s="79"/>
      <c r="L389" s="79"/>
      <c r="M389" s="79"/>
      <c r="N389" s="79"/>
      <c r="O389" s="79"/>
      <c r="P389" s="79"/>
      <c r="Q389" s="79"/>
      <c r="R389" s="79"/>
      <c r="S389" s="101">
        <f>SUMPRODUCT(S236:S238,S$378:S$380,S$253:S$255) * hours_in_year * S$122</f>
        <v>1.2797601863067085</v>
      </c>
      <c r="T389" s="101">
        <f>SUMPRODUCT(T236:T238,T$378:T$380,T$253:T$255) * hours_in_year * T$122</f>
        <v>1.4807033917746455</v>
      </c>
      <c r="U389" s="79"/>
      <c r="V389" s="79"/>
      <c r="W389" s="79"/>
      <c r="X389" s="79"/>
      <c r="Y389" s="79"/>
      <c r="Z389" s="79"/>
      <c r="AA389" s="79"/>
      <c r="AB389" s="79"/>
      <c r="AC389" s="79"/>
      <c r="AD389" s="79"/>
      <c r="AE389" s="79"/>
      <c r="AF389" s="79"/>
      <c r="AG389" s="79"/>
      <c r="AH389" s="79"/>
      <c r="AI389" s="79"/>
      <c r="AJ389" s="79"/>
      <c r="AK389" s="79"/>
      <c r="AL389" s="79"/>
      <c r="AM389" s="79"/>
      <c r="AN389" s="79"/>
      <c r="AO389" s="79"/>
      <c r="AP389" s="79"/>
    </row>
    <row r="390" spans="3:44" x14ac:dyDescent="0.25">
      <c r="F390" s="28" t="s">
        <v>234</v>
      </c>
      <c r="G390" s="28" t="s">
        <v>342</v>
      </c>
      <c r="J390" s="79"/>
      <c r="K390" s="79"/>
      <c r="L390" s="79"/>
      <c r="M390" s="79"/>
      <c r="N390" s="79"/>
      <c r="O390" s="79"/>
      <c r="P390" s="79"/>
      <c r="Q390" s="79"/>
      <c r="R390" s="79"/>
      <c r="S390" s="101">
        <f>SUMPRODUCT(S241:S243,S$378:S$380,S$253:S$255) * hours_in_year * S$122</f>
        <v>1.2797601863067085</v>
      </c>
      <c r="T390" s="101">
        <f>SUMPRODUCT(T241:T243,T$378:T$380,T$253:T$255) * hours_in_year * T$122</f>
        <v>1.4807033917746455</v>
      </c>
      <c r="U390" s="79"/>
      <c r="V390" s="79"/>
      <c r="W390" s="79"/>
      <c r="X390" s="79"/>
      <c r="Y390" s="79"/>
      <c r="Z390" s="79"/>
      <c r="AA390" s="79"/>
      <c r="AB390" s="79"/>
      <c r="AC390" s="79"/>
      <c r="AD390" s="79"/>
      <c r="AE390" s="79"/>
      <c r="AF390" s="79"/>
      <c r="AG390" s="79"/>
      <c r="AH390" s="79"/>
      <c r="AI390" s="79"/>
      <c r="AJ390" s="79"/>
      <c r="AK390" s="79"/>
      <c r="AL390" s="79"/>
      <c r="AM390" s="79"/>
      <c r="AN390" s="79"/>
      <c r="AO390" s="79"/>
      <c r="AP390" s="79"/>
    </row>
    <row r="391" spans="3:44" x14ac:dyDescent="0.25">
      <c r="F391" s="80" t="s">
        <v>235</v>
      </c>
      <c r="G391" s="67" t="s">
        <v>342</v>
      </c>
      <c r="H391" s="144"/>
      <c r="I391" s="37"/>
      <c r="J391" s="81"/>
      <c r="K391" s="81"/>
      <c r="L391" s="81"/>
      <c r="M391" s="81"/>
      <c r="N391" s="81"/>
      <c r="O391" s="81"/>
      <c r="P391" s="81"/>
      <c r="Q391" s="81"/>
      <c r="R391" s="81"/>
      <c r="S391" s="103">
        <f>SUMPRODUCT(S246:S248,S$378:S$380,S$253:S$255) * hours_in_year * S$122</f>
        <v>1.2797601863067085</v>
      </c>
      <c r="T391" s="103">
        <f>SUMPRODUCT(T246:T248,T$378:T$380,T$253:T$255) * hours_in_year * T$122</f>
        <v>1.4807033917746455</v>
      </c>
      <c r="U391" s="81"/>
      <c r="V391" s="81"/>
      <c r="W391" s="81"/>
      <c r="X391" s="81"/>
      <c r="Y391" s="81"/>
      <c r="Z391" s="81"/>
      <c r="AA391" s="81"/>
      <c r="AB391" s="81"/>
      <c r="AC391" s="81"/>
      <c r="AD391" s="81"/>
      <c r="AE391" s="81"/>
      <c r="AF391" s="81"/>
      <c r="AG391" s="81"/>
      <c r="AH391" s="81"/>
      <c r="AI391" s="81"/>
      <c r="AJ391" s="81"/>
      <c r="AK391" s="81"/>
      <c r="AL391" s="81"/>
      <c r="AM391" s="81"/>
      <c r="AN391" s="81"/>
      <c r="AO391" s="81"/>
      <c r="AP391" s="81"/>
    </row>
    <row r="392" spans="3:44" x14ac:dyDescent="0.25">
      <c r="F392" s="172"/>
      <c r="G392" s="28"/>
      <c r="H392" s="2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5"/>
      <c r="AL392" s="105"/>
      <c r="AM392" s="105"/>
      <c r="AN392" s="105"/>
      <c r="AO392" s="105"/>
      <c r="AP392" s="105"/>
    </row>
    <row r="393" spans="3:44" x14ac:dyDescent="0.25">
      <c r="C393" s="31" t="str">
        <f ca="1">INDEX('Version control'!$H$34:$H$56,MATCH($A$1,'Version control'!$F$34:$F$56,0),1)&amp;"-O: Volume weighted average pseudo load coefficient by profile class"</f>
        <v>Section 105-O: Volume weighted average pseudo load coefficient by profile class</v>
      </c>
      <c r="D393" s="31"/>
      <c r="E393" s="31"/>
      <c r="F393" s="31"/>
      <c r="G393" s="31"/>
      <c r="H393" s="31"/>
      <c r="I393" s="31"/>
      <c r="J393" s="31"/>
      <c r="K393" s="31"/>
      <c r="L393" s="31"/>
      <c r="M393" s="31"/>
      <c r="N393" s="31"/>
      <c r="O393" s="31"/>
      <c r="P393" s="31"/>
      <c r="Q393" s="31"/>
      <c r="R393" s="31"/>
      <c r="S393" s="31"/>
      <c r="T393" s="31"/>
      <c r="U393" s="31"/>
      <c r="V393" s="31"/>
      <c r="W393" s="31"/>
      <c r="X393" s="31"/>
      <c r="Y393" s="31"/>
      <c r="Z393" s="31"/>
      <c r="AA393" s="31"/>
      <c r="AB393" s="31"/>
      <c r="AC393" s="31"/>
      <c r="AD393" s="31"/>
      <c r="AE393" s="31"/>
      <c r="AF393" s="31"/>
      <c r="AG393" s="31"/>
      <c r="AH393" s="31"/>
      <c r="AI393" s="31"/>
      <c r="AJ393" s="31"/>
      <c r="AK393" s="31"/>
      <c r="AL393" s="31"/>
      <c r="AM393" s="31"/>
      <c r="AN393" s="31"/>
      <c r="AO393" s="31"/>
      <c r="AP393" s="31"/>
      <c r="AQ393" s="31"/>
      <c r="AR393" s="31"/>
    </row>
    <row r="394" spans="3:44" x14ac:dyDescent="0.25">
      <c r="D394" s="32"/>
    </row>
    <row r="395" spans="3:44" x14ac:dyDescent="0.25">
      <c r="E395" s="32" t="s">
        <v>592</v>
      </c>
      <c r="G395" s="28"/>
    </row>
    <row r="396" spans="3:44" x14ac:dyDescent="0.25">
      <c r="E396" s="172"/>
      <c r="F396" s="23" t="s">
        <v>227</v>
      </c>
      <c r="G396" s="64" t="s">
        <v>342</v>
      </c>
      <c r="H396" s="163">
        <f t="shared" ref="H396:H404" si="118">IF(SUM($J$39:$L$39) &lt;&gt; 0, SUMPRODUCT($J338:$L338,$J$39:$L$39) / SUM($J$39:$L$39), 0)</f>
        <v>1.531712812446528</v>
      </c>
    </row>
    <row r="397" spans="3:44" x14ac:dyDescent="0.25">
      <c r="E397" s="172"/>
      <c r="F397" t="s">
        <v>228</v>
      </c>
      <c r="G397" s="28" t="s">
        <v>342</v>
      </c>
      <c r="H397" s="92">
        <f t="shared" si="118"/>
        <v>0</v>
      </c>
    </row>
    <row r="398" spans="3:44" x14ac:dyDescent="0.25">
      <c r="E398" s="172"/>
      <c r="F398" t="s">
        <v>229</v>
      </c>
      <c r="G398" s="28" t="s">
        <v>342</v>
      </c>
      <c r="H398" s="92">
        <f t="shared" si="118"/>
        <v>0</v>
      </c>
    </row>
    <row r="399" spans="3:44" x14ac:dyDescent="0.25">
      <c r="E399" s="172"/>
      <c r="F399" t="s">
        <v>230</v>
      </c>
      <c r="G399" s="28" t="s">
        <v>342</v>
      </c>
      <c r="H399" s="92">
        <f t="shared" si="118"/>
        <v>1.5155231370485802</v>
      </c>
    </row>
    <row r="400" spans="3:44" x14ac:dyDescent="0.25">
      <c r="E400" s="172"/>
      <c r="F400" t="s">
        <v>231</v>
      </c>
      <c r="G400" s="28" t="s">
        <v>342</v>
      </c>
      <c r="H400" s="92">
        <f t="shared" si="118"/>
        <v>1.5155231370485802</v>
      </c>
    </row>
    <row r="401" spans="5:8" x14ac:dyDescent="0.25">
      <c r="E401" s="172"/>
      <c r="F401" t="s">
        <v>232</v>
      </c>
      <c r="G401" s="28" t="s">
        <v>342</v>
      </c>
      <c r="H401" s="92">
        <f t="shared" si="118"/>
        <v>0</v>
      </c>
    </row>
    <row r="402" spans="5:8" x14ac:dyDescent="0.25">
      <c r="E402" s="172"/>
      <c r="F402" t="s">
        <v>233</v>
      </c>
      <c r="G402" s="28" t="s">
        <v>342</v>
      </c>
      <c r="H402" s="92">
        <f t="shared" si="118"/>
        <v>1.5155231370485802</v>
      </c>
    </row>
    <row r="403" spans="5:8" x14ac:dyDescent="0.25">
      <c r="E403" s="172"/>
      <c r="F403" t="s">
        <v>234</v>
      </c>
      <c r="G403" s="28" t="s">
        <v>342</v>
      </c>
      <c r="H403" s="92">
        <f t="shared" si="118"/>
        <v>1.5155231370485802</v>
      </c>
    </row>
    <row r="404" spans="5:8" x14ac:dyDescent="0.25">
      <c r="E404" s="172"/>
      <c r="F404" s="37" t="s">
        <v>235</v>
      </c>
      <c r="G404" s="67" t="s">
        <v>342</v>
      </c>
      <c r="H404" s="82">
        <f t="shared" si="118"/>
        <v>1.5155231370485802</v>
      </c>
    </row>
    <row r="405" spans="5:8" x14ac:dyDescent="0.25">
      <c r="E405" s="29"/>
      <c r="G405" s="28"/>
      <c r="H405" s="92"/>
    </row>
    <row r="406" spans="5:8" x14ac:dyDescent="0.25">
      <c r="E406" s="32" t="s">
        <v>593</v>
      </c>
      <c r="G406" s="28"/>
      <c r="H406" s="92"/>
    </row>
    <row r="407" spans="5:8" x14ac:dyDescent="0.25">
      <c r="E407" s="172"/>
      <c r="F407" s="23" t="s">
        <v>227</v>
      </c>
      <c r="G407" s="64" t="s">
        <v>342</v>
      </c>
      <c r="H407" s="129">
        <f t="shared" ref="H407:H415" si="119">IF(SUM($M$39:$O$39) &lt;&gt; 0, SUMPRODUCT($M338:$O338,$M$39:$O$39) / SUM($M$39:$O$39), 0)</f>
        <v>1.6641845314923562</v>
      </c>
    </row>
    <row r="408" spans="5:8" x14ac:dyDescent="0.25">
      <c r="E408" s="172"/>
      <c r="F408" t="s">
        <v>228</v>
      </c>
      <c r="G408" s="28" t="s">
        <v>342</v>
      </c>
      <c r="H408" s="101">
        <f t="shared" si="119"/>
        <v>0</v>
      </c>
    </row>
    <row r="409" spans="5:8" x14ac:dyDescent="0.25">
      <c r="E409" s="172"/>
      <c r="F409" t="s">
        <v>229</v>
      </c>
      <c r="G409" s="28" t="s">
        <v>342</v>
      </c>
      <c r="H409" s="101">
        <f t="shared" si="119"/>
        <v>0</v>
      </c>
    </row>
    <row r="410" spans="5:8" x14ac:dyDescent="0.25">
      <c r="E410" s="172"/>
      <c r="F410" t="s">
        <v>230</v>
      </c>
      <c r="G410" s="28" t="s">
        <v>342</v>
      </c>
      <c r="H410" s="101">
        <f t="shared" si="119"/>
        <v>1.6594017661541289</v>
      </c>
    </row>
    <row r="411" spans="5:8" x14ac:dyDescent="0.25">
      <c r="E411" s="172"/>
      <c r="F411" t="s">
        <v>231</v>
      </c>
      <c r="G411" s="28" t="s">
        <v>342</v>
      </c>
      <c r="H411" s="101">
        <f t="shared" si="119"/>
        <v>1.6594017661541289</v>
      </c>
    </row>
    <row r="412" spans="5:8" x14ac:dyDescent="0.25">
      <c r="E412" s="172"/>
      <c r="F412" t="s">
        <v>232</v>
      </c>
      <c r="G412" s="28" t="s">
        <v>342</v>
      </c>
      <c r="H412" s="101">
        <f t="shared" si="119"/>
        <v>0</v>
      </c>
    </row>
    <row r="413" spans="5:8" x14ac:dyDescent="0.25">
      <c r="E413" s="172"/>
      <c r="F413" t="s">
        <v>233</v>
      </c>
      <c r="G413" s="28" t="s">
        <v>342</v>
      </c>
      <c r="H413" s="101">
        <f t="shared" si="119"/>
        <v>1.6594017661541289</v>
      </c>
    </row>
    <row r="414" spans="5:8" x14ac:dyDescent="0.25">
      <c r="E414" s="172"/>
      <c r="F414" t="s">
        <v>234</v>
      </c>
      <c r="G414" s="28" t="s">
        <v>342</v>
      </c>
      <c r="H414" s="101">
        <f t="shared" si="119"/>
        <v>1.6594017661541289</v>
      </c>
    </row>
    <row r="415" spans="5:8" x14ac:dyDescent="0.25">
      <c r="E415" s="172"/>
      <c r="F415" s="37" t="s">
        <v>235</v>
      </c>
      <c r="G415" s="67" t="s">
        <v>342</v>
      </c>
      <c r="H415" s="103">
        <f t="shared" si="119"/>
        <v>1.6594017661541289</v>
      </c>
    </row>
    <row r="416" spans="5:8" x14ac:dyDescent="0.25">
      <c r="F416" s="28"/>
      <c r="G416" s="28"/>
    </row>
    <row r="417" spans="3:44" x14ac:dyDescent="0.25">
      <c r="C417" s="31" t="str">
        <f ca="1">INDEX('Version control'!$H$34:$H$56,MATCH($A$1,'Version control'!$F$34:$F$56,0),1)&amp;"-P: Relative correction factors"</f>
        <v>Section 105-P: Relative correction factors</v>
      </c>
      <c r="D417" s="31"/>
      <c r="E417" s="31"/>
      <c r="F417" s="31"/>
      <c r="G417" s="31"/>
      <c r="H417" s="31"/>
      <c r="I417" s="31"/>
      <c r="J417" s="31"/>
      <c r="K417" s="31"/>
      <c r="L417" s="31"/>
      <c r="M417" s="31"/>
      <c r="N417" s="31"/>
      <c r="O417" s="31"/>
      <c r="P417" s="31"/>
      <c r="Q417" s="31"/>
      <c r="R417" s="31"/>
      <c r="S417" s="31"/>
      <c r="T417" s="31"/>
      <c r="U417" s="31"/>
      <c r="V417" s="31"/>
      <c r="W417" s="31"/>
      <c r="X417" s="31"/>
      <c r="Y417" s="31"/>
      <c r="Z417" s="31"/>
      <c r="AA417" s="31"/>
      <c r="AB417" s="31"/>
      <c r="AC417" s="31"/>
      <c r="AD417" s="31"/>
      <c r="AE417" s="31"/>
      <c r="AF417" s="31"/>
      <c r="AG417" s="31"/>
      <c r="AH417" s="31"/>
      <c r="AI417" s="31"/>
      <c r="AJ417" s="31"/>
      <c r="AK417" s="31"/>
      <c r="AL417" s="31"/>
      <c r="AM417" s="31"/>
      <c r="AN417" s="31"/>
      <c r="AO417" s="31"/>
      <c r="AP417" s="31"/>
      <c r="AQ417" s="31"/>
      <c r="AR417" s="31"/>
    </row>
    <row r="418" spans="3:44" x14ac:dyDescent="0.25">
      <c r="D418" s="32"/>
    </row>
    <row r="419" spans="3:44" x14ac:dyDescent="0.25">
      <c r="E419" s="32" t="s">
        <v>594</v>
      </c>
      <c r="G419" s="28"/>
      <c r="J419" s="182"/>
      <c r="K419" s="182"/>
      <c r="L419" s="182"/>
      <c r="M419" s="182"/>
      <c r="N419" s="182"/>
      <c r="O419" s="182"/>
      <c r="P419" s="182"/>
      <c r="Q419" s="182"/>
      <c r="R419" s="182"/>
      <c r="S419" s="182"/>
      <c r="T419" s="182"/>
      <c r="U419" s="182"/>
      <c r="V419" s="182"/>
      <c r="W419" s="182"/>
      <c r="X419" s="182"/>
      <c r="Y419" s="182"/>
      <c r="Z419" s="182"/>
      <c r="AA419" s="182"/>
      <c r="AB419" s="182"/>
      <c r="AC419" s="182"/>
      <c r="AD419" s="182"/>
      <c r="AE419" s="182"/>
      <c r="AF419" s="182"/>
      <c r="AG419" s="182"/>
      <c r="AH419" s="182"/>
      <c r="AI419" s="182"/>
      <c r="AJ419" s="182"/>
      <c r="AK419" s="182"/>
      <c r="AL419" s="182"/>
      <c r="AM419" s="182"/>
      <c r="AN419" s="182"/>
      <c r="AO419" s="182"/>
      <c r="AP419" s="182"/>
    </row>
    <row r="420" spans="3:44" x14ac:dyDescent="0.25">
      <c r="F420" s="78" t="s">
        <v>227</v>
      </c>
      <c r="G420" s="64" t="s">
        <v>342</v>
      </c>
      <c r="H420" s="23"/>
      <c r="I420" s="23"/>
      <c r="J420" s="83"/>
      <c r="K420" s="83"/>
      <c r="L420" s="83"/>
      <c r="M420" s="83"/>
      <c r="N420" s="83"/>
      <c r="O420" s="83"/>
      <c r="P420" s="83"/>
      <c r="Q420" s="83"/>
      <c r="R420" s="83"/>
      <c r="S420" s="163">
        <f>IF(S383 &lt;&gt; 0, H396 / S383, 0)</f>
        <v>1.1860966433378723</v>
      </c>
      <c r="T420" s="83"/>
      <c r="U420" s="83"/>
      <c r="V420" s="83"/>
      <c r="W420" s="83"/>
      <c r="X420" s="83"/>
      <c r="Y420" s="83"/>
      <c r="Z420" s="83"/>
      <c r="AA420" s="83"/>
      <c r="AB420" s="83"/>
      <c r="AC420" s="83"/>
      <c r="AD420" s="83"/>
      <c r="AE420" s="83"/>
      <c r="AF420" s="83"/>
      <c r="AG420" s="83"/>
      <c r="AH420" s="83"/>
      <c r="AI420" s="83"/>
      <c r="AJ420" s="83"/>
      <c r="AK420" s="83"/>
      <c r="AL420" s="83"/>
      <c r="AM420" s="83"/>
      <c r="AN420" s="83"/>
      <c r="AO420" s="83"/>
      <c r="AP420" s="83"/>
    </row>
    <row r="421" spans="3:44" x14ac:dyDescent="0.25">
      <c r="F421" s="72" t="s">
        <v>228</v>
      </c>
      <c r="G421" s="28" t="s">
        <v>342</v>
      </c>
      <c r="J421" s="79"/>
      <c r="K421" s="79"/>
      <c r="L421" s="79"/>
      <c r="M421" s="79"/>
      <c r="N421" s="79"/>
      <c r="O421" s="79"/>
      <c r="P421" s="79"/>
      <c r="Q421" s="79"/>
      <c r="R421" s="79"/>
      <c r="S421" s="101">
        <f t="shared" ref="S421:S428" si="120">IF(S384 &lt;&gt; 0, H397 / S384, 0)</f>
        <v>0</v>
      </c>
      <c r="T421" s="79"/>
      <c r="U421" s="79"/>
      <c r="V421" s="79"/>
      <c r="W421" s="79"/>
      <c r="X421" s="79"/>
      <c r="Y421" s="79"/>
      <c r="Z421" s="79"/>
      <c r="AA421" s="79"/>
      <c r="AB421" s="79"/>
      <c r="AC421" s="79"/>
      <c r="AD421" s="79"/>
      <c r="AE421" s="79"/>
      <c r="AF421" s="79"/>
      <c r="AG421" s="79"/>
      <c r="AH421" s="79"/>
      <c r="AI421" s="79"/>
      <c r="AJ421" s="79"/>
      <c r="AK421" s="79"/>
      <c r="AL421" s="79"/>
      <c r="AM421" s="79"/>
      <c r="AN421" s="79"/>
      <c r="AO421" s="79"/>
      <c r="AP421" s="79"/>
    </row>
    <row r="422" spans="3:44" x14ac:dyDescent="0.25">
      <c r="F422" s="72" t="s">
        <v>229</v>
      </c>
      <c r="G422" s="28" t="s">
        <v>342</v>
      </c>
      <c r="J422" s="79"/>
      <c r="K422" s="79"/>
      <c r="L422" s="79"/>
      <c r="M422" s="79"/>
      <c r="N422" s="79"/>
      <c r="O422" s="79"/>
      <c r="P422" s="79"/>
      <c r="Q422" s="79"/>
      <c r="R422" s="79"/>
      <c r="S422" s="101">
        <f t="shared" si="120"/>
        <v>0</v>
      </c>
      <c r="T422" s="79"/>
      <c r="U422" s="79"/>
      <c r="V422" s="79"/>
      <c r="W422" s="79"/>
      <c r="X422" s="79"/>
      <c r="Y422" s="79"/>
      <c r="Z422" s="79"/>
      <c r="AA422" s="79"/>
      <c r="AB422" s="79"/>
      <c r="AC422" s="79"/>
      <c r="AD422" s="79"/>
      <c r="AE422" s="79"/>
      <c r="AF422" s="79"/>
      <c r="AG422" s="79"/>
      <c r="AH422" s="79"/>
      <c r="AI422" s="79"/>
      <c r="AJ422" s="79"/>
      <c r="AK422" s="79"/>
      <c r="AL422" s="79"/>
      <c r="AM422" s="79"/>
      <c r="AN422" s="79"/>
      <c r="AO422" s="79"/>
      <c r="AP422" s="79"/>
    </row>
    <row r="423" spans="3:44" x14ac:dyDescent="0.25">
      <c r="F423" s="72" t="s">
        <v>230</v>
      </c>
      <c r="G423" s="28" t="s">
        <v>342</v>
      </c>
      <c r="J423" s="79"/>
      <c r="K423" s="79"/>
      <c r="L423" s="79"/>
      <c r="M423" s="79"/>
      <c r="N423" s="79"/>
      <c r="O423" s="79"/>
      <c r="P423" s="79"/>
      <c r="Q423" s="79"/>
      <c r="R423" s="79"/>
      <c r="S423" s="101">
        <f t="shared" si="120"/>
        <v>1.1842243205129437</v>
      </c>
      <c r="T423" s="79"/>
      <c r="U423" s="79"/>
      <c r="V423" s="79"/>
      <c r="W423" s="79"/>
      <c r="X423" s="79"/>
      <c r="Y423" s="79"/>
      <c r="Z423" s="79"/>
      <c r="AA423" s="79"/>
      <c r="AB423" s="79"/>
      <c r="AC423" s="79"/>
      <c r="AD423" s="79"/>
      <c r="AE423" s="79"/>
      <c r="AF423" s="79"/>
      <c r="AG423" s="79"/>
      <c r="AH423" s="79"/>
      <c r="AI423" s="79"/>
      <c r="AJ423" s="79"/>
      <c r="AK423" s="79"/>
      <c r="AL423" s="79"/>
      <c r="AM423" s="79"/>
      <c r="AN423" s="79"/>
      <c r="AO423" s="79"/>
      <c r="AP423" s="79"/>
    </row>
    <row r="424" spans="3:44" x14ac:dyDescent="0.25">
      <c r="F424" s="72" t="s">
        <v>231</v>
      </c>
      <c r="G424" s="28" t="s">
        <v>342</v>
      </c>
      <c r="J424" s="79"/>
      <c r="K424" s="79"/>
      <c r="L424" s="79"/>
      <c r="M424" s="79"/>
      <c r="N424" s="79"/>
      <c r="O424" s="79"/>
      <c r="P424" s="79"/>
      <c r="Q424" s="79"/>
      <c r="R424" s="79"/>
      <c r="S424" s="101">
        <f t="shared" si="120"/>
        <v>1.1842243205129437</v>
      </c>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row>
    <row r="425" spans="3:44" x14ac:dyDescent="0.25">
      <c r="F425" s="72" t="s">
        <v>232</v>
      </c>
      <c r="G425" s="28" t="s">
        <v>342</v>
      </c>
      <c r="J425" s="79"/>
      <c r="K425" s="79"/>
      <c r="L425" s="79"/>
      <c r="M425" s="79"/>
      <c r="N425" s="79"/>
      <c r="O425" s="79"/>
      <c r="P425" s="79"/>
      <c r="Q425" s="79"/>
      <c r="R425" s="79"/>
      <c r="S425" s="101">
        <f t="shared" si="120"/>
        <v>0</v>
      </c>
      <c r="T425" s="79"/>
      <c r="U425" s="79"/>
      <c r="V425" s="79"/>
      <c r="W425" s="79"/>
      <c r="X425" s="79"/>
      <c r="Y425" s="79"/>
      <c r="Z425" s="79"/>
      <c r="AA425" s="79"/>
      <c r="AB425" s="79"/>
      <c r="AC425" s="79"/>
      <c r="AD425" s="79"/>
      <c r="AE425" s="79"/>
      <c r="AF425" s="79"/>
      <c r="AG425" s="79"/>
      <c r="AH425" s="79"/>
      <c r="AI425" s="79"/>
      <c r="AJ425" s="79"/>
      <c r="AK425" s="79"/>
      <c r="AL425" s="79"/>
      <c r="AM425" s="79"/>
      <c r="AN425" s="79"/>
      <c r="AO425" s="79"/>
      <c r="AP425" s="79"/>
    </row>
    <row r="426" spans="3:44" x14ac:dyDescent="0.25">
      <c r="F426" s="72" t="s">
        <v>233</v>
      </c>
      <c r="G426" s="28" t="s">
        <v>342</v>
      </c>
      <c r="J426" s="79"/>
      <c r="K426" s="79"/>
      <c r="L426" s="79"/>
      <c r="M426" s="79"/>
      <c r="N426" s="79"/>
      <c r="O426" s="79"/>
      <c r="P426" s="79"/>
      <c r="Q426" s="79"/>
      <c r="R426" s="79"/>
      <c r="S426" s="101">
        <f t="shared" si="120"/>
        <v>1.1842243205129437</v>
      </c>
      <c r="T426" s="79"/>
      <c r="U426" s="79"/>
      <c r="V426" s="79"/>
      <c r="W426" s="79"/>
      <c r="X426" s="79"/>
      <c r="Y426" s="79"/>
      <c r="Z426" s="79"/>
      <c r="AA426" s="79"/>
      <c r="AB426" s="79"/>
      <c r="AC426" s="79"/>
      <c r="AD426" s="79"/>
      <c r="AE426" s="79"/>
      <c r="AF426" s="79"/>
      <c r="AG426" s="79"/>
      <c r="AH426" s="79"/>
      <c r="AI426" s="79"/>
      <c r="AJ426" s="79"/>
      <c r="AK426" s="79"/>
      <c r="AL426" s="79"/>
      <c r="AM426" s="79"/>
      <c r="AN426" s="79"/>
      <c r="AO426" s="79"/>
      <c r="AP426" s="79"/>
    </row>
    <row r="427" spans="3:44" x14ac:dyDescent="0.25">
      <c r="F427" s="72" t="s">
        <v>234</v>
      </c>
      <c r="G427" s="28" t="s">
        <v>342</v>
      </c>
      <c r="J427" s="79"/>
      <c r="K427" s="79"/>
      <c r="L427" s="79"/>
      <c r="M427" s="79"/>
      <c r="N427" s="79"/>
      <c r="O427" s="79"/>
      <c r="P427" s="79"/>
      <c r="Q427" s="79"/>
      <c r="R427" s="79"/>
      <c r="S427" s="101">
        <f t="shared" si="120"/>
        <v>1.1842243205129437</v>
      </c>
      <c r="T427" s="79"/>
      <c r="U427" s="79"/>
      <c r="V427" s="79"/>
      <c r="W427" s="79"/>
      <c r="X427" s="79"/>
      <c r="Y427" s="79"/>
      <c r="Z427" s="79"/>
      <c r="AA427" s="79"/>
      <c r="AB427" s="79"/>
      <c r="AC427" s="79"/>
      <c r="AD427" s="79"/>
      <c r="AE427" s="79"/>
      <c r="AF427" s="79"/>
      <c r="AG427" s="79"/>
      <c r="AH427" s="79"/>
      <c r="AI427" s="79"/>
      <c r="AJ427" s="79"/>
      <c r="AK427" s="79"/>
      <c r="AL427" s="79"/>
      <c r="AM427" s="79"/>
      <c r="AN427" s="79"/>
      <c r="AO427" s="79"/>
      <c r="AP427" s="79"/>
    </row>
    <row r="428" spans="3:44" x14ac:dyDescent="0.25">
      <c r="F428" s="80" t="s">
        <v>235</v>
      </c>
      <c r="G428" s="67" t="s">
        <v>342</v>
      </c>
      <c r="H428" s="37"/>
      <c r="I428" s="37"/>
      <c r="J428" s="81"/>
      <c r="K428" s="81"/>
      <c r="L428" s="81"/>
      <c r="M428" s="81"/>
      <c r="N428" s="81"/>
      <c r="O428" s="81"/>
      <c r="P428" s="81"/>
      <c r="Q428" s="81"/>
      <c r="R428" s="81"/>
      <c r="S428" s="103">
        <f t="shared" si="120"/>
        <v>1.1842243205129437</v>
      </c>
      <c r="T428" s="81"/>
      <c r="U428" s="81"/>
      <c r="V428" s="81"/>
      <c r="W428" s="81"/>
      <c r="X428" s="81"/>
      <c r="Y428" s="81"/>
      <c r="Z428" s="81"/>
      <c r="AA428" s="81"/>
      <c r="AB428" s="81"/>
      <c r="AC428" s="81"/>
      <c r="AD428" s="81"/>
      <c r="AE428" s="81"/>
      <c r="AF428" s="81"/>
      <c r="AG428" s="81"/>
      <c r="AH428" s="81"/>
      <c r="AI428" s="81"/>
      <c r="AJ428" s="81"/>
      <c r="AK428" s="81"/>
      <c r="AL428" s="81"/>
      <c r="AM428" s="81"/>
      <c r="AN428" s="81"/>
      <c r="AO428" s="81"/>
      <c r="AP428" s="81"/>
    </row>
    <row r="429" spans="3:44" x14ac:dyDescent="0.25">
      <c r="F429" s="167"/>
      <c r="G429" s="28"/>
      <c r="J429" s="183"/>
      <c r="K429" s="183"/>
      <c r="L429" s="183"/>
      <c r="M429" s="183"/>
      <c r="N429" s="183"/>
      <c r="O429" s="183"/>
      <c r="P429" s="183"/>
      <c r="Q429" s="183"/>
      <c r="R429" s="183"/>
      <c r="S429" s="183"/>
      <c r="T429" s="183"/>
      <c r="U429" s="183"/>
      <c r="V429" s="183"/>
      <c r="W429" s="183"/>
      <c r="X429" s="183"/>
      <c r="Y429" s="183"/>
      <c r="Z429" s="183"/>
      <c r="AA429" s="183"/>
      <c r="AB429" s="183"/>
      <c r="AC429" s="183"/>
      <c r="AD429" s="183"/>
      <c r="AE429" s="183"/>
      <c r="AF429" s="183"/>
      <c r="AG429" s="183"/>
      <c r="AH429" s="183"/>
      <c r="AI429" s="183"/>
      <c r="AJ429" s="183"/>
      <c r="AK429" s="183"/>
      <c r="AL429" s="183"/>
      <c r="AM429" s="183"/>
      <c r="AN429" s="183"/>
      <c r="AO429" s="183"/>
      <c r="AP429" s="183"/>
    </row>
    <row r="430" spans="3:44" x14ac:dyDescent="0.25">
      <c r="E430" s="32" t="s">
        <v>594</v>
      </c>
      <c r="G430" s="28"/>
      <c r="J430" s="183"/>
      <c r="K430" s="183"/>
      <c r="L430" s="183"/>
      <c r="M430" s="183"/>
      <c r="N430" s="183"/>
      <c r="O430" s="183"/>
      <c r="P430" s="183"/>
      <c r="Q430" s="183"/>
      <c r="R430" s="183"/>
      <c r="S430" s="183"/>
      <c r="T430" s="183"/>
      <c r="U430" s="183"/>
      <c r="V430" s="183"/>
      <c r="W430" s="183"/>
      <c r="X430" s="183"/>
      <c r="Y430" s="183"/>
      <c r="Z430" s="183"/>
      <c r="AA430" s="183"/>
      <c r="AB430" s="183"/>
      <c r="AC430" s="183"/>
      <c r="AD430" s="183"/>
      <c r="AE430" s="183"/>
      <c r="AF430" s="183"/>
      <c r="AG430" s="183"/>
      <c r="AH430" s="183"/>
      <c r="AI430" s="183"/>
      <c r="AJ430" s="183"/>
      <c r="AK430" s="183"/>
      <c r="AL430" s="183"/>
      <c r="AM430" s="183"/>
      <c r="AN430" s="183"/>
      <c r="AO430" s="183"/>
      <c r="AP430" s="183"/>
    </row>
    <row r="431" spans="3:44" x14ac:dyDescent="0.25">
      <c r="F431" s="78" t="s">
        <v>227</v>
      </c>
      <c r="G431" s="64" t="s">
        <v>342</v>
      </c>
      <c r="H431" s="23"/>
      <c r="I431" s="23"/>
      <c r="J431" s="83"/>
      <c r="K431" s="83"/>
      <c r="L431" s="83"/>
      <c r="M431" s="83"/>
      <c r="N431" s="83"/>
      <c r="O431" s="83"/>
      <c r="P431" s="83"/>
      <c r="Q431" s="83"/>
      <c r="R431" s="83"/>
      <c r="S431" s="83"/>
      <c r="T431" s="163">
        <f t="shared" ref="T431:T432" si="121">IF(T383 &lt;&gt; 0, H407 / T383, 0)</f>
        <v>1.1211225312739121</v>
      </c>
      <c r="U431" s="83"/>
      <c r="V431" s="83"/>
      <c r="W431" s="83"/>
      <c r="X431" s="83"/>
      <c r="Y431" s="83"/>
      <c r="Z431" s="83"/>
      <c r="AA431" s="83"/>
      <c r="AB431" s="83"/>
      <c r="AC431" s="83"/>
      <c r="AD431" s="83"/>
      <c r="AE431" s="83"/>
      <c r="AF431" s="83"/>
      <c r="AG431" s="83"/>
      <c r="AH431" s="83"/>
      <c r="AI431" s="83"/>
      <c r="AJ431" s="83"/>
      <c r="AK431" s="83"/>
      <c r="AL431" s="83"/>
      <c r="AM431" s="83"/>
      <c r="AN431" s="83"/>
      <c r="AO431" s="83"/>
      <c r="AP431" s="83"/>
    </row>
    <row r="432" spans="3:44" x14ac:dyDescent="0.25">
      <c r="F432" s="72" t="s">
        <v>228</v>
      </c>
      <c r="G432" s="28" t="s">
        <v>342</v>
      </c>
      <c r="J432" s="79"/>
      <c r="K432" s="79"/>
      <c r="L432" s="79"/>
      <c r="M432" s="79"/>
      <c r="N432" s="79"/>
      <c r="O432" s="79"/>
      <c r="P432" s="79"/>
      <c r="Q432" s="79"/>
      <c r="R432" s="79"/>
      <c r="S432" s="79"/>
      <c r="T432" s="101">
        <f t="shared" si="121"/>
        <v>0</v>
      </c>
      <c r="U432" s="79"/>
      <c r="V432" s="79"/>
      <c r="W432" s="79"/>
      <c r="X432" s="79"/>
      <c r="Y432" s="79"/>
      <c r="Z432" s="79"/>
      <c r="AA432" s="79"/>
      <c r="AB432" s="79"/>
      <c r="AC432" s="79"/>
      <c r="AD432" s="79"/>
      <c r="AE432" s="79"/>
      <c r="AF432" s="79"/>
      <c r="AG432" s="79"/>
      <c r="AH432" s="79"/>
      <c r="AI432" s="79"/>
      <c r="AJ432" s="79"/>
      <c r="AK432" s="79"/>
      <c r="AL432" s="79"/>
      <c r="AM432" s="79"/>
      <c r="AN432" s="79"/>
      <c r="AO432" s="79"/>
      <c r="AP432" s="79"/>
    </row>
    <row r="433" spans="5:42" x14ac:dyDescent="0.25">
      <c r="F433" s="72" t="s">
        <v>229</v>
      </c>
      <c r="G433" s="28" t="s">
        <v>342</v>
      </c>
      <c r="J433" s="79"/>
      <c r="K433" s="79"/>
      <c r="L433" s="79"/>
      <c r="M433" s="79"/>
      <c r="N433" s="79"/>
      <c r="O433" s="79"/>
      <c r="P433" s="79"/>
      <c r="Q433" s="79"/>
      <c r="R433" s="79"/>
      <c r="S433" s="79"/>
      <c r="T433" s="101">
        <f>IF(T385 &lt;&gt; 0, H409 / T385, 0)</f>
        <v>0</v>
      </c>
      <c r="U433" s="79"/>
      <c r="V433" s="79"/>
      <c r="W433" s="79"/>
      <c r="X433" s="79"/>
      <c r="Y433" s="79"/>
      <c r="Z433" s="79"/>
      <c r="AA433" s="79"/>
      <c r="AB433" s="79"/>
      <c r="AC433" s="79"/>
      <c r="AD433" s="79"/>
      <c r="AE433" s="79"/>
      <c r="AF433" s="79"/>
      <c r="AG433" s="79"/>
      <c r="AH433" s="79"/>
      <c r="AI433" s="79"/>
      <c r="AJ433" s="79"/>
      <c r="AK433" s="79"/>
      <c r="AL433" s="79"/>
      <c r="AM433" s="79"/>
      <c r="AN433" s="79"/>
      <c r="AO433" s="79"/>
      <c r="AP433" s="79"/>
    </row>
    <row r="434" spans="5:42" x14ac:dyDescent="0.25">
      <c r="F434" s="72" t="s">
        <v>230</v>
      </c>
      <c r="G434" s="28" t="s">
        <v>342</v>
      </c>
      <c r="J434" s="79"/>
      <c r="K434" s="79"/>
      <c r="L434" s="79"/>
      <c r="M434" s="79"/>
      <c r="N434" s="79"/>
      <c r="O434" s="79"/>
      <c r="P434" s="79"/>
      <c r="Q434" s="79"/>
      <c r="R434" s="79"/>
      <c r="S434" s="79"/>
      <c r="T434" s="101">
        <f t="shared" ref="T434:T439" si="122">IF(T386 &lt;&gt; 0, H410 / T386, 0)</f>
        <v>1.1206847876300943</v>
      </c>
      <c r="U434" s="79"/>
      <c r="V434" s="79"/>
      <c r="W434" s="79"/>
      <c r="X434" s="79"/>
      <c r="Y434" s="79"/>
      <c r="Z434" s="79"/>
      <c r="AA434" s="79"/>
      <c r="AB434" s="79"/>
      <c r="AC434" s="79"/>
      <c r="AD434" s="79"/>
      <c r="AE434" s="79"/>
      <c r="AF434" s="79"/>
      <c r="AG434" s="79"/>
      <c r="AH434" s="79"/>
      <c r="AI434" s="79"/>
      <c r="AJ434" s="79"/>
      <c r="AK434" s="79"/>
      <c r="AL434" s="79"/>
      <c r="AM434" s="79"/>
      <c r="AN434" s="79"/>
      <c r="AO434" s="79"/>
      <c r="AP434" s="79"/>
    </row>
    <row r="435" spans="5:42" x14ac:dyDescent="0.25">
      <c r="F435" s="72" t="s">
        <v>231</v>
      </c>
      <c r="G435" s="28" t="s">
        <v>342</v>
      </c>
      <c r="J435" s="79"/>
      <c r="K435" s="79"/>
      <c r="L435" s="79"/>
      <c r="M435" s="79"/>
      <c r="N435" s="79"/>
      <c r="O435" s="79"/>
      <c r="P435" s="79"/>
      <c r="Q435" s="79"/>
      <c r="R435" s="79"/>
      <c r="S435" s="79"/>
      <c r="T435" s="101">
        <f t="shared" si="122"/>
        <v>1.1206847876300943</v>
      </c>
      <c r="U435" s="79"/>
      <c r="V435" s="79"/>
      <c r="W435" s="79"/>
      <c r="X435" s="79"/>
      <c r="Y435" s="79"/>
      <c r="Z435" s="79"/>
      <c r="AA435" s="79"/>
      <c r="AB435" s="79"/>
      <c r="AC435" s="79"/>
      <c r="AD435" s="79"/>
      <c r="AE435" s="79"/>
      <c r="AF435" s="79"/>
      <c r="AG435" s="79"/>
      <c r="AH435" s="79"/>
      <c r="AI435" s="79"/>
      <c r="AJ435" s="79"/>
      <c r="AK435" s="79"/>
      <c r="AL435" s="79"/>
      <c r="AM435" s="79"/>
      <c r="AN435" s="79"/>
      <c r="AO435" s="79"/>
      <c r="AP435" s="79"/>
    </row>
    <row r="436" spans="5:42" x14ac:dyDescent="0.25">
      <c r="F436" s="72" t="s">
        <v>232</v>
      </c>
      <c r="G436" s="28" t="s">
        <v>342</v>
      </c>
      <c r="J436" s="79"/>
      <c r="K436" s="79"/>
      <c r="L436" s="79"/>
      <c r="M436" s="79"/>
      <c r="N436" s="79"/>
      <c r="O436" s="79"/>
      <c r="P436" s="79"/>
      <c r="Q436" s="79"/>
      <c r="R436" s="79"/>
      <c r="S436" s="79"/>
      <c r="T436" s="101">
        <f t="shared" si="122"/>
        <v>0</v>
      </c>
      <c r="U436" s="79"/>
      <c r="V436" s="79"/>
      <c r="W436" s="79"/>
      <c r="X436" s="79"/>
      <c r="Y436" s="79"/>
      <c r="Z436" s="79"/>
      <c r="AA436" s="79"/>
      <c r="AB436" s="79"/>
      <c r="AC436" s="79"/>
      <c r="AD436" s="79"/>
      <c r="AE436" s="79"/>
      <c r="AF436" s="79"/>
      <c r="AG436" s="79"/>
      <c r="AH436" s="79"/>
      <c r="AI436" s="79"/>
      <c r="AJ436" s="79"/>
      <c r="AK436" s="79"/>
      <c r="AL436" s="79"/>
      <c r="AM436" s="79"/>
      <c r="AN436" s="79"/>
      <c r="AO436" s="79"/>
      <c r="AP436" s="79"/>
    </row>
    <row r="437" spans="5:42" x14ac:dyDescent="0.25">
      <c r="F437" s="72" t="s">
        <v>233</v>
      </c>
      <c r="G437" s="28" t="s">
        <v>342</v>
      </c>
      <c r="J437" s="79"/>
      <c r="K437" s="79"/>
      <c r="L437" s="79"/>
      <c r="M437" s="79"/>
      <c r="N437" s="79"/>
      <c r="O437" s="79"/>
      <c r="P437" s="79"/>
      <c r="Q437" s="79"/>
      <c r="R437" s="79"/>
      <c r="S437" s="79"/>
      <c r="T437" s="101">
        <f t="shared" si="122"/>
        <v>1.1206847876300943</v>
      </c>
      <c r="U437" s="79"/>
      <c r="V437" s="79"/>
      <c r="W437" s="79"/>
      <c r="X437" s="79"/>
      <c r="Y437" s="79"/>
      <c r="Z437" s="79"/>
      <c r="AA437" s="79"/>
      <c r="AB437" s="79"/>
      <c r="AC437" s="79"/>
      <c r="AD437" s="79"/>
      <c r="AE437" s="79"/>
      <c r="AF437" s="79"/>
      <c r="AG437" s="79"/>
      <c r="AH437" s="79"/>
      <c r="AI437" s="79"/>
      <c r="AJ437" s="79"/>
      <c r="AK437" s="79"/>
      <c r="AL437" s="79"/>
      <c r="AM437" s="79"/>
      <c r="AN437" s="79"/>
      <c r="AO437" s="79"/>
      <c r="AP437" s="79"/>
    </row>
    <row r="438" spans="5:42" x14ac:dyDescent="0.25">
      <c r="F438" s="72" t="s">
        <v>234</v>
      </c>
      <c r="G438" s="28" t="s">
        <v>342</v>
      </c>
      <c r="J438" s="79"/>
      <c r="K438" s="79"/>
      <c r="L438" s="79"/>
      <c r="M438" s="79"/>
      <c r="N438" s="79"/>
      <c r="O438" s="79"/>
      <c r="P438" s="79"/>
      <c r="Q438" s="79"/>
      <c r="R438" s="79"/>
      <c r="S438" s="79"/>
      <c r="T438" s="101">
        <f t="shared" si="122"/>
        <v>1.1206847876300943</v>
      </c>
      <c r="U438" s="79"/>
      <c r="V438" s="79"/>
      <c r="W438" s="79"/>
      <c r="X438" s="79"/>
      <c r="Y438" s="79"/>
      <c r="Z438" s="79"/>
      <c r="AA438" s="79"/>
      <c r="AB438" s="79"/>
      <c r="AC438" s="79"/>
      <c r="AD438" s="79"/>
      <c r="AE438" s="79"/>
      <c r="AF438" s="79"/>
      <c r="AG438" s="79"/>
      <c r="AH438" s="79"/>
      <c r="AI438" s="79"/>
      <c r="AJ438" s="79"/>
      <c r="AK438" s="79"/>
      <c r="AL438" s="79"/>
      <c r="AM438" s="79"/>
      <c r="AN438" s="79"/>
      <c r="AO438" s="79"/>
      <c r="AP438" s="79"/>
    </row>
    <row r="439" spans="5:42" x14ac:dyDescent="0.25">
      <c r="F439" s="80" t="s">
        <v>235</v>
      </c>
      <c r="G439" s="67" t="s">
        <v>342</v>
      </c>
      <c r="H439" s="37"/>
      <c r="I439" s="37"/>
      <c r="J439" s="81"/>
      <c r="K439" s="81"/>
      <c r="L439" s="81"/>
      <c r="M439" s="81"/>
      <c r="N439" s="81"/>
      <c r="O439" s="81"/>
      <c r="P439" s="81"/>
      <c r="Q439" s="81"/>
      <c r="R439" s="81"/>
      <c r="S439" s="81"/>
      <c r="T439" s="103">
        <f t="shared" si="122"/>
        <v>1.1206847876300943</v>
      </c>
      <c r="U439" s="81"/>
      <c r="V439" s="81"/>
      <c r="W439" s="81"/>
      <c r="X439" s="81"/>
      <c r="Y439" s="81"/>
      <c r="Z439" s="81"/>
      <c r="AA439" s="81"/>
      <c r="AB439" s="81"/>
      <c r="AC439" s="81"/>
      <c r="AD439" s="81"/>
      <c r="AE439" s="81"/>
      <c r="AF439" s="81"/>
      <c r="AG439" s="81"/>
      <c r="AH439" s="81"/>
      <c r="AI439" s="81"/>
      <c r="AJ439" s="81"/>
      <c r="AK439" s="81"/>
      <c r="AL439" s="81"/>
      <c r="AM439" s="81"/>
      <c r="AN439" s="81"/>
      <c r="AO439" s="81"/>
      <c r="AP439" s="81"/>
    </row>
    <row r="440" spans="5:42" x14ac:dyDescent="0.25">
      <c r="F440" s="167"/>
      <c r="G440" s="28"/>
      <c r="J440" s="183"/>
      <c r="K440" s="183"/>
      <c r="L440" s="183"/>
      <c r="M440" s="183"/>
      <c r="N440" s="183"/>
      <c r="O440" s="183"/>
      <c r="P440" s="183"/>
      <c r="Q440" s="183"/>
      <c r="R440" s="183"/>
      <c r="S440" s="183"/>
      <c r="T440" s="183"/>
      <c r="U440" s="183"/>
      <c r="V440" s="183"/>
      <c r="W440" s="183"/>
      <c r="X440" s="183"/>
      <c r="Y440" s="183"/>
      <c r="Z440" s="183"/>
      <c r="AA440" s="183"/>
      <c r="AB440" s="183"/>
      <c r="AC440" s="183"/>
      <c r="AD440" s="183"/>
      <c r="AE440" s="183"/>
      <c r="AF440" s="183"/>
      <c r="AG440" s="183"/>
      <c r="AH440" s="183"/>
      <c r="AI440" s="183"/>
      <c r="AJ440" s="183"/>
      <c r="AK440" s="183"/>
      <c r="AL440" s="183"/>
      <c r="AM440" s="183"/>
      <c r="AN440" s="183"/>
      <c r="AO440" s="183"/>
      <c r="AP440" s="183"/>
    </row>
    <row r="441" spans="5:42" x14ac:dyDescent="0.25">
      <c r="E441" s="32" t="s">
        <v>595</v>
      </c>
      <c r="J441" s="92"/>
      <c r="K441" s="92"/>
      <c r="L441" s="92"/>
      <c r="M441" s="92"/>
      <c r="N441" s="92"/>
      <c r="O441" s="92"/>
      <c r="P441" s="92"/>
      <c r="Q441" s="92"/>
      <c r="R441" s="92"/>
      <c r="S441" s="92"/>
      <c r="T441" s="92"/>
      <c r="U441" s="92"/>
      <c r="V441" s="92"/>
      <c r="W441" s="92"/>
      <c r="X441" s="92"/>
      <c r="Y441" s="92"/>
      <c r="Z441" s="92"/>
      <c r="AA441" s="92"/>
      <c r="AB441" s="92"/>
      <c r="AC441" s="92"/>
      <c r="AD441" s="92"/>
      <c r="AE441" s="92"/>
      <c r="AF441" s="92"/>
      <c r="AG441" s="92"/>
      <c r="AH441" s="92"/>
      <c r="AI441" s="92"/>
      <c r="AJ441" s="92"/>
      <c r="AK441" s="92"/>
      <c r="AL441" s="92"/>
      <c r="AM441" s="92"/>
      <c r="AN441" s="92"/>
      <c r="AO441" s="92"/>
      <c r="AP441" s="92"/>
    </row>
    <row r="442" spans="5:42" x14ac:dyDescent="0.25">
      <c r="F442" s="78" t="s">
        <v>227</v>
      </c>
      <c r="G442" s="64" t="s">
        <v>342</v>
      </c>
      <c r="H442" s="23"/>
      <c r="I442" s="23"/>
      <c r="J442" s="83"/>
      <c r="K442" s="83"/>
      <c r="L442" s="83"/>
      <c r="M442" s="83"/>
      <c r="N442" s="83"/>
      <c r="O442" s="83"/>
      <c r="P442" s="83"/>
      <c r="Q442" s="83"/>
      <c r="R442" s="83"/>
      <c r="S442" s="129">
        <f>IF(SUM($J349:$L349,$S349 * ($S420 + S431)) &lt;&gt; 0, SUM($J349:$L349,$S349) / SUM($J349:$L349,$S349 * ($S420 + S431)), 0)</f>
        <v>0.99997955224512836</v>
      </c>
      <c r="T442" s="129">
        <f>IF(SUM($M349:$O349,$T349 * ($T420 + T431)) &lt;&gt; 0, SUM($M349:$O349,$T349) / SUM($M349:$O349,$T349 * ($T420 + T431)), 0)</f>
        <v>0.99301809186809564</v>
      </c>
      <c r="U442" s="83"/>
      <c r="V442" s="83"/>
      <c r="W442" s="83"/>
      <c r="X442" s="83"/>
      <c r="Y442" s="83"/>
      <c r="Z442" s="83"/>
      <c r="AA442" s="83"/>
      <c r="AB442" s="83"/>
      <c r="AC442" s="83"/>
      <c r="AD442" s="83"/>
      <c r="AE442" s="83"/>
      <c r="AF442" s="83"/>
      <c r="AG442" s="83"/>
      <c r="AH442" s="83"/>
      <c r="AI442" s="83"/>
      <c r="AJ442" s="83"/>
      <c r="AK442" s="83"/>
      <c r="AL442" s="83"/>
      <c r="AM442" s="83"/>
      <c r="AN442" s="83"/>
      <c r="AO442" s="83"/>
      <c r="AP442" s="83"/>
    </row>
    <row r="443" spans="5:42" x14ac:dyDescent="0.25">
      <c r="F443" s="72" t="s">
        <v>228</v>
      </c>
      <c r="G443" s="28" t="s">
        <v>342</v>
      </c>
      <c r="J443" s="79"/>
      <c r="K443" s="79"/>
      <c r="L443" s="79"/>
      <c r="M443" s="79"/>
      <c r="N443" s="79"/>
      <c r="O443" s="79"/>
      <c r="P443" s="79"/>
      <c r="Q443" s="79"/>
      <c r="R443" s="79"/>
      <c r="S443" s="101">
        <f t="shared" ref="S443:S450" si="123">IF(SUM($J350:$L350,$S350 * ($S421 + S432)) &lt;&gt; 0, SUM($J350:$L350,$S350) / SUM($J350:$L350,$S350 * ($S421 + S432)), 0)</f>
        <v>0</v>
      </c>
      <c r="T443" s="101">
        <f t="shared" ref="T443:T450" si="124">IF(SUM($M350:$O350,$T350 * ($T421 + T432)) &lt;&gt; 0, SUM($M350:$O350,$T350) / SUM($M350:$O350,$T350 * ($T421 + T432)), 0)</f>
        <v>0</v>
      </c>
      <c r="U443" s="79"/>
      <c r="V443" s="79"/>
      <c r="W443" s="79"/>
      <c r="X443" s="79"/>
      <c r="Y443" s="79"/>
      <c r="Z443" s="79"/>
      <c r="AA443" s="79"/>
      <c r="AB443" s="79"/>
      <c r="AC443" s="79"/>
      <c r="AD443" s="79"/>
      <c r="AE443" s="79"/>
      <c r="AF443" s="79"/>
      <c r="AG443" s="79"/>
      <c r="AH443" s="79"/>
      <c r="AI443" s="79"/>
      <c r="AJ443" s="79"/>
      <c r="AK443" s="79"/>
      <c r="AL443" s="79"/>
      <c r="AM443" s="79"/>
      <c r="AN443" s="79"/>
      <c r="AO443" s="79"/>
      <c r="AP443" s="79"/>
    </row>
    <row r="444" spans="5:42" x14ac:dyDescent="0.25">
      <c r="F444" s="72" t="s">
        <v>229</v>
      </c>
      <c r="G444" s="28" t="s">
        <v>342</v>
      </c>
      <c r="J444" s="79"/>
      <c r="K444" s="79"/>
      <c r="L444" s="79"/>
      <c r="M444" s="79"/>
      <c r="N444" s="79"/>
      <c r="O444" s="79"/>
      <c r="P444" s="79"/>
      <c r="Q444" s="79"/>
      <c r="R444" s="79"/>
      <c r="S444" s="101">
        <f t="shared" si="123"/>
        <v>0</v>
      </c>
      <c r="T444" s="101">
        <f t="shared" si="124"/>
        <v>0</v>
      </c>
      <c r="U444" s="79"/>
      <c r="V444" s="79"/>
      <c r="W444" s="79"/>
      <c r="X444" s="79"/>
      <c r="Y444" s="79"/>
      <c r="Z444" s="79"/>
      <c r="AA444" s="79"/>
      <c r="AB444" s="79"/>
      <c r="AC444" s="79"/>
      <c r="AD444" s="79"/>
      <c r="AE444" s="79"/>
      <c r="AF444" s="79"/>
      <c r="AG444" s="79"/>
      <c r="AH444" s="79"/>
      <c r="AI444" s="79"/>
      <c r="AJ444" s="79"/>
      <c r="AK444" s="79"/>
      <c r="AL444" s="79"/>
      <c r="AM444" s="79"/>
      <c r="AN444" s="79"/>
      <c r="AO444" s="79"/>
      <c r="AP444" s="79"/>
    </row>
    <row r="445" spans="5:42" x14ac:dyDescent="0.25">
      <c r="F445" s="72" t="s">
        <v>230</v>
      </c>
      <c r="G445" s="28" t="s">
        <v>342</v>
      </c>
      <c r="J445" s="79"/>
      <c r="K445" s="79"/>
      <c r="L445" s="79"/>
      <c r="M445" s="79"/>
      <c r="N445" s="79"/>
      <c r="O445" s="79"/>
      <c r="P445" s="79"/>
      <c r="Q445" s="79"/>
      <c r="R445" s="79"/>
      <c r="S445" s="101">
        <f t="shared" si="123"/>
        <v>0.99998014069758434</v>
      </c>
      <c r="T445" s="101">
        <f t="shared" si="124"/>
        <v>0.99306317530658395</v>
      </c>
      <c r="U445" s="79"/>
      <c r="V445" s="79"/>
      <c r="W445" s="79"/>
      <c r="X445" s="79"/>
      <c r="Y445" s="79"/>
      <c r="Z445" s="79"/>
      <c r="AA445" s="79"/>
      <c r="AB445" s="79"/>
      <c r="AC445" s="79"/>
      <c r="AD445" s="79"/>
      <c r="AE445" s="79"/>
      <c r="AF445" s="79"/>
      <c r="AG445" s="79"/>
      <c r="AH445" s="79"/>
      <c r="AI445" s="79"/>
      <c r="AJ445" s="79"/>
      <c r="AK445" s="79"/>
      <c r="AL445" s="79"/>
      <c r="AM445" s="79"/>
      <c r="AN445" s="79"/>
      <c r="AO445" s="79"/>
      <c r="AP445" s="79"/>
    </row>
    <row r="446" spans="5:42" x14ac:dyDescent="0.25">
      <c r="F446" s="72" t="s">
        <v>231</v>
      </c>
      <c r="G446" s="28" t="s">
        <v>342</v>
      </c>
      <c r="J446" s="79"/>
      <c r="K446" s="79"/>
      <c r="L446" s="79"/>
      <c r="M446" s="79"/>
      <c r="N446" s="79"/>
      <c r="O446" s="79"/>
      <c r="P446" s="79"/>
      <c r="Q446" s="79"/>
      <c r="R446" s="79"/>
      <c r="S446" s="101">
        <f t="shared" si="123"/>
        <v>0.99998014069758434</v>
      </c>
      <c r="T446" s="101">
        <f t="shared" si="124"/>
        <v>0.99306317530658395</v>
      </c>
      <c r="U446" s="79"/>
      <c r="V446" s="79"/>
      <c r="W446" s="79"/>
      <c r="X446" s="79"/>
      <c r="Y446" s="79"/>
      <c r="Z446" s="79"/>
      <c r="AA446" s="79"/>
      <c r="AB446" s="79"/>
      <c r="AC446" s="79"/>
      <c r="AD446" s="79"/>
      <c r="AE446" s="79"/>
      <c r="AF446" s="79"/>
      <c r="AG446" s="79"/>
      <c r="AH446" s="79"/>
      <c r="AI446" s="79"/>
      <c r="AJ446" s="79"/>
      <c r="AK446" s="79"/>
      <c r="AL446" s="79"/>
      <c r="AM446" s="79"/>
      <c r="AN446" s="79"/>
      <c r="AO446" s="79"/>
      <c r="AP446" s="79"/>
    </row>
    <row r="447" spans="5:42" x14ac:dyDescent="0.25">
      <c r="F447" s="72" t="s">
        <v>232</v>
      </c>
      <c r="G447" s="28" t="s">
        <v>342</v>
      </c>
      <c r="J447" s="79"/>
      <c r="K447" s="79"/>
      <c r="L447" s="79"/>
      <c r="M447" s="79"/>
      <c r="N447" s="79"/>
      <c r="O447" s="79"/>
      <c r="P447" s="79"/>
      <c r="Q447" s="79"/>
      <c r="R447" s="79"/>
      <c r="S447" s="101">
        <f t="shared" si="123"/>
        <v>0</v>
      </c>
      <c r="T447" s="101">
        <f t="shared" si="124"/>
        <v>0</v>
      </c>
      <c r="U447" s="79"/>
      <c r="V447" s="79"/>
      <c r="W447" s="79"/>
      <c r="X447" s="79"/>
      <c r="Y447" s="79"/>
      <c r="Z447" s="79"/>
      <c r="AA447" s="79"/>
      <c r="AB447" s="79"/>
      <c r="AC447" s="79"/>
      <c r="AD447" s="79"/>
      <c r="AE447" s="79"/>
      <c r="AF447" s="79"/>
      <c r="AG447" s="79"/>
      <c r="AH447" s="79"/>
      <c r="AI447" s="79"/>
      <c r="AJ447" s="79"/>
      <c r="AK447" s="79"/>
      <c r="AL447" s="79"/>
      <c r="AM447" s="79"/>
      <c r="AN447" s="79"/>
      <c r="AO447" s="79"/>
      <c r="AP447" s="79"/>
    </row>
    <row r="448" spans="5:42" x14ac:dyDescent="0.25">
      <c r="F448" s="72" t="s">
        <v>233</v>
      </c>
      <c r="G448" s="28" t="s">
        <v>342</v>
      </c>
      <c r="J448" s="79"/>
      <c r="K448" s="79"/>
      <c r="L448" s="79"/>
      <c r="M448" s="79"/>
      <c r="N448" s="79"/>
      <c r="O448" s="79"/>
      <c r="P448" s="79"/>
      <c r="Q448" s="79"/>
      <c r="R448" s="79"/>
      <c r="S448" s="101">
        <f t="shared" si="123"/>
        <v>0.99998014069758434</v>
      </c>
      <c r="T448" s="101">
        <f t="shared" si="124"/>
        <v>0.99306317530658395</v>
      </c>
      <c r="U448" s="79"/>
      <c r="V448" s="79"/>
      <c r="W448" s="79"/>
      <c r="X448" s="79"/>
      <c r="Y448" s="79"/>
      <c r="Z448" s="79"/>
      <c r="AA448" s="79"/>
      <c r="AB448" s="79"/>
      <c r="AC448" s="79"/>
      <c r="AD448" s="79"/>
      <c r="AE448" s="79"/>
      <c r="AF448" s="79"/>
      <c r="AG448" s="79"/>
      <c r="AH448" s="79"/>
      <c r="AI448" s="79"/>
      <c r="AJ448" s="79"/>
      <c r="AK448" s="79"/>
      <c r="AL448" s="79"/>
      <c r="AM448" s="79"/>
      <c r="AN448" s="79"/>
      <c r="AO448" s="79"/>
      <c r="AP448" s="79"/>
    </row>
    <row r="449" spans="5:42" x14ac:dyDescent="0.25">
      <c r="F449" s="72" t="s">
        <v>234</v>
      </c>
      <c r="G449" s="28" t="s">
        <v>342</v>
      </c>
      <c r="J449" s="79"/>
      <c r="K449" s="79"/>
      <c r="L449" s="79"/>
      <c r="M449" s="79"/>
      <c r="N449" s="79"/>
      <c r="O449" s="79"/>
      <c r="P449" s="79"/>
      <c r="Q449" s="79"/>
      <c r="R449" s="79"/>
      <c r="S449" s="101">
        <f t="shared" si="123"/>
        <v>0.99998014069758434</v>
      </c>
      <c r="T449" s="101">
        <f t="shared" si="124"/>
        <v>0.99306317530658395</v>
      </c>
      <c r="U449" s="79"/>
      <c r="V449" s="79"/>
      <c r="W449" s="79"/>
      <c r="X449" s="79"/>
      <c r="Y449" s="79"/>
      <c r="Z449" s="79"/>
      <c r="AA449" s="79"/>
      <c r="AB449" s="79"/>
      <c r="AC449" s="79"/>
      <c r="AD449" s="79"/>
      <c r="AE449" s="79"/>
      <c r="AF449" s="79"/>
      <c r="AG449" s="79"/>
      <c r="AH449" s="79"/>
      <c r="AI449" s="79"/>
      <c r="AJ449" s="79"/>
      <c r="AK449" s="79"/>
      <c r="AL449" s="79"/>
      <c r="AM449" s="79"/>
      <c r="AN449" s="79"/>
      <c r="AO449" s="79"/>
      <c r="AP449" s="79"/>
    </row>
    <row r="450" spans="5:42" x14ac:dyDescent="0.25">
      <c r="F450" s="80" t="s">
        <v>235</v>
      </c>
      <c r="G450" s="67" t="s">
        <v>342</v>
      </c>
      <c r="H450" s="37"/>
      <c r="I450" s="37"/>
      <c r="J450" s="81"/>
      <c r="K450" s="81"/>
      <c r="L450" s="81"/>
      <c r="M450" s="81"/>
      <c r="N450" s="81"/>
      <c r="O450" s="81"/>
      <c r="P450" s="81"/>
      <c r="Q450" s="81"/>
      <c r="R450" s="81"/>
      <c r="S450" s="103">
        <f t="shared" si="123"/>
        <v>0.99998014069758434</v>
      </c>
      <c r="T450" s="103">
        <f t="shared" si="124"/>
        <v>0.99306317530658395</v>
      </c>
      <c r="U450" s="81"/>
      <c r="V450" s="81"/>
      <c r="W450" s="81"/>
      <c r="X450" s="81"/>
      <c r="Y450" s="81"/>
      <c r="Z450" s="81"/>
      <c r="AA450" s="81"/>
      <c r="AB450" s="81"/>
      <c r="AC450" s="81"/>
      <c r="AD450" s="81"/>
      <c r="AE450" s="81"/>
      <c r="AF450" s="81"/>
      <c r="AG450" s="81"/>
      <c r="AH450" s="81"/>
      <c r="AI450" s="81"/>
      <c r="AJ450" s="81"/>
      <c r="AK450" s="81"/>
      <c r="AL450" s="81"/>
      <c r="AM450" s="81"/>
      <c r="AN450" s="81"/>
      <c r="AO450" s="81"/>
      <c r="AP450" s="81"/>
    </row>
    <row r="451" spans="5:42" x14ac:dyDescent="0.25">
      <c r="F451" s="167"/>
      <c r="G451" s="28"/>
      <c r="H451" s="63"/>
      <c r="J451" s="92"/>
      <c r="K451" s="92"/>
      <c r="L451" s="92"/>
      <c r="M451" s="92"/>
      <c r="N451" s="92"/>
      <c r="O451" s="92"/>
      <c r="P451" s="92"/>
      <c r="Q451" s="92"/>
      <c r="R451" s="92"/>
      <c r="S451" s="92"/>
      <c r="T451" s="92"/>
      <c r="U451" s="92"/>
      <c r="V451" s="92"/>
      <c r="W451" s="92"/>
      <c r="X451" s="92"/>
      <c r="Y451" s="92"/>
      <c r="Z451" s="92"/>
      <c r="AA451" s="92"/>
      <c r="AB451" s="92"/>
      <c r="AC451" s="92"/>
      <c r="AD451" s="92"/>
      <c r="AE451" s="92"/>
      <c r="AF451" s="92"/>
      <c r="AG451" s="92"/>
      <c r="AH451" s="92"/>
      <c r="AI451" s="92"/>
      <c r="AJ451" s="92"/>
      <c r="AK451" s="92"/>
      <c r="AL451" s="92"/>
      <c r="AM451" s="92"/>
      <c r="AN451" s="92"/>
      <c r="AO451" s="92"/>
      <c r="AP451" s="92"/>
    </row>
    <row r="452" spans="5:42" x14ac:dyDescent="0.25">
      <c r="E452" s="32" t="s">
        <v>596</v>
      </c>
      <c r="J452" s="92"/>
      <c r="K452" s="92"/>
      <c r="L452" s="92"/>
      <c r="M452" s="92"/>
      <c r="N452" s="92"/>
      <c r="O452" s="92"/>
      <c r="P452" s="92"/>
      <c r="Q452" s="92"/>
      <c r="R452" s="92"/>
      <c r="S452" s="92"/>
      <c r="T452" s="92"/>
      <c r="U452" s="92"/>
      <c r="V452" s="92"/>
      <c r="W452" s="92"/>
      <c r="X452" s="92"/>
      <c r="Y452" s="92"/>
      <c r="Z452" s="92"/>
      <c r="AA452" s="92"/>
      <c r="AB452" s="92"/>
      <c r="AC452" s="92"/>
      <c r="AD452" s="92"/>
      <c r="AE452" s="92"/>
      <c r="AF452" s="92"/>
      <c r="AG452" s="92"/>
      <c r="AH452" s="92"/>
      <c r="AI452" s="92"/>
      <c r="AJ452" s="92"/>
      <c r="AK452" s="92"/>
      <c r="AL452" s="92"/>
      <c r="AM452" s="92"/>
      <c r="AN452" s="92"/>
      <c r="AO452" s="92"/>
      <c r="AP452" s="92"/>
    </row>
    <row r="453" spans="5:42" x14ac:dyDescent="0.25">
      <c r="F453" s="78" t="s">
        <v>227</v>
      </c>
      <c r="G453" s="64" t="s">
        <v>342</v>
      </c>
      <c r="H453" s="23"/>
      <c r="I453" s="23"/>
      <c r="J453" s="129">
        <f>$S442</f>
        <v>0.99997955224512836</v>
      </c>
      <c r="K453" s="129">
        <f t="shared" ref="K453:L453" si="125">$S442</f>
        <v>0.99997955224512836</v>
      </c>
      <c r="L453" s="129">
        <f t="shared" si="125"/>
        <v>0.99997955224512836</v>
      </c>
      <c r="M453" s="83"/>
      <c r="N453" s="83"/>
      <c r="O453" s="83"/>
      <c r="P453" s="83"/>
      <c r="Q453" s="83"/>
      <c r="R453" s="83"/>
      <c r="S453" s="83"/>
      <c r="T453" s="83"/>
      <c r="U453" s="83"/>
      <c r="V453" s="83"/>
      <c r="W453" s="83"/>
      <c r="X453" s="83"/>
      <c r="Y453" s="83"/>
      <c r="Z453" s="83"/>
      <c r="AA453" s="83"/>
      <c r="AB453" s="83"/>
      <c r="AC453" s="83"/>
      <c r="AD453" s="83"/>
      <c r="AE453" s="83"/>
      <c r="AF453" s="83"/>
      <c r="AG453" s="83"/>
      <c r="AH453" s="83"/>
      <c r="AI453" s="83"/>
      <c r="AJ453" s="83"/>
      <c r="AK453" s="83"/>
      <c r="AL453" s="83"/>
      <c r="AM453" s="83"/>
      <c r="AN453" s="83"/>
      <c r="AO453" s="83"/>
      <c r="AP453" s="83"/>
    </row>
    <row r="454" spans="5:42" x14ac:dyDescent="0.25">
      <c r="F454" s="72" t="s">
        <v>228</v>
      </c>
      <c r="G454" s="28" t="s">
        <v>342</v>
      </c>
      <c r="J454" s="101">
        <f t="shared" ref="J454:L461" si="126">$S443</f>
        <v>0</v>
      </c>
      <c r="K454" s="101">
        <f t="shared" si="126"/>
        <v>0</v>
      </c>
      <c r="L454" s="101">
        <f t="shared" si="126"/>
        <v>0</v>
      </c>
      <c r="M454" s="79"/>
      <c r="N454" s="79"/>
      <c r="O454" s="79"/>
      <c r="P454" s="79"/>
      <c r="Q454" s="79"/>
      <c r="R454" s="79"/>
      <c r="S454" s="79"/>
      <c r="T454" s="79"/>
      <c r="U454" s="79"/>
      <c r="V454" s="79"/>
      <c r="W454" s="79"/>
      <c r="X454" s="79"/>
      <c r="Y454" s="79"/>
      <c r="Z454" s="79"/>
      <c r="AA454" s="79"/>
      <c r="AB454" s="79"/>
      <c r="AC454" s="79"/>
      <c r="AD454" s="79"/>
      <c r="AE454" s="79"/>
      <c r="AF454" s="79"/>
      <c r="AG454" s="79"/>
      <c r="AH454" s="79"/>
      <c r="AI454" s="79"/>
      <c r="AJ454" s="79"/>
      <c r="AK454" s="79"/>
      <c r="AL454" s="79"/>
      <c r="AM454" s="79"/>
      <c r="AN454" s="79"/>
      <c r="AO454" s="79"/>
      <c r="AP454" s="79"/>
    </row>
    <row r="455" spans="5:42" x14ac:dyDescent="0.25">
      <c r="F455" s="72" t="s">
        <v>229</v>
      </c>
      <c r="G455" s="28" t="s">
        <v>342</v>
      </c>
      <c r="J455" s="101">
        <f t="shared" si="126"/>
        <v>0</v>
      </c>
      <c r="K455" s="101">
        <f t="shared" si="126"/>
        <v>0</v>
      </c>
      <c r="L455" s="101">
        <f t="shared" si="126"/>
        <v>0</v>
      </c>
      <c r="M455" s="79"/>
      <c r="N455" s="79"/>
      <c r="O455" s="79"/>
      <c r="P455" s="79"/>
      <c r="Q455" s="79"/>
      <c r="R455" s="79"/>
      <c r="S455" s="79"/>
      <c r="T455" s="79"/>
      <c r="U455" s="79"/>
      <c r="V455" s="79"/>
      <c r="W455" s="79"/>
      <c r="X455" s="79"/>
      <c r="Y455" s="79"/>
      <c r="Z455" s="79"/>
      <c r="AA455" s="79"/>
      <c r="AB455" s="79"/>
      <c r="AC455" s="79"/>
      <c r="AD455" s="79"/>
      <c r="AE455" s="79"/>
      <c r="AF455" s="79"/>
      <c r="AG455" s="79"/>
      <c r="AH455" s="79"/>
      <c r="AI455" s="79"/>
      <c r="AJ455" s="79"/>
      <c r="AK455" s="79"/>
      <c r="AL455" s="79"/>
      <c r="AM455" s="79"/>
      <c r="AN455" s="79"/>
      <c r="AO455" s="79"/>
      <c r="AP455" s="79"/>
    </row>
    <row r="456" spans="5:42" x14ac:dyDescent="0.25">
      <c r="F456" s="72" t="s">
        <v>230</v>
      </c>
      <c r="G456" s="28" t="s">
        <v>342</v>
      </c>
      <c r="J456" s="101">
        <f t="shared" si="126"/>
        <v>0.99998014069758434</v>
      </c>
      <c r="K456" s="101">
        <f t="shared" si="126"/>
        <v>0.99998014069758434</v>
      </c>
      <c r="L456" s="101">
        <f t="shared" si="126"/>
        <v>0.99998014069758434</v>
      </c>
      <c r="M456" s="79"/>
      <c r="N456" s="79"/>
      <c r="O456" s="79"/>
      <c r="P456" s="79"/>
      <c r="Q456" s="79"/>
      <c r="R456" s="79"/>
      <c r="S456" s="79"/>
      <c r="T456" s="79"/>
      <c r="U456" s="79"/>
      <c r="V456" s="79"/>
      <c r="W456" s="79"/>
      <c r="X456" s="79"/>
      <c r="Y456" s="79"/>
      <c r="Z456" s="79"/>
      <c r="AA456" s="79"/>
      <c r="AB456" s="79"/>
      <c r="AC456" s="79"/>
      <c r="AD456" s="79"/>
      <c r="AE456" s="79"/>
      <c r="AF456" s="79"/>
      <c r="AG456" s="79"/>
      <c r="AH456" s="79"/>
      <c r="AI456" s="79"/>
      <c r="AJ456" s="79"/>
      <c r="AK456" s="79"/>
      <c r="AL456" s="79"/>
      <c r="AM456" s="79"/>
      <c r="AN456" s="79"/>
      <c r="AO456" s="79"/>
      <c r="AP456" s="79"/>
    </row>
    <row r="457" spans="5:42" x14ac:dyDescent="0.25">
      <c r="F457" s="72" t="s">
        <v>231</v>
      </c>
      <c r="G457" s="28" t="s">
        <v>342</v>
      </c>
      <c r="J457" s="101">
        <f t="shared" si="126"/>
        <v>0.99998014069758434</v>
      </c>
      <c r="K457" s="101">
        <f t="shared" si="126"/>
        <v>0.99998014069758434</v>
      </c>
      <c r="L457" s="101">
        <f t="shared" si="126"/>
        <v>0.99998014069758434</v>
      </c>
      <c r="M457" s="79"/>
      <c r="N457" s="79"/>
      <c r="O457" s="79"/>
      <c r="P457" s="79"/>
      <c r="Q457" s="79"/>
      <c r="R457" s="79"/>
      <c r="S457" s="79"/>
      <c r="T457" s="79"/>
      <c r="U457" s="79"/>
      <c r="V457" s="79"/>
      <c r="W457" s="79"/>
      <c r="X457" s="79"/>
      <c r="Y457" s="79"/>
      <c r="Z457" s="79"/>
      <c r="AA457" s="79"/>
      <c r="AB457" s="79"/>
      <c r="AC457" s="79"/>
      <c r="AD457" s="79"/>
      <c r="AE457" s="79"/>
      <c r="AF457" s="79"/>
      <c r="AG457" s="79"/>
      <c r="AH457" s="79"/>
      <c r="AI457" s="79"/>
      <c r="AJ457" s="79"/>
      <c r="AK457" s="79"/>
      <c r="AL457" s="79"/>
      <c r="AM457" s="79"/>
      <c r="AN457" s="79"/>
      <c r="AO457" s="79"/>
      <c r="AP457" s="79"/>
    </row>
    <row r="458" spans="5:42" x14ac:dyDescent="0.25">
      <c r="F458" s="72" t="s">
        <v>232</v>
      </c>
      <c r="G458" s="28" t="s">
        <v>342</v>
      </c>
      <c r="J458" s="101">
        <f t="shared" si="126"/>
        <v>0</v>
      </c>
      <c r="K458" s="101">
        <f t="shared" si="126"/>
        <v>0</v>
      </c>
      <c r="L458" s="101">
        <f t="shared" si="126"/>
        <v>0</v>
      </c>
      <c r="M458" s="79"/>
      <c r="N458" s="79"/>
      <c r="O458" s="79"/>
      <c r="P458" s="79"/>
      <c r="Q458" s="79"/>
      <c r="R458" s="79"/>
      <c r="S458" s="79"/>
      <c r="T458" s="79"/>
      <c r="U458" s="79"/>
      <c r="V458" s="79"/>
      <c r="W458" s="79"/>
      <c r="X458" s="79"/>
      <c r="Y458" s="79"/>
      <c r="Z458" s="79"/>
      <c r="AA458" s="79"/>
      <c r="AB458" s="79"/>
      <c r="AC458" s="79"/>
      <c r="AD458" s="79"/>
      <c r="AE458" s="79"/>
      <c r="AF458" s="79"/>
      <c r="AG458" s="79"/>
      <c r="AH458" s="79"/>
      <c r="AI458" s="79"/>
      <c r="AJ458" s="79"/>
      <c r="AK458" s="79"/>
      <c r="AL458" s="79"/>
      <c r="AM458" s="79"/>
      <c r="AN458" s="79"/>
      <c r="AO458" s="79"/>
      <c r="AP458" s="79"/>
    </row>
    <row r="459" spans="5:42" x14ac:dyDescent="0.25">
      <c r="F459" s="72" t="s">
        <v>233</v>
      </c>
      <c r="G459" s="28" t="s">
        <v>342</v>
      </c>
      <c r="J459" s="101">
        <f t="shared" si="126"/>
        <v>0.99998014069758434</v>
      </c>
      <c r="K459" s="101">
        <f t="shared" si="126"/>
        <v>0.99998014069758434</v>
      </c>
      <c r="L459" s="101">
        <f t="shared" si="126"/>
        <v>0.99998014069758434</v>
      </c>
      <c r="M459" s="79"/>
      <c r="N459" s="79"/>
      <c r="O459" s="79"/>
      <c r="P459" s="79"/>
      <c r="Q459" s="79"/>
      <c r="R459" s="79"/>
      <c r="S459" s="79"/>
      <c r="T459" s="79"/>
      <c r="U459" s="79"/>
      <c r="V459" s="79"/>
      <c r="W459" s="79"/>
      <c r="X459" s="79"/>
      <c r="Y459" s="79"/>
      <c r="Z459" s="79"/>
      <c r="AA459" s="79"/>
      <c r="AB459" s="79"/>
      <c r="AC459" s="79"/>
      <c r="AD459" s="79"/>
      <c r="AE459" s="79"/>
      <c r="AF459" s="79"/>
      <c r="AG459" s="79"/>
      <c r="AH459" s="79"/>
      <c r="AI459" s="79"/>
      <c r="AJ459" s="79"/>
      <c r="AK459" s="79"/>
      <c r="AL459" s="79"/>
      <c r="AM459" s="79"/>
      <c r="AN459" s="79"/>
      <c r="AO459" s="79"/>
      <c r="AP459" s="79"/>
    </row>
    <row r="460" spans="5:42" x14ac:dyDescent="0.25">
      <c r="F460" s="72" t="s">
        <v>234</v>
      </c>
      <c r="G460" s="28" t="s">
        <v>342</v>
      </c>
      <c r="J460" s="101">
        <f t="shared" si="126"/>
        <v>0.99998014069758434</v>
      </c>
      <c r="K460" s="101">
        <f t="shared" si="126"/>
        <v>0.99998014069758434</v>
      </c>
      <c r="L460" s="101">
        <f t="shared" si="126"/>
        <v>0.99998014069758434</v>
      </c>
      <c r="M460" s="79"/>
      <c r="N460" s="79"/>
      <c r="O460" s="79"/>
      <c r="P460" s="79"/>
      <c r="Q460" s="79"/>
      <c r="R460" s="79"/>
      <c r="S460" s="79"/>
      <c r="T460" s="79"/>
      <c r="U460" s="79"/>
      <c r="V460" s="79"/>
      <c r="W460" s="79"/>
      <c r="X460" s="79"/>
      <c r="Y460" s="79"/>
      <c r="Z460" s="79"/>
      <c r="AA460" s="79"/>
      <c r="AB460" s="79"/>
      <c r="AC460" s="79"/>
      <c r="AD460" s="79"/>
      <c r="AE460" s="79"/>
      <c r="AF460" s="79"/>
      <c r="AG460" s="79"/>
      <c r="AH460" s="79"/>
      <c r="AI460" s="79"/>
      <c r="AJ460" s="79"/>
      <c r="AK460" s="79"/>
      <c r="AL460" s="79"/>
      <c r="AM460" s="79"/>
      <c r="AN460" s="79"/>
      <c r="AO460" s="79"/>
      <c r="AP460" s="79"/>
    </row>
    <row r="461" spans="5:42" x14ac:dyDescent="0.25">
      <c r="F461" s="80" t="s">
        <v>235</v>
      </c>
      <c r="G461" s="67" t="s">
        <v>342</v>
      </c>
      <c r="H461" s="37"/>
      <c r="I461" s="37"/>
      <c r="J461" s="103">
        <f t="shared" si="126"/>
        <v>0.99998014069758434</v>
      </c>
      <c r="K461" s="103">
        <f t="shared" si="126"/>
        <v>0.99998014069758434</v>
      </c>
      <c r="L461" s="103">
        <f t="shared" si="126"/>
        <v>0.99998014069758434</v>
      </c>
      <c r="M461" s="81"/>
      <c r="N461" s="81"/>
      <c r="O461" s="81"/>
      <c r="P461" s="81"/>
      <c r="Q461" s="81"/>
      <c r="R461" s="81"/>
      <c r="S461" s="81"/>
      <c r="T461" s="81"/>
      <c r="U461" s="81"/>
      <c r="V461" s="81"/>
      <c r="W461" s="81"/>
      <c r="X461" s="81"/>
      <c r="Y461" s="81"/>
      <c r="Z461" s="81"/>
      <c r="AA461" s="81"/>
      <c r="AB461" s="81"/>
      <c r="AC461" s="81"/>
      <c r="AD461" s="81"/>
      <c r="AE461" s="81"/>
      <c r="AF461" s="81"/>
      <c r="AG461" s="81"/>
      <c r="AH461" s="81"/>
      <c r="AI461" s="81"/>
      <c r="AJ461" s="81"/>
      <c r="AK461" s="81"/>
      <c r="AL461" s="81"/>
      <c r="AM461" s="81"/>
      <c r="AN461" s="81"/>
      <c r="AO461" s="81"/>
      <c r="AP461" s="81"/>
    </row>
    <row r="462" spans="5:42" x14ac:dyDescent="0.25">
      <c r="F462" s="167"/>
      <c r="G462" s="28"/>
      <c r="H462" s="63"/>
      <c r="J462" s="92"/>
      <c r="K462" s="92"/>
      <c r="L462" s="92"/>
      <c r="M462" s="92"/>
      <c r="N462" s="92"/>
      <c r="O462" s="92"/>
      <c r="P462" s="92"/>
      <c r="Q462" s="92"/>
      <c r="R462" s="92"/>
      <c r="S462" s="92"/>
      <c r="T462" s="92"/>
      <c r="U462" s="92"/>
      <c r="V462" s="92"/>
      <c r="W462" s="92"/>
      <c r="X462" s="92"/>
      <c r="Y462" s="92"/>
      <c r="Z462" s="92"/>
      <c r="AA462" s="92"/>
      <c r="AB462" s="92"/>
      <c r="AC462" s="92"/>
      <c r="AD462" s="92"/>
      <c r="AE462" s="92"/>
      <c r="AF462" s="92"/>
      <c r="AG462" s="92"/>
      <c r="AH462" s="92"/>
      <c r="AI462" s="92"/>
      <c r="AJ462" s="92"/>
      <c r="AK462" s="92"/>
      <c r="AL462" s="92"/>
      <c r="AM462" s="92"/>
      <c r="AN462" s="92"/>
      <c r="AO462" s="92"/>
      <c r="AP462" s="92"/>
    </row>
    <row r="463" spans="5:42" x14ac:dyDescent="0.25">
      <c r="E463" s="32" t="s">
        <v>597</v>
      </c>
      <c r="J463" s="92"/>
      <c r="K463" s="92"/>
      <c r="L463" s="92"/>
      <c r="M463" s="92"/>
      <c r="N463" s="92"/>
      <c r="O463" s="92"/>
      <c r="P463" s="92"/>
      <c r="Q463" s="92"/>
      <c r="R463" s="92"/>
      <c r="S463" s="92"/>
      <c r="T463" s="92"/>
      <c r="U463" s="92"/>
      <c r="V463" s="92"/>
      <c r="W463" s="92"/>
      <c r="X463" s="92"/>
      <c r="Y463" s="92"/>
      <c r="Z463" s="92"/>
      <c r="AA463" s="92"/>
      <c r="AB463" s="92"/>
      <c r="AC463" s="92"/>
      <c r="AD463" s="92"/>
      <c r="AE463" s="92"/>
      <c r="AF463" s="92"/>
      <c r="AG463" s="92"/>
      <c r="AH463" s="92"/>
      <c r="AI463" s="92"/>
      <c r="AJ463" s="92"/>
      <c r="AK463" s="92"/>
      <c r="AL463" s="92"/>
      <c r="AM463" s="92"/>
      <c r="AN463" s="92"/>
      <c r="AO463" s="92"/>
      <c r="AP463" s="92"/>
    </row>
    <row r="464" spans="5:42" x14ac:dyDescent="0.25">
      <c r="F464" s="78" t="s">
        <v>227</v>
      </c>
      <c r="G464" s="64" t="s">
        <v>342</v>
      </c>
      <c r="H464" s="23"/>
      <c r="I464" s="23"/>
      <c r="J464" s="83"/>
      <c r="K464" s="83"/>
      <c r="L464" s="83"/>
      <c r="M464" s="129">
        <f>$T442</f>
        <v>0.99301809186809564</v>
      </c>
      <c r="N464" s="129">
        <f t="shared" ref="N464:O464" si="127">$T442</f>
        <v>0.99301809186809564</v>
      </c>
      <c r="O464" s="129">
        <f t="shared" si="127"/>
        <v>0.99301809186809564</v>
      </c>
      <c r="P464" s="83"/>
      <c r="Q464" s="83"/>
      <c r="R464" s="83"/>
      <c r="S464" s="83"/>
      <c r="T464" s="83"/>
      <c r="U464" s="83"/>
      <c r="V464" s="83"/>
      <c r="W464" s="83"/>
      <c r="X464" s="83"/>
      <c r="Y464" s="83"/>
      <c r="Z464" s="83"/>
      <c r="AA464" s="83"/>
      <c r="AB464" s="83"/>
      <c r="AC464" s="83"/>
      <c r="AD464" s="83"/>
      <c r="AE464" s="83"/>
      <c r="AF464" s="83"/>
      <c r="AG464" s="83"/>
      <c r="AH464" s="83"/>
      <c r="AI464" s="83"/>
      <c r="AJ464" s="83"/>
      <c r="AK464" s="83"/>
      <c r="AL464" s="83"/>
      <c r="AM464" s="83"/>
      <c r="AN464" s="83"/>
      <c r="AO464" s="83"/>
      <c r="AP464" s="83"/>
    </row>
    <row r="465" spans="5:42" x14ac:dyDescent="0.25">
      <c r="F465" s="72" t="s">
        <v>228</v>
      </c>
      <c r="G465" s="28" t="s">
        <v>342</v>
      </c>
      <c r="J465" s="79"/>
      <c r="K465" s="79"/>
      <c r="L465" s="79"/>
      <c r="M465" s="101">
        <f t="shared" ref="M465:O465" si="128">$T443</f>
        <v>0</v>
      </c>
      <c r="N465" s="101">
        <f t="shared" si="128"/>
        <v>0</v>
      </c>
      <c r="O465" s="101">
        <f t="shared" si="128"/>
        <v>0</v>
      </c>
      <c r="P465" s="79"/>
      <c r="Q465" s="79"/>
      <c r="R465" s="79"/>
      <c r="S465" s="79"/>
      <c r="T465" s="79"/>
      <c r="U465" s="79"/>
      <c r="V465" s="79"/>
      <c r="W465" s="79"/>
      <c r="X465" s="79"/>
      <c r="Y465" s="79"/>
      <c r="Z465" s="79"/>
      <c r="AA465" s="79"/>
      <c r="AB465" s="79"/>
      <c r="AC465" s="79"/>
      <c r="AD465" s="79"/>
      <c r="AE465" s="79"/>
      <c r="AF465" s="79"/>
      <c r="AG465" s="79"/>
      <c r="AH465" s="79"/>
      <c r="AI465" s="79"/>
      <c r="AJ465" s="79"/>
      <c r="AK465" s="79"/>
      <c r="AL465" s="79"/>
      <c r="AM465" s="79"/>
      <c r="AN465" s="79"/>
      <c r="AO465" s="79"/>
      <c r="AP465" s="79"/>
    </row>
    <row r="466" spans="5:42" x14ac:dyDescent="0.25">
      <c r="F466" s="72" t="s">
        <v>229</v>
      </c>
      <c r="G466" s="28" t="s">
        <v>342</v>
      </c>
      <c r="J466" s="79"/>
      <c r="K466" s="79"/>
      <c r="L466" s="79"/>
      <c r="M466" s="101">
        <f t="shared" ref="M466:O466" si="129">$T444</f>
        <v>0</v>
      </c>
      <c r="N466" s="101">
        <f t="shared" si="129"/>
        <v>0</v>
      </c>
      <c r="O466" s="101">
        <f t="shared" si="129"/>
        <v>0</v>
      </c>
      <c r="P466" s="79"/>
      <c r="Q466" s="79"/>
      <c r="R466" s="79"/>
      <c r="S466" s="79"/>
      <c r="T466" s="79"/>
      <c r="U466" s="79"/>
      <c r="V466" s="79"/>
      <c r="W466" s="79"/>
      <c r="X466" s="79"/>
      <c r="Y466" s="79"/>
      <c r="Z466" s="79"/>
      <c r="AA466" s="79"/>
      <c r="AB466" s="79"/>
      <c r="AC466" s="79"/>
      <c r="AD466" s="79"/>
      <c r="AE466" s="79"/>
      <c r="AF466" s="79"/>
      <c r="AG466" s="79"/>
      <c r="AH466" s="79"/>
      <c r="AI466" s="79"/>
      <c r="AJ466" s="79"/>
      <c r="AK466" s="79"/>
      <c r="AL466" s="79"/>
      <c r="AM466" s="79"/>
      <c r="AN466" s="79"/>
      <c r="AO466" s="79"/>
      <c r="AP466" s="79"/>
    </row>
    <row r="467" spans="5:42" x14ac:dyDescent="0.25">
      <c r="F467" s="72" t="s">
        <v>230</v>
      </c>
      <c r="G467" s="28" t="s">
        <v>342</v>
      </c>
      <c r="J467" s="79"/>
      <c r="K467" s="79"/>
      <c r="L467" s="79"/>
      <c r="M467" s="101">
        <f t="shared" ref="M467:O467" si="130">$T445</f>
        <v>0.99306317530658395</v>
      </c>
      <c r="N467" s="101">
        <f t="shared" si="130"/>
        <v>0.99306317530658395</v>
      </c>
      <c r="O467" s="101">
        <f t="shared" si="130"/>
        <v>0.99306317530658395</v>
      </c>
      <c r="P467" s="79"/>
      <c r="Q467" s="79"/>
      <c r="R467" s="79"/>
      <c r="S467" s="79"/>
      <c r="T467" s="79"/>
      <c r="U467" s="79"/>
      <c r="V467" s="79"/>
      <c r="W467" s="79"/>
      <c r="X467" s="79"/>
      <c r="Y467" s="79"/>
      <c r="Z467" s="79"/>
      <c r="AA467" s="79"/>
      <c r="AB467" s="79"/>
      <c r="AC467" s="79"/>
      <c r="AD467" s="79"/>
      <c r="AE467" s="79"/>
      <c r="AF467" s="79"/>
      <c r="AG467" s="79"/>
      <c r="AH467" s="79"/>
      <c r="AI467" s="79"/>
      <c r="AJ467" s="79"/>
      <c r="AK467" s="79"/>
      <c r="AL467" s="79"/>
      <c r="AM467" s="79"/>
      <c r="AN467" s="79"/>
      <c r="AO467" s="79"/>
      <c r="AP467" s="79"/>
    </row>
    <row r="468" spans="5:42" x14ac:dyDescent="0.25">
      <c r="F468" s="72" t="s">
        <v>231</v>
      </c>
      <c r="G468" s="28" t="s">
        <v>342</v>
      </c>
      <c r="J468" s="79"/>
      <c r="K468" s="79"/>
      <c r="L468" s="79"/>
      <c r="M468" s="101">
        <f t="shared" ref="M468:O468" si="131">$T446</f>
        <v>0.99306317530658395</v>
      </c>
      <c r="N468" s="101">
        <f t="shared" si="131"/>
        <v>0.99306317530658395</v>
      </c>
      <c r="O468" s="101">
        <f t="shared" si="131"/>
        <v>0.99306317530658395</v>
      </c>
      <c r="P468" s="79"/>
      <c r="Q468" s="79"/>
      <c r="R468" s="79"/>
      <c r="S468" s="79"/>
      <c r="T468" s="79"/>
      <c r="U468" s="79"/>
      <c r="V468" s="79"/>
      <c r="W468" s="79"/>
      <c r="X468" s="79"/>
      <c r="Y468" s="79"/>
      <c r="Z468" s="79"/>
      <c r="AA468" s="79"/>
      <c r="AB468" s="79"/>
      <c r="AC468" s="79"/>
      <c r="AD468" s="79"/>
      <c r="AE468" s="79"/>
      <c r="AF468" s="79"/>
      <c r="AG468" s="79"/>
      <c r="AH468" s="79"/>
      <c r="AI468" s="79"/>
      <c r="AJ468" s="79"/>
      <c r="AK468" s="79"/>
      <c r="AL468" s="79"/>
      <c r="AM468" s="79"/>
      <c r="AN468" s="79"/>
      <c r="AO468" s="79"/>
      <c r="AP468" s="79"/>
    </row>
    <row r="469" spans="5:42" x14ac:dyDescent="0.25">
      <c r="F469" s="72" t="s">
        <v>232</v>
      </c>
      <c r="G469" s="28" t="s">
        <v>342</v>
      </c>
      <c r="J469" s="79"/>
      <c r="K469" s="79"/>
      <c r="L469" s="79"/>
      <c r="M469" s="101">
        <f t="shared" ref="M469:O469" si="132">$T447</f>
        <v>0</v>
      </c>
      <c r="N469" s="101">
        <f t="shared" si="132"/>
        <v>0</v>
      </c>
      <c r="O469" s="101">
        <f t="shared" si="132"/>
        <v>0</v>
      </c>
      <c r="P469" s="79"/>
      <c r="Q469" s="79"/>
      <c r="R469" s="79"/>
      <c r="S469" s="79"/>
      <c r="T469" s="79"/>
      <c r="U469" s="79"/>
      <c r="V469" s="79"/>
      <c r="W469" s="79"/>
      <c r="X469" s="79"/>
      <c r="Y469" s="79"/>
      <c r="Z469" s="79"/>
      <c r="AA469" s="79"/>
      <c r="AB469" s="79"/>
      <c r="AC469" s="79"/>
      <c r="AD469" s="79"/>
      <c r="AE469" s="79"/>
      <c r="AF469" s="79"/>
      <c r="AG469" s="79"/>
      <c r="AH469" s="79"/>
      <c r="AI469" s="79"/>
      <c r="AJ469" s="79"/>
      <c r="AK469" s="79"/>
      <c r="AL469" s="79"/>
      <c r="AM469" s="79"/>
      <c r="AN469" s="79"/>
      <c r="AO469" s="79"/>
      <c r="AP469" s="79"/>
    </row>
    <row r="470" spans="5:42" x14ac:dyDescent="0.25">
      <c r="F470" s="72" t="s">
        <v>233</v>
      </c>
      <c r="G470" s="28" t="s">
        <v>342</v>
      </c>
      <c r="J470" s="79"/>
      <c r="K470" s="79"/>
      <c r="L470" s="79"/>
      <c r="M470" s="101">
        <f t="shared" ref="M470:O470" si="133">$T448</f>
        <v>0.99306317530658395</v>
      </c>
      <c r="N470" s="101">
        <f t="shared" si="133"/>
        <v>0.99306317530658395</v>
      </c>
      <c r="O470" s="101">
        <f t="shared" si="133"/>
        <v>0.99306317530658395</v>
      </c>
      <c r="P470" s="79"/>
      <c r="Q470" s="79"/>
      <c r="R470" s="79"/>
      <c r="S470" s="79"/>
      <c r="T470" s="79"/>
      <c r="U470" s="79"/>
      <c r="V470" s="79"/>
      <c r="W470" s="79"/>
      <c r="X470" s="79"/>
      <c r="Y470" s="79"/>
      <c r="Z470" s="79"/>
      <c r="AA470" s="79"/>
      <c r="AB470" s="79"/>
      <c r="AC470" s="79"/>
      <c r="AD470" s="79"/>
      <c r="AE470" s="79"/>
      <c r="AF470" s="79"/>
      <c r="AG470" s="79"/>
      <c r="AH470" s="79"/>
      <c r="AI470" s="79"/>
      <c r="AJ470" s="79"/>
      <c r="AK470" s="79"/>
      <c r="AL470" s="79"/>
      <c r="AM470" s="79"/>
      <c r="AN470" s="79"/>
      <c r="AO470" s="79"/>
      <c r="AP470" s="79"/>
    </row>
    <row r="471" spans="5:42" x14ac:dyDescent="0.25">
      <c r="F471" s="72" t="s">
        <v>234</v>
      </c>
      <c r="G471" s="28" t="s">
        <v>342</v>
      </c>
      <c r="J471" s="79"/>
      <c r="K471" s="79"/>
      <c r="L471" s="79"/>
      <c r="M471" s="101">
        <f t="shared" ref="M471:O471" si="134">$T449</f>
        <v>0.99306317530658395</v>
      </c>
      <c r="N471" s="101">
        <f t="shared" si="134"/>
        <v>0.99306317530658395</v>
      </c>
      <c r="O471" s="101">
        <f t="shared" si="134"/>
        <v>0.99306317530658395</v>
      </c>
      <c r="P471" s="79"/>
      <c r="Q471" s="79"/>
      <c r="R471" s="79"/>
      <c r="S471" s="79"/>
      <c r="T471" s="79"/>
      <c r="U471" s="79"/>
      <c r="V471" s="79"/>
      <c r="W471" s="79"/>
      <c r="X471" s="79"/>
      <c r="Y471" s="79"/>
      <c r="Z471" s="79"/>
      <c r="AA471" s="79"/>
      <c r="AB471" s="79"/>
      <c r="AC471" s="79"/>
      <c r="AD471" s="79"/>
      <c r="AE471" s="79"/>
      <c r="AF471" s="79"/>
      <c r="AG471" s="79"/>
      <c r="AH471" s="79"/>
      <c r="AI471" s="79"/>
      <c r="AJ471" s="79"/>
      <c r="AK471" s="79"/>
      <c r="AL471" s="79"/>
      <c r="AM471" s="79"/>
      <c r="AN471" s="79"/>
      <c r="AO471" s="79"/>
      <c r="AP471" s="79"/>
    </row>
    <row r="472" spans="5:42" x14ac:dyDescent="0.25">
      <c r="F472" s="80" t="s">
        <v>235</v>
      </c>
      <c r="G472" s="67" t="s">
        <v>342</v>
      </c>
      <c r="H472" s="37"/>
      <c r="I472" s="37"/>
      <c r="J472" s="81"/>
      <c r="K472" s="81"/>
      <c r="L472" s="81"/>
      <c r="M472" s="103">
        <f t="shared" ref="M472:O472" si="135">$T450</f>
        <v>0.99306317530658395</v>
      </c>
      <c r="N472" s="103">
        <f t="shared" si="135"/>
        <v>0.99306317530658395</v>
      </c>
      <c r="O472" s="103">
        <f t="shared" si="135"/>
        <v>0.99306317530658395</v>
      </c>
      <c r="P472" s="81"/>
      <c r="Q472" s="81"/>
      <c r="R472" s="81"/>
      <c r="S472" s="81"/>
      <c r="T472" s="81"/>
      <c r="U472" s="81"/>
      <c r="V472" s="81"/>
      <c r="W472" s="81"/>
      <c r="X472" s="81"/>
      <c r="Y472" s="81"/>
      <c r="Z472" s="81"/>
      <c r="AA472" s="81"/>
      <c r="AB472" s="81"/>
      <c r="AC472" s="81"/>
      <c r="AD472" s="81"/>
      <c r="AE472" s="81"/>
      <c r="AF472" s="81"/>
      <c r="AG472" s="81"/>
      <c r="AH472" s="81"/>
      <c r="AI472" s="81"/>
      <c r="AJ472" s="81"/>
      <c r="AK472" s="81"/>
      <c r="AL472" s="81"/>
      <c r="AM472" s="81"/>
      <c r="AN472" s="81"/>
      <c r="AO472" s="81"/>
      <c r="AP472" s="81"/>
    </row>
    <row r="473" spans="5:42" x14ac:dyDescent="0.25">
      <c r="F473" s="167"/>
      <c r="G473" s="28"/>
      <c r="H473" s="63"/>
      <c r="J473" s="92"/>
      <c r="K473" s="92"/>
      <c r="L473" s="92"/>
      <c r="M473" s="92"/>
      <c r="N473" s="92"/>
      <c r="O473" s="92"/>
      <c r="P473" s="92"/>
      <c r="Q473" s="92"/>
      <c r="R473" s="92"/>
      <c r="S473" s="92"/>
      <c r="T473" s="92"/>
      <c r="U473" s="92"/>
      <c r="V473" s="92"/>
      <c r="W473" s="92"/>
      <c r="X473" s="92"/>
      <c r="Y473" s="92"/>
      <c r="Z473" s="92"/>
      <c r="AA473" s="92"/>
      <c r="AB473" s="92"/>
      <c r="AC473" s="92"/>
      <c r="AD473" s="92"/>
      <c r="AE473" s="92"/>
      <c r="AF473" s="92"/>
      <c r="AG473" s="92"/>
      <c r="AH473" s="92"/>
      <c r="AI473" s="92"/>
      <c r="AJ473" s="92"/>
      <c r="AK473" s="92"/>
      <c r="AL473" s="92"/>
      <c r="AM473" s="92"/>
      <c r="AN473" s="92"/>
      <c r="AO473" s="92"/>
      <c r="AP473" s="92"/>
    </row>
    <row r="474" spans="5:42" x14ac:dyDescent="0.25">
      <c r="E474" s="32" t="s">
        <v>598</v>
      </c>
      <c r="G474" s="28"/>
      <c r="J474" s="183"/>
      <c r="K474" s="183"/>
      <c r="L474" s="183"/>
      <c r="M474" s="183"/>
      <c r="N474" s="183"/>
      <c r="O474" s="183"/>
      <c r="P474" s="183"/>
      <c r="Q474" s="183"/>
      <c r="R474" s="183"/>
      <c r="S474" s="183"/>
      <c r="T474" s="183"/>
      <c r="U474" s="183"/>
      <c r="V474" s="183"/>
      <c r="W474" s="183"/>
      <c r="X474" s="183"/>
      <c r="Y474" s="183"/>
      <c r="Z474" s="183"/>
      <c r="AA474" s="183"/>
      <c r="AB474" s="183"/>
      <c r="AC474" s="183"/>
      <c r="AD474" s="183"/>
      <c r="AE474" s="183"/>
      <c r="AF474" s="183"/>
      <c r="AG474" s="183"/>
      <c r="AH474" s="183"/>
      <c r="AI474" s="183"/>
      <c r="AJ474" s="183"/>
      <c r="AK474" s="183"/>
      <c r="AL474" s="183"/>
      <c r="AM474" s="183"/>
      <c r="AN474" s="183"/>
      <c r="AO474" s="183"/>
      <c r="AP474" s="183"/>
    </row>
    <row r="475" spans="5:42" x14ac:dyDescent="0.25">
      <c r="F475" s="78" t="s">
        <v>227</v>
      </c>
      <c r="G475" s="64" t="s">
        <v>342</v>
      </c>
      <c r="H475" s="23"/>
      <c r="I475" s="23"/>
      <c r="J475" s="83"/>
      <c r="K475" s="83"/>
      <c r="L475" s="83"/>
      <c r="M475" s="83"/>
      <c r="N475" s="83"/>
      <c r="O475" s="83"/>
      <c r="P475" s="83"/>
      <c r="Q475" s="83"/>
      <c r="R475" s="83"/>
      <c r="S475" s="163">
        <f>S442 * (S420 + S431)</f>
        <v>1.1860723903244552</v>
      </c>
      <c r="T475" s="163">
        <f>T442 * (T420 + T431)</f>
        <v>1.1132949567559496</v>
      </c>
      <c r="U475" s="83"/>
      <c r="V475" s="83"/>
      <c r="W475" s="83"/>
      <c r="X475" s="83"/>
      <c r="Y475" s="83"/>
      <c r="Z475" s="83"/>
      <c r="AA475" s="83"/>
      <c r="AB475" s="83"/>
      <c r="AC475" s="83"/>
      <c r="AD475" s="83"/>
      <c r="AE475" s="83"/>
      <c r="AF475" s="83"/>
      <c r="AG475" s="83"/>
      <c r="AH475" s="83"/>
      <c r="AI475" s="83"/>
      <c r="AJ475" s="83"/>
      <c r="AK475" s="83"/>
      <c r="AL475" s="83"/>
      <c r="AM475" s="83"/>
      <c r="AN475" s="83"/>
      <c r="AO475" s="83"/>
      <c r="AP475" s="83"/>
    </row>
    <row r="476" spans="5:42" x14ac:dyDescent="0.25">
      <c r="F476" s="72" t="s">
        <v>228</v>
      </c>
      <c r="G476" s="28" t="s">
        <v>342</v>
      </c>
      <c r="J476" s="79"/>
      <c r="K476" s="79"/>
      <c r="L476" s="79"/>
      <c r="M476" s="79"/>
      <c r="N476" s="79"/>
      <c r="O476" s="79"/>
      <c r="P476" s="79"/>
      <c r="Q476" s="79"/>
      <c r="R476" s="79"/>
      <c r="S476" s="92">
        <f t="shared" ref="S476:T476" si="136">S443 * (S421 + S432)</f>
        <v>0</v>
      </c>
      <c r="T476" s="101">
        <f t="shared" si="136"/>
        <v>0</v>
      </c>
      <c r="U476" s="79"/>
      <c r="V476" s="79"/>
      <c r="W476" s="79"/>
      <c r="X476" s="79"/>
      <c r="Y476" s="79"/>
      <c r="Z476" s="79"/>
      <c r="AA476" s="79"/>
      <c r="AB476" s="79"/>
      <c r="AC476" s="79"/>
      <c r="AD476" s="79"/>
      <c r="AE476" s="79"/>
      <c r="AF476" s="79"/>
      <c r="AG476" s="79"/>
      <c r="AH476" s="79"/>
      <c r="AI476" s="79"/>
      <c r="AJ476" s="79"/>
      <c r="AK476" s="79"/>
      <c r="AL476" s="79"/>
      <c r="AM476" s="79"/>
      <c r="AN476" s="79"/>
      <c r="AO476" s="79"/>
      <c r="AP476" s="79"/>
    </row>
    <row r="477" spans="5:42" x14ac:dyDescent="0.25">
      <c r="F477" s="72" t="s">
        <v>229</v>
      </c>
      <c r="G477" s="28" t="s">
        <v>342</v>
      </c>
      <c r="J477" s="79"/>
      <c r="K477" s="79"/>
      <c r="L477" s="79"/>
      <c r="M477" s="79"/>
      <c r="N477" s="79"/>
      <c r="O477" s="79"/>
      <c r="P477" s="79"/>
      <c r="Q477" s="79"/>
      <c r="R477" s="79"/>
      <c r="S477" s="92">
        <f t="shared" ref="S477:T477" si="137">S444 * (S422 + S433)</f>
        <v>0</v>
      </c>
      <c r="T477" s="101">
        <f t="shared" si="137"/>
        <v>0</v>
      </c>
      <c r="U477" s="79"/>
      <c r="V477" s="79"/>
      <c r="W477" s="79"/>
      <c r="X477" s="79"/>
      <c r="Y477" s="79"/>
      <c r="Z477" s="79"/>
      <c r="AA477" s="79"/>
      <c r="AB477" s="79"/>
      <c r="AC477" s="79"/>
      <c r="AD477" s="79"/>
      <c r="AE477" s="79"/>
      <c r="AF477" s="79"/>
      <c r="AG477" s="79"/>
      <c r="AH477" s="79"/>
      <c r="AI477" s="79"/>
      <c r="AJ477" s="79"/>
      <c r="AK477" s="79"/>
      <c r="AL477" s="79"/>
      <c r="AM477" s="79"/>
      <c r="AN477" s="79"/>
      <c r="AO477" s="79"/>
      <c r="AP477" s="79"/>
    </row>
    <row r="478" spans="5:42" x14ac:dyDescent="0.25">
      <c r="F478" s="72" t="s">
        <v>230</v>
      </c>
      <c r="G478" s="28" t="s">
        <v>342</v>
      </c>
      <c r="J478" s="79"/>
      <c r="K478" s="79"/>
      <c r="L478" s="79"/>
      <c r="M478" s="79"/>
      <c r="N478" s="79"/>
      <c r="O478" s="79"/>
      <c r="P478" s="79"/>
      <c r="Q478" s="79"/>
      <c r="R478" s="79"/>
      <c r="S478" s="92">
        <f t="shared" ref="S478:T478" si="138">S445 * (S423 + S434)</f>
        <v>1.1842008026440347</v>
      </c>
      <c r="T478" s="101">
        <f t="shared" si="138"/>
        <v>1.1129107937217262</v>
      </c>
      <c r="U478" s="79"/>
      <c r="V478" s="79"/>
      <c r="W478" s="79"/>
      <c r="X478" s="79"/>
      <c r="Y478" s="79"/>
      <c r="Z478" s="79"/>
      <c r="AA478" s="79"/>
      <c r="AB478" s="79"/>
      <c r="AC478" s="79"/>
      <c r="AD478" s="79"/>
      <c r="AE478" s="79"/>
      <c r="AF478" s="79"/>
      <c r="AG478" s="79"/>
      <c r="AH478" s="79"/>
      <c r="AI478" s="79"/>
      <c r="AJ478" s="79"/>
      <c r="AK478" s="79"/>
      <c r="AL478" s="79"/>
      <c r="AM478" s="79"/>
      <c r="AN478" s="79"/>
      <c r="AO478" s="79"/>
      <c r="AP478" s="79"/>
    </row>
    <row r="479" spans="5:42" x14ac:dyDescent="0.25">
      <c r="F479" s="72" t="s">
        <v>231</v>
      </c>
      <c r="G479" s="28" t="s">
        <v>342</v>
      </c>
      <c r="J479" s="79"/>
      <c r="K479" s="79"/>
      <c r="L479" s="79"/>
      <c r="M479" s="79"/>
      <c r="N479" s="79"/>
      <c r="O479" s="79"/>
      <c r="P479" s="79"/>
      <c r="Q479" s="79"/>
      <c r="R479" s="79"/>
      <c r="S479" s="92">
        <f t="shared" ref="S479:T479" si="139">S446 * (S424 + S435)</f>
        <v>1.1842008026440347</v>
      </c>
      <c r="T479" s="101">
        <f t="shared" si="139"/>
        <v>1.1129107937217262</v>
      </c>
      <c r="U479" s="79"/>
      <c r="V479" s="79"/>
      <c r="W479" s="79"/>
      <c r="X479" s="79"/>
      <c r="Y479" s="79"/>
      <c r="Z479" s="79"/>
      <c r="AA479" s="79"/>
      <c r="AB479" s="79"/>
      <c r="AC479" s="79"/>
      <c r="AD479" s="79"/>
      <c r="AE479" s="79"/>
      <c r="AF479" s="79"/>
      <c r="AG479" s="79"/>
      <c r="AH479" s="79"/>
      <c r="AI479" s="79"/>
      <c r="AJ479" s="79"/>
      <c r="AK479" s="79"/>
      <c r="AL479" s="79"/>
      <c r="AM479" s="79"/>
      <c r="AN479" s="79"/>
      <c r="AO479" s="79"/>
      <c r="AP479" s="79"/>
    </row>
    <row r="480" spans="5:42" x14ac:dyDescent="0.25">
      <c r="F480" s="72" t="s">
        <v>232</v>
      </c>
      <c r="G480" s="28" t="s">
        <v>342</v>
      </c>
      <c r="J480" s="79"/>
      <c r="K480" s="79"/>
      <c r="L480" s="79"/>
      <c r="M480" s="79"/>
      <c r="N480" s="79"/>
      <c r="O480" s="79"/>
      <c r="P480" s="79"/>
      <c r="Q480" s="79"/>
      <c r="R480" s="79"/>
      <c r="S480" s="92">
        <f t="shared" ref="S480:T480" si="140">S447 * (S425 + S436)</f>
        <v>0</v>
      </c>
      <c r="T480" s="101">
        <f t="shared" si="140"/>
        <v>0</v>
      </c>
      <c r="U480" s="79"/>
      <c r="V480" s="79"/>
      <c r="W480" s="79"/>
      <c r="X480" s="79"/>
      <c r="Y480" s="79"/>
      <c r="Z480" s="79"/>
      <c r="AA480" s="79"/>
      <c r="AB480" s="79"/>
      <c r="AC480" s="79"/>
      <c r="AD480" s="79"/>
      <c r="AE480" s="79"/>
      <c r="AF480" s="79"/>
      <c r="AG480" s="79"/>
      <c r="AH480" s="79"/>
      <c r="AI480" s="79"/>
      <c r="AJ480" s="79"/>
      <c r="AK480" s="79"/>
      <c r="AL480" s="79"/>
      <c r="AM480" s="79"/>
      <c r="AN480" s="79"/>
      <c r="AO480" s="79"/>
      <c r="AP480" s="79"/>
    </row>
    <row r="481" spans="3:44" x14ac:dyDescent="0.25">
      <c r="F481" s="72" t="s">
        <v>233</v>
      </c>
      <c r="G481" s="28" t="s">
        <v>342</v>
      </c>
      <c r="J481" s="79"/>
      <c r="K481" s="79"/>
      <c r="L481" s="79"/>
      <c r="M481" s="79"/>
      <c r="N481" s="79"/>
      <c r="O481" s="79"/>
      <c r="P481" s="79"/>
      <c r="Q481" s="79"/>
      <c r="R481" s="79"/>
      <c r="S481" s="92">
        <f t="shared" ref="S481:T481" si="141">S448 * (S426 + S437)</f>
        <v>1.1842008026440347</v>
      </c>
      <c r="T481" s="101">
        <f t="shared" si="141"/>
        <v>1.1129107937217262</v>
      </c>
      <c r="U481" s="79"/>
      <c r="V481" s="79"/>
      <c r="W481" s="79"/>
      <c r="X481" s="79"/>
      <c r="Y481" s="79"/>
      <c r="Z481" s="79"/>
      <c r="AA481" s="79"/>
      <c r="AB481" s="79"/>
      <c r="AC481" s="79"/>
      <c r="AD481" s="79"/>
      <c r="AE481" s="79"/>
      <c r="AF481" s="79"/>
      <c r="AG481" s="79"/>
      <c r="AH481" s="79"/>
      <c r="AI481" s="79"/>
      <c r="AJ481" s="79"/>
      <c r="AK481" s="79"/>
      <c r="AL481" s="79"/>
      <c r="AM481" s="79"/>
      <c r="AN481" s="79"/>
      <c r="AO481" s="79"/>
      <c r="AP481" s="79"/>
    </row>
    <row r="482" spans="3:44" x14ac:dyDescent="0.25">
      <c r="F482" s="72" t="s">
        <v>234</v>
      </c>
      <c r="G482" s="28" t="s">
        <v>342</v>
      </c>
      <c r="J482" s="79"/>
      <c r="K482" s="79"/>
      <c r="L482" s="79"/>
      <c r="M482" s="79"/>
      <c r="N482" s="79"/>
      <c r="O482" s="79"/>
      <c r="P482" s="79"/>
      <c r="Q482" s="79"/>
      <c r="R482" s="79"/>
      <c r="S482" s="92">
        <f t="shared" ref="S482:T482" si="142">S449 * (S427 + S438)</f>
        <v>1.1842008026440347</v>
      </c>
      <c r="T482" s="101">
        <f t="shared" si="142"/>
        <v>1.1129107937217262</v>
      </c>
      <c r="U482" s="79"/>
      <c r="V482" s="79"/>
      <c r="W482" s="79"/>
      <c r="X482" s="79"/>
      <c r="Y482" s="79"/>
      <c r="Z482" s="79"/>
      <c r="AA482" s="79"/>
      <c r="AB482" s="79"/>
      <c r="AC482" s="79"/>
      <c r="AD482" s="79"/>
      <c r="AE482" s="79"/>
      <c r="AF482" s="79"/>
      <c r="AG482" s="79"/>
      <c r="AH482" s="79"/>
      <c r="AI482" s="79"/>
      <c r="AJ482" s="79"/>
      <c r="AK482" s="79"/>
      <c r="AL482" s="79"/>
      <c r="AM482" s="79"/>
      <c r="AN482" s="79"/>
      <c r="AO482" s="79"/>
      <c r="AP482" s="79"/>
    </row>
    <row r="483" spans="3:44" x14ac:dyDescent="0.25">
      <c r="F483" s="80" t="s">
        <v>235</v>
      </c>
      <c r="G483" s="67" t="s">
        <v>342</v>
      </c>
      <c r="H483" s="37"/>
      <c r="I483" s="37"/>
      <c r="J483" s="81"/>
      <c r="K483" s="81"/>
      <c r="L483" s="81"/>
      <c r="M483" s="81"/>
      <c r="N483" s="81"/>
      <c r="O483" s="81"/>
      <c r="P483" s="81"/>
      <c r="Q483" s="81"/>
      <c r="R483" s="81"/>
      <c r="S483" s="82">
        <f t="shared" ref="S483:T483" si="143">S450 * (S428 + S439)</f>
        <v>1.1842008026440347</v>
      </c>
      <c r="T483" s="103">
        <f t="shared" si="143"/>
        <v>1.1129107937217262</v>
      </c>
      <c r="U483" s="81"/>
      <c r="V483" s="81"/>
      <c r="W483" s="81"/>
      <c r="X483" s="81"/>
      <c r="Y483" s="81"/>
      <c r="Z483" s="81"/>
      <c r="AA483" s="81"/>
      <c r="AB483" s="81"/>
      <c r="AC483" s="81"/>
      <c r="AD483" s="81"/>
      <c r="AE483" s="81"/>
      <c r="AF483" s="81"/>
      <c r="AG483" s="81"/>
      <c r="AH483" s="81"/>
      <c r="AI483" s="81"/>
      <c r="AJ483" s="81"/>
      <c r="AK483" s="81"/>
      <c r="AL483" s="81"/>
      <c r="AM483" s="81"/>
      <c r="AN483" s="81"/>
      <c r="AO483" s="81"/>
      <c r="AP483" s="81"/>
    </row>
    <row r="484" spans="3:44" x14ac:dyDescent="0.25">
      <c r="E484" s="167"/>
      <c r="F484" s="13"/>
      <c r="G484" s="28"/>
      <c r="J484" s="183"/>
      <c r="K484" s="183"/>
      <c r="L484" s="183"/>
      <c r="M484" s="183"/>
      <c r="N484" s="183"/>
      <c r="O484" s="183"/>
      <c r="P484" s="183"/>
      <c r="Q484" s="183"/>
      <c r="R484" s="183"/>
      <c r="S484" s="183"/>
      <c r="T484" s="183"/>
      <c r="U484" s="183"/>
      <c r="V484" s="183"/>
      <c r="W484" s="183"/>
      <c r="X484" s="183"/>
      <c r="Y484" s="183"/>
      <c r="Z484" s="183"/>
      <c r="AA484" s="183"/>
      <c r="AB484" s="183"/>
      <c r="AC484" s="183"/>
      <c r="AD484" s="183"/>
      <c r="AE484" s="183"/>
      <c r="AF484" s="183"/>
      <c r="AG484" s="183"/>
      <c r="AH484" s="183"/>
      <c r="AI484" s="183"/>
      <c r="AJ484" s="183"/>
      <c r="AK484" s="183"/>
      <c r="AL484" s="183"/>
      <c r="AM484" s="183"/>
      <c r="AN484" s="183"/>
      <c r="AO484" s="183"/>
      <c r="AP484" s="183"/>
    </row>
    <row r="485" spans="3:44" x14ac:dyDescent="0.25">
      <c r="C485" s="31" t="str">
        <f ca="1">INDEX('Version control'!$H$34:$H$56,MATCH($A$1,'Version control'!$F$34:$F$56,0),1)&amp;"-Q: Final correction factors for Paragraph 72A adjustment"</f>
        <v>Section 105-Q: Final correction factors for Paragraph 72A adjustment</v>
      </c>
      <c r="D485" s="31"/>
      <c r="E485" s="31"/>
      <c r="F485" s="31"/>
      <c r="G485" s="31"/>
      <c r="H485" s="31"/>
      <c r="I485" s="31"/>
      <c r="J485" s="93"/>
      <c r="K485" s="93"/>
      <c r="L485" s="93"/>
      <c r="M485" s="93"/>
      <c r="N485" s="93"/>
      <c r="O485" s="93"/>
      <c r="P485" s="93"/>
      <c r="Q485" s="93"/>
      <c r="R485" s="93"/>
      <c r="S485" s="93"/>
      <c r="T485" s="93"/>
      <c r="U485" s="93"/>
      <c r="V485" s="93"/>
      <c r="W485" s="93"/>
      <c r="X485" s="93"/>
      <c r="Y485" s="93"/>
      <c r="Z485" s="93"/>
      <c r="AA485" s="93"/>
      <c r="AB485" s="93"/>
      <c r="AC485" s="93"/>
      <c r="AD485" s="93"/>
      <c r="AE485" s="93"/>
      <c r="AF485" s="93"/>
      <c r="AG485" s="93"/>
      <c r="AH485" s="93"/>
      <c r="AI485" s="93"/>
      <c r="AJ485" s="93"/>
      <c r="AK485" s="93"/>
      <c r="AL485" s="93"/>
      <c r="AM485" s="93"/>
      <c r="AN485" s="93"/>
      <c r="AO485" s="93"/>
      <c r="AP485" s="93"/>
      <c r="AQ485" s="31"/>
      <c r="AR485" s="31"/>
    </row>
    <row r="486" spans="3:44" x14ac:dyDescent="0.25">
      <c r="D486" s="32"/>
      <c r="J486" s="92"/>
      <c r="K486" s="92"/>
      <c r="L486" s="92"/>
      <c r="M486" s="92"/>
      <c r="N486" s="92"/>
      <c r="O486" s="92"/>
      <c r="P486" s="92"/>
      <c r="Q486" s="92"/>
      <c r="R486" s="92"/>
      <c r="S486" s="92"/>
      <c r="T486" s="92"/>
      <c r="U486" s="92"/>
      <c r="V486" s="92"/>
      <c r="W486" s="92"/>
      <c r="X486" s="92"/>
      <c r="Y486" s="92"/>
      <c r="Z486" s="92"/>
      <c r="AA486" s="92"/>
      <c r="AB486" s="92"/>
      <c r="AC486" s="92"/>
      <c r="AD486" s="92"/>
      <c r="AE486" s="92"/>
      <c r="AF486" s="92"/>
      <c r="AG486" s="92"/>
      <c r="AH486" s="92"/>
      <c r="AI486" s="92"/>
      <c r="AJ486" s="92"/>
      <c r="AK486" s="92"/>
      <c r="AL486" s="92"/>
      <c r="AM486" s="92"/>
      <c r="AN486" s="92"/>
      <c r="AO486" s="92"/>
      <c r="AP486" s="92"/>
    </row>
    <row r="487" spans="3:44" x14ac:dyDescent="0.25">
      <c r="E487" s="32" t="s">
        <v>599</v>
      </c>
      <c r="J487" s="92"/>
      <c r="K487" s="92"/>
      <c r="L487" s="92"/>
      <c r="M487" s="92"/>
      <c r="N487" s="92"/>
      <c r="O487" s="92"/>
      <c r="P487" s="92"/>
      <c r="Q487" s="92"/>
      <c r="R487" s="92"/>
      <c r="S487" s="92"/>
      <c r="T487" s="92"/>
      <c r="U487" s="92"/>
      <c r="V487" s="92"/>
      <c r="W487" s="92"/>
      <c r="X487" s="92"/>
      <c r="Y487" s="92"/>
      <c r="Z487" s="92"/>
      <c r="AA487" s="92"/>
      <c r="AB487" s="92"/>
      <c r="AC487" s="92"/>
      <c r="AD487" s="92"/>
      <c r="AE487" s="92"/>
      <c r="AF487" s="92"/>
      <c r="AG487" s="92"/>
      <c r="AH487" s="92"/>
      <c r="AI487" s="92"/>
      <c r="AJ487" s="92"/>
      <c r="AK487" s="92"/>
      <c r="AL487" s="92"/>
      <c r="AM487" s="92"/>
      <c r="AN487" s="92"/>
      <c r="AO487" s="92"/>
      <c r="AP487" s="92"/>
    </row>
    <row r="488" spans="3:44" x14ac:dyDescent="0.25">
      <c r="F488" s="78" t="s">
        <v>227</v>
      </c>
      <c r="G488" s="64" t="s">
        <v>342</v>
      </c>
      <c r="H488" s="132"/>
      <c r="I488" s="23"/>
      <c r="J488" s="129">
        <f>IF(J453 + J464 + J475 = 0, 1, J453 + J464 + J475)</f>
        <v>0.99997955224512836</v>
      </c>
      <c r="K488" s="129">
        <f t="shared" ref="K488:AP488" si="144">IF(K453 + K464 + K475 = 0, 1, K453 + K464 + K475)</f>
        <v>0.99997955224512836</v>
      </c>
      <c r="L488" s="129">
        <f t="shared" si="144"/>
        <v>0.99997955224512836</v>
      </c>
      <c r="M488" s="129">
        <f t="shared" si="144"/>
        <v>0.99301809186809564</v>
      </c>
      <c r="N488" s="129">
        <f t="shared" si="144"/>
        <v>0.99301809186809564</v>
      </c>
      <c r="O488" s="129">
        <f t="shared" si="144"/>
        <v>0.99301809186809564</v>
      </c>
      <c r="P488" s="129">
        <f t="shared" si="144"/>
        <v>1</v>
      </c>
      <c r="Q488" s="129">
        <f t="shared" si="144"/>
        <v>1</v>
      </c>
      <c r="R488" s="129">
        <f t="shared" si="144"/>
        <v>1</v>
      </c>
      <c r="S488" s="129">
        <f t="shared" si="144"/>
        <v>1.1860723903244552</v>
      </c>
      <c r="T488" s="129">
        <f t="shared" si="144"/>
        <v>1.1132949567559496</v>
      </c>
      <c r="U488" s="129">
        <f t="shared" si="144"/>
        <v>1</v>
      </c>
      <c r="V488" s="129">
        <f t="shared" si="144"/>
        <v>1</v>
      </c>
      <c r="W488" s="129">
        <f t="shared" si="144"/>
        <v>1</v>
      </c>
      <c r="X488" s="129">
        <f t="shared" si="144"/>
        <v>1</v>
      </c>
      <c r="Y488" s="129">
        <f t="shared" si="144"/>
        <v>1</v>
      </c>
      <c r="Z488" s="129">
        <f t="shared" si="144"/>
        <v>1</v>
      </c>
      <c r="AA488" s="129">
        <f t="shared" si="144"/>
        <v>1</v>
      </c>
      <c r="AB488" s="129">
        <f t="shared" si="144"/>
        <v>1</v>
      </c>
      <c r="AC488" s="129">
        <f t="shared" si="144"/>
        <v>1</v>
      </c>
      <c r="AD488" s="129">
        <f t="shared" si="144"/>
        <v>1</v>
      </c>
      <c r="AE488" s="129">
        <f t="shared" si="144"/>
        <v>1</v>
      </c>
      <c r="AF488" s="129">
        <f t="shared" si="144"/>
        <v>1</v>
      </c>
      <c r="AG488" s="129">
        <f t="shared" si="144"/>
        <v>1</v>
      </c>
      <c r="AH488" s="129">
        <f t="shared" si="144"/>
        <v>1</v>
      </c>
      <c r="AI488" s="129">
        <f t="shared" si="144"/>
        <v>1</v>
      </c>
      <c r="AJ488" s="129">
        <f t="shared" si="144"/>
        <v>1</v>
      </c>
      <c r="AK488" s="129">
        <f t="shared" si="144"/>
        <v>1</v>
      </c>
      <c r="AL488" s="129">
        <f t="shared" si="144"/>
        <v>1</v>
      </c>
      <c r="AM488" s="129">
        <f t="shared" si="144"/>
        <v>1</v>
      </c>
      <c r="AN488" s="129">
        <f t="shared" si="144"/>
        <v>1</v>
      </c>
      <c r="AO488" s="129">
        <f t="shared" si="144"/>
        <v>1</v>
      </c>
      <c r="AP488" s="129">
        <f t="shared" si="144"/>
        <v>1</v>
      </c>
    </row>
    <row r="489" spans="3:44" x14ac:dyDescent="0.25">
      <c r="F489" s="72" t="s">
        <v>228</v>
      </c>
      <c r="G489" s="28" t="s">
        <v>342</v>
      </c>
      <c r="H489" s="63"/>
      <c r="J489" s="101">
        <f t="shared" ref="J489:AP489" si="145">IF(J454 + J465 + J476 = 0, 1, J454 + J465 + J476)</f>
        <v>1</v>
      </c>
      <c r="K489" s="101">
        <f t="shared" si="145"/>
        <v>1</v>
      </c>
      <c r="L489" s="101">
        <f t="shared" si="145"/>
        <v>1</v>
      </c>
      <c r="M489" s="101">
        <f t="shared" si="145"/>
        <v>1</v>
      </c>
      <c r="N489" s="101">
        <f t="shared" si="145"/>
        <v>1</v>
      </c>
      <c r="O489" s="101">
        <f t="shared" si="145"/>
        <v>1</v>
      </c>
      <c r="P489" s="101">
        <f t="shared" si="145"/>
        <v>1</v>
      </c>
      <c r="Q489" s="101">
        <f t="shared" si="145"/>
        <v>1</v>
      </c>
      <c r="R489" s="101">
        <f t="shared" si="145"/>
        <v>1</v>
      </c>
      <c r="S489" s="101">
        <f t="shared" si="145"/>
        <v>1</v>
      </c>
      <c r="T489" s="101">
        <f t="shared" si="145"/>
        <v>1</v>
      </c>
      <c r="U489" s="101">
        <f t="shared" si="145"/>
        <v>1</v>
      </c>
      <c r="V489" s="101">
        <f t="shared" si="145"/>
        <v>1</v>
      </c>
      <c r="W489" s="101">
        <f t="shared" si="145"/>
        <v>1</v>
      </c>
      <c r="X489" s="101">
        <f t="shared" si="145"/>
        <v>1</v>
      </c>
      <c r="Y489" s="101">
        <f t="shared" si="145"/>
        <v>1</v>
      </c>
      <c r="Z489" s="101">
        <f t="shared" si="145"/>
        <v>1</v>
      </c>
      <c r="AA489" s="101">
        <f t="shared" si="145"/>
        <v>1</v>
      </c>
      <c r="AB489" s="101">
        <f t="shared" si="145"/>
        <v>1</v>
      </c>
      <c r="AC489" s="101">
        <f t="shared" si="145"/>
        <v>1</v>
      </c>
      <c r="AD489" s="101">
        <f t="shared" si="145"/>
        <v>1</v>
      </c>
      <c r="AE489" s="101">
        <f t="shared" si="145"/>
        <v>1</v>
      </c>
      <c r="AF489" s="101">
        <f t="shared" si="145"/>
        <v>1</v>
      </c>
      <c r="AG489" s="101">
        <f t="shared" si="145"/>
        <v>1</v>
      </c>
      <c r="AH489" s="101">
        <f t="shared" si="145"/>
        <v>1</v>
      </c>
      <c r="AI489" s="101">
        <f t="shared" si="145"/>
        <v>1</v>
      </c>
      <c r="AJ489" s="101">
        <f t="shared" si="145"/>
        <v>1</v>
      </c>
      <c r="AK489" s="101">
        <f t="shared" si="145"/>
        <v>1</v>
      </c>
      <c r="AL489" s="101">
        <f t="shared" si="145"/>
        <v>1</v>
      </c>
      <c r="AM489" s="101">
        <f t="shared" si="145"/>
        <v>1</v>
      </c>
      <c r="AN489" s="101">
        <f t="shared" si="145"/>
        <v>1</v>
      </c>
      <c r="AO489" s="101">
        <f t="shared" si="145"/>
        <v>1</v>
      </c>
      <c r="AP489" s="101">
        <f t="shared" si="145"/>
        <v>1</v>
      </c>
    </row>
    <row r="490" spans="3:44" x14ac:dyDescent="0.25">
      <c r="F490" s="72" t="s">
        <v>229</v>
      </c>
      <c r="G490" s="28" t="s">
        <v>342</v>
      </c>
      <c r="H490" s="63"/>
      <c r="J490" s="101">
        <f t="shared" ref="J490:AP490" si="146">IF(J455 + J466 + J477 = 0, 1, J455 + J466 + J477)</f>
        <v>1</v>
      </c>
      <c r="K490" s="101">
        <f t="shared" si="146"/>
        <v>1</v>
      </c>
      <c r="L490" s="101">
        <f t="shared" si="146"/>
        <v>1</v>
      </c>
      <c r="M490" s="101">
        <f t="shared" si="146"/>
        <v>1</v>
      </c>
      <c r="N490" s="101">
        <f t="shared" si="146"/>
        <v>1</v>
      </c>
      <c r="O490" s="101">
        <f t="shared" si="146"/>
        <v>1</v>
      </c>
      <c r="P490" s="101">
        <f t="shared" si="146"/>
        <v>1</v>
      </c>
      <c r="Q490" s="101">
        <f t="shared" si="146"/>
        <v>1</v>
      </c>
      <c r="R490" s="101">
        <f t="shared" si="146"/>
        <v>1</v>
      </c>
      <c r="S490" s="101">
        <f t="shared" si="146"/>
        <v>1</v>
      </c>
      <c r="T490" s="101">
        <f t="shared" si="146"/>
        <v>1</v>
      </c>
      <c r="U490" s="101">
        <f t="shared" si="146"/>
        <v>1</v>
      </c>
      <c r="V490" s="101">
        <f t="shared" si="146"/>
        <v>1</v>
      </c>
      <c r="W490" s="101">
        <f t="shared" si="146"/>
        <v>1</v>
      </c>
      <c r="X490" s="101">
        <f t="shared" si="146"/>
        <v>1</v>
      </c>
      <c r="Y490" s="101">
        <f t="shared" si="146"/>
        <v>1</v>
      </c>
      <c r="Z490" s="101">
        <f t="shared" si="146"/>
        <v>1</v>
      </c>
      <c r="AA490" s="101">
        <f t="shared" si="146"/>
        <v>1</v>
      </c>
      <c r="AB490" s="101">
        <f t="shared" si="146"/>
        <v>1</v>
      </c>
      <c r="AC490" s="101">
        <f t="shared" si="146"/>
        <v>1</v>
      </c>
      <c r="AD490" s="101">
        <f t="shared" si="146"/>
        <v>1</v>
      </c>
      <c r="AE490" s="101">
        <f t="shared" si="146"/>
        <v>1</v>
      </c>
      <c r="AF490" s="101">
        <f t="shared" si="146"/>
        <v>1</v>
      </c>
      <c r="AG490" s="101">
        <f t="shared" si="146"/>
        <v>1</v>
      </c>
      <c r="AH490" s="101">
        <f t="shared" si="146"/>
        <v>1</v>
      </c>
      <c r="AI490" s="101">
        <f t="shared" si="146"/>
        <v>1</v>
      </c>
      <c r="AJ490" s="101">
        <f t="shared" si="146"/>
        <v>1</v>
      </c>
      <c r="AK490" s="101">
        <f t="shared" si="146"/>
        <v>1</v>
      </c>
      <c r="AL490" s="101">
        <f t="shared" si="146"/>
        <v>1</v>
      </c>
      <c r="AM490" s="101">
        <f t="shared" si="146"/>
        <v>1</v>
      </c>
      <c r="AN490" s="101">
        <f t="shared" si="146"/>
        <v>1</v>
      </c>
      <c r="AO490" s="101">
        <f t="shared" si="146"/>
        <v>1</v>
      </c>
      <c r="AP490" s="101">
        <f t="shared" si="146"/>
        <v>1</v>
      </c>
    </row>
    <row r="491" spans="3:44" x14ac:dyDescent="0.25">
      <c r="F491" s="72" t="s">
        <v>230</v>
      </c>
      <c r="G491" s="28" t="s">
        <v>342</v>
      </c>
      <c r="H491" s="63"/>
      <c r="J491" s="101">
        <f t="shared" ref="J491:AP491" si="147">IF(J456 + J467 + J478 = 0, 1, J456 + J467 + J478)</f>
        <v>0.99998014069758434</v>
      </c>
      <c r="K491" s="101">
        <f t="shared" si="147"/>
        <v>0.99998014069758434</v>
      </c>
      <c r="L491" s="101">
        <f t="shared" si="147"/>
        <v>0.99998014069758434</v>
      </c>
      <c r="M491" s="101">
        <f t="shared" si="147"/>
        <v>0.99306317530658395</v>
      </c>
      <c r="N491" s="101">
        <f t="shared" si="147"/>
        <v>0.99306317530658395</v>
      </c>
      <c r="O491" s="101">
        <f t="shared" si="147"/>
        <v>0.99306317530658395</v>
      </c>
      <c r="P491" s="101">
        <f t="shared" si="147"/>
        <v>1</v>
      </c>
      <c r="Q491" s="101">
        <f t="shared" si="147"/>
        <v>1</v>
      </c>
      <c r="R491" s="101">
        <f t="shared" si="147"/>
        <v>1</v>
      </c>
      <c r="S491" s="101">
        <f t="shared" si="147"/>
        <v>1.1842008026440347</v>
      </c>
      <c r="T491" s="101">
        <f t="shared" si="147"/>
        <v>1.1129107937217262</v>
      </c>
      <c r="U491" s="101">
        <f t="shared" si="147"/>
        <v>1</v>
      </c>
      <c r="V491" s="101">
        <f t="shared" si="147"/>
        <v>1</v>
      </c>
      <c r="W491" s="101">
        <f t="shared" si="147"/>
        <v>1</v>
      </c>
      <c r="X491" s="101">
        <f t="shared" si="147"/>
        <v>1</v>
      </c>
      <c r="Y491" s="101">
        <f t="shared" si="147"/>
        <v>1</v>
      </c>
      <c r="Z491" s="101">
        <f t="shared" si="147"/>
        <v>1</v>
      </c>
      <c r="AA491" s="101">
        <f t="shared" si="147"/>
        <v>1</v>
      </c>
      <c r="AB491" s="101">
        <f t="shared" si="147"/>
        <v>1</v>
      </c>
      <c r="AC491" s="101">
        <f t="shared" si="147"/>
        <v>1</v>
      </c>
      <c r="AD491" s="101">
        <f t="shared" si="147"/>
        <v>1</v>
      </c>
      <c r="AE491" s="101">
        <f t="shared" si="147"/>
        <v>1</v>
      </c>
      <c r="AF491" s="101">
        <f t="shared" si="147"/>
        <v>1</v>
      </c>
      <c r="AG491" s="101">
        <f t="shared" si="147"/>
        <v>1</v>
      </c>
      <c r="AH491" s="101">
        <f t="shared" si="147"/>
        <v>1</v>
      </c>
      <c r="AI491" s="101">
        <f t="shared" si="147"/>
        <v>1</v>
      </c>
      <c r="AJ491" s="101">
        <f t="shared" si="147"/>
        <v>1</v>
      </c>
      <c r="AK491" s="101">
        <f t="shared" si="147"/>
        <v>1</v>
      </c>
      <c r="AL491" s="101">
        <f t="shared" si="147"/>
        <v>1</v>
      </c>
      <c r="AM491" s="101">
        <f t="shared" si="147"/>
        <v>1</v>
      </c>
      <c r="AN491" s="101">
        <f t="shared" si="147"/>
        <v>1</v>
      </c>
      <c r="AO491" s="101">
        <f t="shared" si="147"/>
        <v>1</v>
      </c>
      <c r="AP491" s="101">
        <f t="shared" si="147"/>
        <v>1</v>
      </c>
    </row>
    <row r="492" spans="3:44" x14ac:dyDescent="0.25">
      <c r="F492" s="72" t="s">
        <v>231</v>
      </c>
      <c r="G492" s="28" t="s">
        <v>342</v>
      </c>
      <c r="H492" s="63"/>
      <c r="J492" s="101">
        <f t="shared" ref="J492:AP492" si="148">IF(J457 + J468 + J479 = 0, 1, J457 + J468 + J479)</f>
        <v>0.99998014069758434</v>
      </c>
      <c r="K492" s="101">
        <f t="shared" si="148"/>
        <v>0.99998014069758434</v>
      </c>
      <c r="L492" s="101">
        <f t="shared" si="148"/>
        <v>0.99998014069758434</v>
      </c>
      <c r="M492" s="101">
        <f t="shared" si="148"/>
        <v>0.99306317530658395</v>
      </c>
      <c r="N492" s="101">
        <f t="shared" si="148"/>
        <v>0.99306317530658395</v>
      </c>
      <c r="O492" s="101">
        <f t="shared" si="148"/>
        <v>0.99306317530658395</v>
      </c>
      <c r="P492" s="101">
        <f t="shared" si="148"/>
        <v>1</v>
      </c>
      <c r="Q492" s="101">
        <f t="shared" si="148"/>
        <v>1</v>
      </c>
      <c r="R492" s="101">
        <f t="shared" si="148"/>
        <v>1</v>
      </c>
      <c r="S492" s="101">
        <f t="shared" si="148"/>
        <v>1.1842008026440347</v>
      </c>
      <c r="T492" s="101">
        <f t="shared" si="148"/>
        <v>1.1129107937217262</v>
      </c>
      <c r="U492" s="101">
        <f t="shared" si="148"/>
        <v>1</v>
      </c>
      <c r="V492" s="101">
        <f t="shared" si="148"/>
        <v>1</v>
      </c>
      <c r="W492" s="101">
        <f t="shared" si="148"/>
        <v>1</v>
      </c>
      <c r="X492" s="101">
        <f t="shared" si="148"/>
        <v>1</v>
      </c>
      <c r="Y492" s="101">
        <f t="shared" si="148"/>
        <v>1</v>
      </c>
      <c r="Z492" s="101">
        <f t="shared" si="148"/>
        <v>1</v>
      </c>
      <c r="AA492" s="101">
        <f t="shared" si="148"/>
        <v>1</v>
      </c>
      <c r="AB492" s="101">
        <f t="shared" si="148"/>
        <v>1</v>
      </c>
      <c r="AC492" s="101">
        <f t="shared" si="148"/>
        <v>1</v>
      </c>
      <c r="AD492" s="101">
        <f t="shared" si="148"/>
        <v>1</v>
      </c>
      <c r="AE492" s="101">
        <f t="shared" si="148"/>
        <v>1</v>
      </c>
      <c r="AF492" s="101">
        <f t="shared" si="148"/>
        <v>1</v>
      </c>
      <c r="AG492" s="101">
        <f t="shared" si="148"/>
        <v>1</v>
      </c>
      <c r="AH492" s="101">
        <f t="shared" si="148"/>
        <v>1</v>
      </c>
      <c r="AI492" s="101">
        <f t="shared" si="148"/>
        <v>1</v>
      </c>
      <c r="AJ492" s="101">
        <f t="shared" si="148"/>
        <v>1</v>
      </c>
      <c r="AK492" s="101">
        <f t="shared" si="148"/>
        <v>1</v>
      </c>
      <c r="AL492" s="101">
        <f t="shared" si="148"/>
        <v>1</v>
      </c>
      <c r="AM492" s="101">
        <f t="shared" si="148"/>
        <v>1</v>
      </c>
      <c r="AN492" s="101">
        <f t="shared" si="148"/>
        <v>1</v>
      </c>
      <c r="AO492" s="101">
        <f t="shared" si="148"/>
        <v>1</v>
      </c>
      <c r="AP492" s="101">
        <f t="shared" si="148"/>
        <v>1</v>
      </c>
    </row>
    <row r="493" spans="3:44" x14ac:dyDescent="0.25">
      <c r="F493" s="72" t="s">
        <v>232</v>
      </c>
      <c r="G493" s="28" t="s">
        <v>342</v>
      </c>
      <c r="H493" s="63"/>
      <c r="J493" s="101">
        <f t="shared" ref="J493:AP493" si="149">IF(J458 + J469 + J480 = 0, 1, J458 + J469 + J480)</f>
        <v>1</v>
      </c>
      <c r="K493" s="101">
        <f t="shared" si="149"/>
        <v>1</v>
      </c>
      <c r="L493" s="101">
        <f t="shared" si="149"/>
        <v>1</v>
      </c>
      <c r="M493" s="101">
        <f t="shared" si="149"/>
        <v>1</v>
      </c>
      <c r="N493" s="101">
        <f t="shared" si="149"/>
        <v>1</v>
      </c>
      <c r="O493" s="101">
        <f t="shared" si="149"/>
        <v>1</v>
      </c>
      <c r="P493" s="101">
        <f t="shared" si="149"/>
        <v>1</v>
      </c>
      <c r="Q493" s="101">
        <f t="shared" si="149"/>
        <v>1</v>
      </c>
      <c r="R493" s="101">
        <f t="shared" si="149"/>
        <v>1</v>
      </c>
      <c r="S493" s="101">
        <f t="shared" si="149"/>
        <v>1</v>
      </c>
      <c r="T493" s="101">
        <f t="shared" si="149"/>
        <v>1</v>
      </c>
      <c r="U493" s="101">
        <f t="shared" si="149"/>
        <v>1</v>
      </c>
      <c r="V493" s="101">
        <f t="shared" si="149"/>
        <v>1</v>
      </c>
      <c r="W493" s="101">
        <f t="shared" si="149"/>
        <v>1</v>
      </c>
      <c r="X493" s="101">
        <f t="shared" si="149"/>
        <v>1</v>
      </c>
      <c r="Y493" s="101">
        <f t="shared" si="149"/>
        <v>1</v>
      </c>
      <c r="Z493" s="101">
        <f t="shared" si="149"/>
        <v>1</v>
      </c>
      <c r="AA493" s="101">
        <f t="shared" si="149"/>
        <v>1</v>
      </c>
      <c r="AB493" s="101">
        <f t="shared" si="149"/>
        <v>1</v>
      </c>
      <c r="AC493" s="101">
        <f t="shared" si="149"/>
        <v>1</v>
      </c>
      <c r="AD493" s="101">
        <f t="shared" si="149"/>
        <v>1</v>
      </c>
      <c r="AE493" s="101">
        <f t="shared" si="149"/>
        <v>1</v>
      </c>
      <c r="AF493" s="101">
        <f t="shared" si="149"/>
        <v>1</v>
      </c>
      <c r="AG493" s="101">
        <f t="shared" si="149"/>
        <v>1</v>
      </c>
      <c r="AH493" s="101">
        <f t="shared" si="149"/>
        <v>1</v>
      </c>
      <c r="AI493" s="101">
        <f t="shared" si="149"/>
        <v>1</v>
      </c>
      <c r="AJ493" s="101">
        <f t="shared" si="149"/>
        <v>1</v>
      </c>
      <c r="AK493" s="101">
        <f t="shared" si="149"/>
        <v>1</v>
      </c>
      <c r="AL493" s="101">
        <f t="shared" si="149"/>
        <v>1</v>
      </c>
      <c r="AM493" s="101">
        <f t="shared" si="149"/>
        <v>1</v>
      </c>
      <c r="AN493" s="101">
        <f t="shared" si="149"/>
        <v>1</v>
      </c>
      <c r="AO493" s="101">
        <f t="shared" si="149"/>
        <v>1</v>
      </c>
      <c r="AP493" s="101">
        <f t="shared" si="149"/>
        <v>1</v>
      </c>
    </row>
    <row r="494" spans="3:44" x14ac:dyDescent="0.25">
      <c r="F494" s="72" t="s">
        <v>233</v>
      </c>
      <c r="G494" s="28" t="s">
        <v>342</v>
      </c>
      <c r="H494" s="63"/>
      <c r="J494" s="101">
        <f t="shared" ref="J494:AP494" si="150">IF(J459 + J470 + J481 = 0, 1, J459 + J470 + J481)</f>
        <v>0.99998014069758434</v>
      </c>
      <c r="K494" s="101">
        <f t="shared" si="150"/>
        <v>0.99998014069758434</v>
      </c>
      <c r="L494" s="101">
        <f t="shared" si="150"/>
        <v>0.99998014069758434</v>
      </c>
      <c r="M494" s="101">
        <f t="shared" si="150"/>
        <v>0.99306317530658395</v>
      </c>
      <c r="N494" s="101">
        <f t="shared" si="150"/>
        <v>0.99306317530658395</v>
      </c>
      <c r="O494" s="101">
        <f t="shared" si="150"/>
        <v>0.99306317530658395</v>
      </c>
      <c r="P494" s="101">
        <f t="shared" si="150"/>
        <v>1</v>
      </c>
      <c r="Q494" s="101">
        <f t="shared" si="150"/>
        <v>1</v>
      </c>
      <c r="R494" s="101">
        <f t="shared" si="150"/>
        <v>1</v>
      </c>
      <c r="S494" s="101">
        <f t="shared" si="150"/>
        <v>1.1842008026440347</v>
      </c>
      <c r="T494" s="101">
        <f t="shared" si="150"/>
        <v>1.1129107937217262</v>
      </c>
      <c r="U494" s="101">
        <f t="shared" si="150"/>
        <v>1</v>
      </c>
      <c r="V494" s="101">
        <f t="shared" si="150"/>
        <v>1</v>
      </c>
      <c r="W494" s="101">
        <f t="shared" si="150"/>
        <v>1</v>
      </c>
      <c r="X494" s="101">
        <f t="shared" si="150"/>
        <v>1</v>
      </c>
      <c r="Y494" s="101">
        <f t="shared" si="150"/>
        <v>1</v>
      </c>
      <c r="Z494" s="101">
        <f t="shared" si="150"/>
        <v>1</v>
      </c>
      <c r="AA494" s="101">
        <f t="shared" si="150"/>
        <v>1</v>
      </c>
      <c r="AB494" s="101">
        <f t="shared" si="150"/>
        <v>1</v>
      </c>
      <c r="AC494" s="101">
        <f t="shared" si="150"/>
        <v>1</v>
      </c>
      <c r="AD494" s="101">
        <f t="shared" si="150"/>
        <v>1</v>
      </c>
      <c r="AE494" s="101">
        <f t="shared" si="150"/>
        <v>1</v>
      </c>
      <c r="AF494" s="101">
        <f t="shared" si="150"/>
        <v>1</v>
      </c>
      <c r="AG494" s="101">
        <f t="shared" si="150"/>
        <v>1</v>
      </c>
      <c r="AH494" s="101">
        <f t="shared" si="150"/>
        <v>1</v>
      </c>
      <c r="AI494" s="101">
        <f t="shared" si="150"/>
        <v>1</v>
      </c>
      <c r="AJ494" s="101">
        <f t="shared" si="150"/>
        <v>1</v>
      </c>
      <c r="AK494" s="101">
        <f t="shared" si="150"/>
        <v>1</v>
      </c>
      <c r="AL494" s="101">
        <f t="shared" si="150"/>
        <v>1</v>
      </c>
      <c r="AM494" s="101">
        <f t="shared" si="150"/>
        <v>1</v>
      </c>
      <c r="AN494" s="101">
        <f t="shared" si="150"/>
        <v>1</v>
      </c>
      <c r="AO494" s="101">
        <f t="shared" si="150"/>
        <v>1</v>
      </c>
      <c r="AP494" s="101">
        <f t="shared" si="150"/>
        <v>1</v>
      </c>
    </row>
    <row r="495" spans="3:44" x14ac:dyDescent="0.25">
      <c r="F495" s="72" t="s">
        <v>234</v>
      </c>
      <c r="G495" s="28" t="s">
        <v>342</v>
      </c>
      <c r="H495" s="63"/>
      <c r="J495" s="101">
        <f t="shared" ref="J495:AP495" si="151">IF(J460 + J471 + J482 = 0, 1, J460 + J471 + J482)</f>
        <v>0.99998014069758434</v>
      </c>
      <c r="K495" s="101">
        <f t="shared" si="151"/>
        <v>0.99998014069758434</v>
      </c>
      <c r="L495" s="101">
        <f t="shared" si="151"/>
        <v>0.99998014069758434</v>
      </c>
      <c r="M495" s="101">
        <f t="shared" si="151"/>
        <v>0.99306317530658395</v>
      </c>
      <c r="N495" s="101">
        <f t="shared" si="151"/>
        <v>0.99306317530658395</v>
      </c>
      <c r="O495" s="101">
        <f t="shared" si="151"/>
        <v>0.99306317530658395</v>
      </c>
      <c r="P495" s="101">
        <f t="shared" si="151"/>
        <v>1</v>
      </c>
      <c r="Q495" s="101">
        <f t="shared" si="151"/>
        <v>1</v>
      </c>
      <c r="R495" s="101">
        <f t="shared" si="151"/>
        <v>1</v>
      </c>
      <c r="S495" s="101">
        <f t="shared" si="151"/>
        <v>1.1842008026440347</v>
      </c>
      <c r="T495" s="101">
        <f t="shared" si="151"/>
        <v>1.1129107937217262</v>
      </c>
      <c r="U495" s="101">
        <f t="shared" si="151"/>
        <v>1</v>
      </c>
      <c r="V495" s="101">
        <f t="shared" si="151"/>
        <v>1</v>
      </c>
      <c r="W495" s="101">
        <f t="shared" si="151"/>
        <v>1</v>
      </c>
      <c r="X495" s="101">
        <f t="shared" si="151"/>
        <v>1</v>
      </c>
      <c r="Y495" s="101">
        <f t="shared" si="151"/>
        <v>1</v>
      </c>
      <c r="Z495" s="101">
        <f t="shared" si="151"/>
        <v>1</v>
      </c>
      <c r="AA495" s="101">
        <f t="shared" si="151"/>
        <v>1</v>
      </c>
      <c r="AB495" s="101">
        <f t="shared" si="151"/>
        <v>1</v>
      </c>
      <c r="AC495" s="101">
        <f t="shared" si="151"/>
        <v>1</v>
      </c>
      <c r="AD495" s="101">
        <f t="shared" si="151"/>
        <v>1</v>
      </c>
      <c r="AE495" s="101">
        <f t="shared" si="151"/>
        <v>1</v>
      </c>
      <c r="AF495" s="101">
        <f t="shared" si="151"/>
        <v>1</v>
      </c>
      <c r="AG495" s="101">
        <f t="shared" si="151"/>
        <v>1</v>
      </c>
      <c r="AH495" s="101">
        <f t="shared" si="151"/>
        <v>1</v>
      </c>
      <c r="AI495" s="101">
        <f t="shared" si="151"/>
        <v>1</v>
      </c>
      <c r="AJ495" s="101">
        <f t="shared" si="151"/>
        <v>1</v>
      </c>
      <c r="AK495" s="101">
        <f t="shared" si="151"/>
        <v>1</v>
      </c>
      <c r="AL495" s="101">
        <f t="shared" si="151"/>
        <v>1</v>
      </c>
      <c r="AM495" s="101">
        <f t="shared" si="151"/>
        <v>1</v>
      </c>
      <c r="AN495" s="101">
        <f t="shared" si="151"/>
        <v>1</v>
      </c>
      <c r="AO495" s="101">
        <f t="shared" si="151"/>
        <v>1</v>
      </c>
      <c r="AP495" s="101">
        <f t="shared" si="151"/>
        <v>1</v>
      </c>
    </row>
    <row r="496" spans="3:44" x14ac:dyDescent="0.25">
      <c r="F496" s="80" t="s">
        <v>235</v>
      </c>
      <c r="G496" s="67" t="s">
        <v>342</v>
      </c>
      <c r="H496" s="133"/>
      <c r="I496" s="37"/>
      <c r="J496" s="103">
        <f t="shared" ref="J496:AP496" si="152">IF(J461 + J472 + J483 = 0, 1, J461 + J472 + J483)</f>
        <v>0.99998014069758434</v>
      </c>
      <c r="K496" s="103">
        <f t="shared" si="152"/>
        <v>0.99998014069758434</v>
      </c>
      <c r="L496" s="103">
        <f t="shared" si="152"/>
        <v>0.99998014069758434</v>
      </c>
      <c r="M496" s="103">
        <f t="shared" si="152"/>
        <v>0.99306317530658395</v>
      </c>
      <c r="N496" s="103">
        <f t="shared" si="152"/>
        <v>0.99306317530658395</v>
      </c>
      <c r="O496" s="103">
        <f t="shared" si="152"/>
        <v>0.99306317530658395</v>
      </c>
      <c r="P496" s="103">
        <f t="shared" si="152"/>
        <v>1</v>
      </c>
      <c r="Q496" s="103">
        <f t="shared" si="152"/>
        <v>1</v>
      </c>
      <c r="R496" s="103">
        <f t="shared" si="152"/>
        <v>1</v>
      </c>
      <c r="S496" s="103">
        <f t="shared" si="152"/>
        <v>1.1842008026440347</v>
      </c>
      <c r="T496" s="103">
        <f t="shared" si="152"/>
        <v>1.1129107937217262</v>
      </c>
      <c r="U496" s="103">
        <f t="shared" si="152"/>
        <v>1</v>
      </c>
      <c r="V496" s="103">
        <f t="shared" si="152"/>
        <v>1</v>
      </c>
      <c r="W496" s="103">
        <f t="shared" si="152"/>
        <v>1</v>
      </c>
      <c r="X496" s="103">
        <f t="shared" si="152"/>
        <v>1</v>
      </c>
      <c r="Y496" s="103">
        <f t="shared" si="152"/>
        <v>1</v>
      </c>
      <c r="Z496" s="103">
        <f t="shared" si="152"/>
        <v>1</v>
      </c>
      <c r="AA496" s="103">
        <f t="shared" si="152"/>
        <v>1</v>
      </c>
      <c r="AB496" s="103">
        <f t="shared" si="152"/>
        <v>1</v>
      </c>
      <c r="AC496" s="103">
        <f t="shared" si="152"/>
        <v>1</v>
      </c>
      <c r="AD496" s="103">
        <f t="shared" si="152"/>
        <v>1</v>
      </c>
      <c r="AE496" s="103">
        <f t="shared" si="152"/>
        <v>1</v>
      </c>
      <c r="AF496" s="103">
        <f t="shared" si="152"/>
        <v>1</v>
      </c>
      <c r="AG496" s="103">
        <f t="shared" si="152"/>
        <v>1</v>
      </c>
      <c r="AH496" s="103">
        <f t="shared" si="152"/>
        <v>1</v>
      </c>
      <c r="AI496" s="103">
        <f t="shared" si="152"/>
        <v>1</v>
      </c>
      <c r="AJ496" s="103">
        <f t="shared" si="152"/>
        <v>1</v>
      </c>
      <c r="AK496" s="103">
        <f t="shared" si="152"/>
        <v>1</v>
      </c>
      <c r="AL496" s="103">
        <f t="shared" si="152"/>
        <v>1</v>
      </c>
      <c r="AM496" s="103">
        <f t="shared" si="152"/>
        <v>1</v>
      </c>
      <c r="AN496" s="103">
        <f t="shared" si="152"/>
        <v>1</v>
      </c>
      <c r="AO496" s="103">
        <f t="shared" si="152"/>
        <v>1</v>
      </c>
      <c r="AP496" s="103">
        <f t="shared" si="152"/>
        <v>1</v>
      </c>
    </row>
    <row r="497" spans="2:44" x14ac:dyDescent="0.25">
      <c r="F497" s="28"/>
      <c r="G497" s="28"/>
      <c r="J497" s="92"/>
      <c r="K497" s="92"/>
      <c r="L497" s="92"/>
      <c r="M497" s="92"/>
      <c r="N497" s="92"/>
      <c r="O497" s="92"/>
      <c r="P497" s="92"/>
      <c r="Q497" s="92"/>
      <c r="R497" s="92"/>
      <c r="S497" s="92"/>
      <c r="T497" s="92"/>
      <c r="U497" s="92"/>
      <c r="V497" s="92"/>
      <c r="W497" s="92"/>
      <c r="X497" s="92"/>
      <c r="Y497" s="92"/>
      <c r="Z497" s="92"/>
      <c r="AA497" s="92"/>
      <c r="AB497" s="92"/>
      <c r="AC497" s="92"/>
      <c r="AD497" s="92"/>
      <c r="AE497" s="92"/>
      <c r="AF497" s="92"/>
      <c r="AG497" s="92"/>
      <c r="AH497" s="92"/>
      <c r="AI497" s="92"/>
      <c r="AJ497" s="92"/>
      <c r="AK497" s="92"/>
      <c r="AL497" s="92"/>
      <c r="AM497" s="92"/>
      <c r="AN497" s="92"/>
      <c r="AO497" s="92"/>
      <c r="AP497" s="92"/>
    </row>
    <row r="498" spans="2:44" x14ac:dyDescent="0.25">
      <c r="B498" s="107" t="s">
        <v>600</v>
      </c>
      <c r="C498" s="108"/>
      <c r="D498" s="107"/>
      <c r="E498" s="107"/>
      <c r="F498" s="108"/>
      <c r="G498" s="108"/>
      <c r="H498" s="108"/>
      <c r="I498" s="108"/>
      <c r="J498" s="168"/>
      <c r="K498" s="168"/>
      <c r="L498" s="168"/>
      <c r="M498" s="168"/>
      <c r="N498" s="168"/>
      <c r="O498" s="168"/>
      <c r="P498" s="168"/>
      <c r="Q498" s="168"/>
      <c r="R498" s="168"/>
      <c r="S498" s="168"/>
      <c r="T498" s="168"/>
      <c r="U498" s="168"/>
      <c r="V498" s="168"/>
      <c r="W498" s="168"/>
      <c r="X498" s="168"/>
      <c r="Y498" s="168"/>
      <c r="Z498" s="168"/>
      <c r="AA498" s="168"/>
      <c r="AB498" s="168"/>
      <c r="AC498" s="168"/>
      <c r="AD498" s="168"/>
      <c r="AE498" s="168"/>
      <c r="AF498" s="168"/>
      <c r="AG498" s="168"/>
      <c r="AH498" s="168"/>
      <c r="AI498" s="168"/>
      <c r="AJ498" s="168"/>
      <c r="AK498" s="168"/>
      <c r="AL498" s="168"/>
      <c r="AM498" s="168"/>
      <c r="AN498" s="168"/>
      <c r="AO498" s="168"/>
      <c r="AP498" s="168"/>
      <c r="AQ498" s="108"/>
      <c r="AR498" s="108"/>
    </row>
    <row r="499" spans="2:44" x14ac:dyDescent="0.25">
      <c r="F499" s="28"/>
      <c r="G499" s="28"/>
      <c r="J499" s="92"/>
      <c r="K499" s="92"/>
      <c r="L499" s="92"/>
      <c r="M499" s="92"/>
      <c r="N499" s="92"/>
      <c r="O499" s="92"/>
      <c r="P499" s="92"/>
      <c r="Q499" s="92"/>
      <c r="R499" s="92"/>
      <c r="S499" s="92"/>
      <c r="T499" s="92"/>
      <c r="U499" s="92"/>
      <c r="V499" s="92"/>
      <c r="W499" s="92"/>
      <c r="X499" s="92"/>
      <c r="Y499" s="92"/>
      <c r="Z499" s="92"/>
      <c r="AA499" s="92"/>
      <c r="AB499" s="92"/>
      <c r="AC499" s="92"/>
      <c r="AD499" s="92"/>
      <c r="AE499" s="92"/>
      <c r="AF499" s="92"/>
      <c r="AG499" s="92"/>
      <c r="AH499" s="92"/>
      <c r="AI499" s="92"/>
      <c r="AJ499" s="92"/>
      <c r="AK499" s="92"/>
      <c r="AL499" s="92"/>
      <c r="AM499" s="92"/>
      <c r="AN499" s="92"/>
      <c r="AO499" s="92"/>
      <c r="AP499" s="92"/>
    </row>
    <row r="500" spans="2:44" x14ac:dyDescent="0.25">
      <c r="C500" s="29" t="s">
        <v>601</v>
      </c>
      <c r="F500" s="28"/>
      <c r="G500" s="28"/>
      <c r="J500" s="92"/>
      <c r="K500" s="92"/>
      <c r="L500" s="92"/>
      <c r="M500" s="92"/>
      <c r="N500" s="92"/>
      <c r="O500" s="92"/>
      <c r="P500" s="92"/>
      <c r="Q500" s="92"/>
      <c r="R500" s="92"/>
      <c r="S500" s="92"/>
      <c r="T500" s="92"/>
      <c r="U500" s="92"/>
      <c r="V500" s="92"/>
      <c r="W500" s="92"/>
      <c r="X500" s="92"/>
      <c r="Y500" s="92"/>
      <c r="Z500" s="92"/>
      <c r="AA500" s="92"/>
      <c r="AB500" s="92"/>
      <c r="AC500" s="92"/>
      <c r="AD500" s="92"/>
      <c r="AE500" s="92"/>
      <c r="AF500" s="92"/>
      <c r="AG500" s="92"/>
      <c r="AH500" s="92"/>
      <c r="AI500" s="92"/>
      <c r="AJ500" s="92"/>
      <c r="AK500" s="92"/>
      <c r="AL500" s="92"/>
      <c r="AM500" s="92"/>
      <c r="AN500" s="92"/>
      <c r="AO500" s="92"/>
      <c r="AP500" s="92"/>
    </row>
    <row r="501" spans="2:44" x14ac:dyDescent="0.25">
      <c r="F501" s="28"/>
      <c r="G501" s="28"/>
      <c r="J501" s="92"/>
      <c r="K501" s="92"/>
      <c r="L501" s="92"/>
      <c r="M501" s="92"/>
      <c r="N501" s="92"/>
      <c r="O501" s="92"/>
      <c r="P501" s="92"/>
      <c r="Q501" s="92"/>
      <c r="R501" s="92"/>
      <c r="S501" s="92"/>
      <c r="T501" s="92"/>
      <c r="U501" s="92"/>
      <c r="V501" s="92"/>
      <c r="W501" s="92"/>
      <c r="X501" s="92"/>
      <c r="Y501" s="92"/>
      <c r="Z501" s="92"/>
      <c r="AA501" s="92"/>
      <c r="AB501" s="92"/>
      <c r="AC501" s="92"/>
      <c r="AD501" s="92"/>
      <c r="AE501" s="92"/>
      <c r="AF501" s="92"/>
      <c r="AG501" s="92"/>
      <c r="AH501" s="92"/>
      <c r="AI501" s="92"/>
      <c r="AJ501" s="92"/>
      <c r="AK501" s="92"/>
      <c r="AL501" s="92"/>
      <c r="AM501" s="92"/>
      <c r="AN501" s="92"/>
      <c r="AO501" s="92"/>
      <c r="AP501" s="92"/>
    </row>
    <row r="502" spans="2:44" x14ac:dyDescent="0.25">
      <c r="C502" s="31" t="str">
        <f ca="1">INDEX('Version control'!$H$34:$H$56,MATCH($A$1,'Version control'!$F$34:$F$56,0),1)&amp;"-R: Load coefficient"</f>
        <v>Section 105-R: Load coefficient</v>
      </c>
      <c r="D502" s="31"/>
      <c r="E502" s="31"/>
      <c r="F502" s="31"/>
      <c r="G502" s="31"/>
      <c r="H502" s="31"/>
      <c r="I502" s="31"/>
      <c r="J502" s="93"/>
      <c r="K502" s="93"/>
      <c r="L502" s="93"/>
      <c r="M502" s="93"/>
      <c r="N502" s="93"/>
      <c r="O502" s="93"/>
      <c r="P502" s="93"/>
      <c r="Q502" s="93"/>
      <c r="R502" s="93"/>
      <c r="S502" s="93"/>
      <c r="T502" s="93"/>
      <c r="U502" s="93"/>
      <c r="V502" s="93"/>
      <c r="W502" s="93"/>
      <c r="X502" s="93"/>
      <c r="Y502" s="93"/>
      <c r="Z502" s="93"/>
      <c r="AA502" s="93"/>
      <c r="AB502" s="93"/>
      <c r="AC502" s="93"/>
      <c r="AD502" s="93"/>
      <c r="AE502" s="93"/>
      <c r="AF502" s="93"/>
      <c r="AG502" s="93"/>
      <c r="AH502" s="93"/>
      <c r="AI502" s="93"/>
      <c r="AJ502" s="93"/>
      <c r="AK502" s="93"/>
      <c r="AL502" s="93"/>
      <c r="AM502" s="93"/>
      <c r="AN502" s="93"/>
      <c r="AO502" s="93"/>
      <c r="AP502" s="93"/>
      <c r="AQ502" s="31"/>
      <c r="AR502" s="31"/>
    </row>
    <row r="503" spans="2:44" x14ac:dyDescent="0.25">
      <c r="F503" s="28"/>
      <c r="G503" s="28"/>
      <c r="J503" s="92"/>
      <c r="K503" s="92"/>
      <c r="L503" s="92"/>
      <c r="M503" s="92"/>
      <c r="N503" s="92"/>
      <c r="O503" s="92"/>
      <c r="P503" s="92"/>
      <c r="Q503" s="92"/>
      <c r="R503" s="92"/>
      <c r="S503" s="92"/>
      <c r="T503" s="92"/>
      <c r="U503" s="92"/>
      <c r="V503" s="92"/>
      <c r="W503" s="92"/>
      <c r="X503" s="92"/>
      <c r="Y503" s="92"/>
      <c r="Z503" s="92"/>
      <c r="AA503" s="92"/>
      <c r="AB503" s="92"/>
      <c r="AC503" s="92"/>
      <c r="AD503" s="92"/>
      <c r="AE503" s="92"/>
      <c r="AF503" s="92"/>
      <c r="AG503" s="92"/>
      <c r="AH503" s="92"/>
      <c r="AI503" s="92"/>
      <c r="AJ503" s="92"/>
      <c r="AK503" s="92"/>
      <c r="AL503" s="92"/>
      <c r="AM503" s="92"/>
      <c r="AN503" s="92"/>
      <c r="AO503" s="92"/>
      <c r="AP503" s="92"/>
    </row>
    <row r="504" spans="2:44" x14ac:dyDescent="0.25">
      <c r="E504" s="28" t="s">
        <v>551</v>
      </c>
      <c r="G504" s="28" t="s">
        <v>342</v>
      </c>
      <c r="J504" s="124">
        <f t="shared" ref="J504:AP504" si="153">J116</f>
        <v>1.9807134114327527</v>
      </c>
      <c r="K504" s="124">
        <f t="shared" si="153"/>
        <v>1.4480350502291977</v>
      </c>
      <c r="L504" s="124">
        <f t="shared" si="153"/>
        <v>0</v>
      </c>
      <c r="M504" s="124">
        <f t="shared" si="153"/>
        <v>1.8092628262864008</v>
      </c>
      <c r="N504" s="124">
        <f t="shared" si="153"/>
        <v>1.4419295859211105</v>
      </c>
      <c r="O504" s="124">
        <f t="shared" si="153"/>
        <v>0</v>
      </c>
      <c r="P504" s="124">
        <f t="shared" si="153"/>
        <v>1.4334976645897464</v>
      </c>
      <c r="Q504" s="124">
        <f t="shared" si="153"/>
        <v>1.4334976645897464</v>
      </c>
      <c r="R504" s="124">
        <f t="shared" si="153"/>
        <v>1.443925199590216</v>
      </c>
      <c r="S504" s="124">
        <f t="shared" si="153"/>
        <v>1.9651373200500377</v>
      </c>
      <c r="T504" s="124">
        <f t="shared" si="153"/>
        <v>1.593503792826042</v>
      </c>
      <c r="U504" s="124">
        <f t="shared" si="153"/>
        <v>1.399729153232091</v>
      </c>
      <c r="V504" s="124">
        <f t="shared" si="153"/>
        <v>1.2077168736189998</v>
      </c>
      <c r="W504" s="124">
        <f t="shared" si="153"/>
        <v>1.2071379131919726</v>
      </c>
      <c r="X504" s="124">
        <f t="shared" si="153"/>
        <v>1.0001140642937896</v>
      </c>
      <c r="Y504" s="124">
        <f t="shared" si="153"/>
        <v>1.8756312022936001</v>
      </c>
      <c r="Z504" s="124">
        <f t="shared" si="153"/>
        <v>3.4709348232859556</v>
      </c>
      <c r="AA504" s="124">
        <f t="shared" si="153"/>
        <v>0.28660511948586709</v>
      </c>
      <c r="AB504" s="124">
        <f t="shared" si="153"/>
        <v>1.7972393634164692</v>
      </c>
      <c r="AC504" s="124">
        <f t="shared" si="153"/>
        <v>1</v>
      </c>
      <c r="AD504" s="124">
        <f t="shared" si="153"/>
        <v>1</v>
      </c>
      <c r="AE504" s="124">
        <f t="shared" si="153"/>
        <v>1</v>
      </c>
      <c r="AF504" s="124">
        <f t="shared" si="153"/>
        <v>1</v>
      </c>
      <c r="AG504" s="124">
        <f t="shared" si="153"/>
        <v>1</v>
      </c>
      <c r="AH504" s="124">
        <f t="shared" si="153"/>
        <v>1</v>
      </c>
      <c r="AI504" s="124">
        <f t="shared" si="153"/>
        <v>1</v>
      </c>
      <c r="AJ504" s="124">
        <f t="shared" si="153"/>
        <v>1</v>
      </c>
      <c r="AK504" s="124">
        <f t="shared" si="153"/>
        <v>1</v>
      </c>
      <c r="AL504" s="124">
        <f t="shared" si="153"/>
        <v>1</v>
      </c>
      <c r="AM504" s="124">
        <f t="shared" si="153"/>
        <v>1</v>
      </c>
      <c r="AN504" s="124">
        <f t="shared" si="153"/>
        <v>1</v>
      </c>
      <c r="AO504" s="124">
        <f t="shared" si="153"/>
        <v>1</v>
      </c>
      <c r="AP504" s="124">
        <f t="shared" si="153"/>
        <v>1</v>
      </c>
    </row>
    <row r="505" spans="2:44" x14ac:dyDescent="0.25">
      <c r="F505" s="28"/>
      <c r="G505" s="28"/>
      <c r="J505" s="92"/>
      <c r="K505" s="92"/>
      <c r="L505" s="92"/>
      <c r="M505" s="92"/>
      <c r="N505" s="92"/>
      <c r="O505" s="92"/>
      <c r="P505" s="92"/>
      <c r="Q505" s="92"/>
      <c r="R505" s="92"/>
      <c r="S505" s="92"/>
      <c r="T505" s="92"/>
      <c r="U505" s="92"/>
      <c r="V505" s="92"/>
      <c r="W505" s="92"/>
      <c r="X505" s="92"/>
      <c r="Y505" s="92"/>
      <c r="Z505" s="92"/>
      <c r="AA505" s="92"/>
      <c r="AB505" s="92"/>
      <c r="AC505" s="92"/>
      <c r="AD505" s="92"/>
      <c r="AE505" s="92"/>
      <c r="AF505" s="92"/>
      <c r="AG505" s="92"/>
      <c r="AH505" s="92"/>
      <c r="AI505" s="92"/>
      <c r="AJ505" s="92"/>
      <c r="AK505" s="92"/>
      <c r="AL505" s="92"/>
      <c r="AM505" s="92"/>
      <c r="AN505" s="92"/>
      <c r="AO505" s="92"/>
      <c r="AP505" s="92"/>
    </row>
    <row r="506" spans="2:44" x14ac:dyDescent="0.25">
      <c r="C506" s="31" t="str">
        <f ca="1">INDEX('Version control'!$H$34:$H$56,MATCH($A$1,'Version control'!$F$34:$F$56,0),1)&amp;"-S: Pseudo load coefficients, by unit rate"</f>
        <v>Section 105-S: Pseudo load coefficients, by unit rate</v>
      </c>
      <c r="D506" s="31"/>
      <c r="E506" s="31"/>
      <c r="F506" s="31"/>
      <c r="G506" s="31"/>
      <c r="H506" s="31"/>
      <c r="I506" s="31"/>
      <c r="J506" s="93"/>
      <c r="K506" s="93"/>
      <c r="L506" s="93"/>
      <c r="M506" s="93"/>
      <c r="N506" s="93"/>
      <c r="O506" s="93"/>
      <c r="P506" s="93"/>
      <c r="Q506" s="93"/>
      <c r="R506" s="93"/>
      <c r="S506" s="93"/>
      <c r="T506" s="93"/>
      <c r="U506" s="93"/>
      <c r="V506" s="93"/>
      <c r="W506" s="93"/>
      <c r="X506" s="93"/>
      <c r="Y506" s="93"/>
      <c r="Z506" s="93"/>
      <c r="AA506" s="93"/>
      <c r="AB506" s="93"/>
      <c r="AC506" s="93"/>
      <c r="AD506" s="93"/>
      <c r="AE506" s="93"/>
      <c r="AF506" s="93"/>
      <c r="AG506" s="93"/>
      <c r="AH506" s="93"/>
      <c r="AI506" s="93"/>
      <c r="AJ506" s="93"/>
      <c r="AK506" s="93"/>
      <c r="AL506" s="93"/>
      <c r="AM506" s="93"/>
      <c r="AN506" s="93"/>
      <c r="AO506" s="93"/>
      <c r="AP506" s="93"/>
      <c r="AQ506" s="31"/>
      <c r="AR506" s="31"/>
    </row>
    <row r="507" spans="2:44" x14ac:dyDescent="0.25">
      <c r="F507" s="28"/>
      <c r="G507" s="28"/>
      <c r="J507" s="92"/>
      <c r="K507" s="92"/>
      <c r="L507" s="92"/>
      <c r="M507" s="92"/>
      <c r="N507" s="92"/>
      <c r="O507" s="92"/>
      <c r="P507" s="92"/>
      <c r="Q507" s="92"/>
      <c r="R507" s="92"/>
      <c r="S507" s="92"/>
      <c r="T507" s="92"/>
      <c r="U507" s="92"/>
      <c r="V507" s="92"/>
      <c r="W507" s="92"/>
      <c r="X507" s="92"/>
      <c r="Y507" s="92"/>
      <c r="Z507" s="92"/>
      <c r="AA507" s="92"/>
      <c r="AB507" s="92"/>
      <c r="AC507" s="92"/>
      <c r="AD507" s="92"/>
      <c r="AE507" s="92"/>
      <c r="AF507" s="92"/>
      <c r="AG507" s="92"/>
      <c r="AH507" s="92"/>
      <c r="AI507" s="92"/>
      <c r="AJ507" s="92"/>
      <c r="AK507" s="92"/>
      <c r="AL507" s="92"/>
      <c r="AM507" s="92"/>
      <c r="AN507" s="92"/>
      <c r="AO507" s="92"/>
      <c r="AP507" s="92"/>
    </row>
    <row r="508" spans="2:44" x14ac:dyDescent="0.25">
      <c r="E508" s="32" t="s">
        <v>192</v>
      </c>
      <c r="G508" s="28"/>
      <c r="J508" s="92"/>
      <c r="K508" s="92"/>
      <c r="L508" s="92"/>
      <c r="M508" s="92"/>
      <c r="N508" s="92"/>
      <c r="O508" s="92"/>
      <c r="P508" s="92"/>
      <c r="Q508" s="92"/>
      <c r="R508" s="92"/>
      <c r="S508" s="92"/>
      <c r="T508" s="92"/>
      <c r="U508" s="92"/>
      <c r="V508" s="92"/>
      <c r="W508" s="92"/>
      <c r="X508" s="92"/>
      <c r="Y508" s="92"/>
      <c r="Z508" s="92"/>
      <c r="AA508" s="92"/>
      <c r="AB508" s="92"/>
      <c r="AC508" s="92"/>
      <c r="AD508" s="92"/>
      <c r="AE508" s="92"/>
      <c r="AF508" s="92"/>
      <c r="AG508" s="92"/>
      <c r="AH508" s="92"/>
      <c r="AI508" s="92"/>
      <c r="AJ508" s="92"/>
      <c r="AK508" s="92"/>
      <c r="AL508" s="92"/>
      <c r="AM508" s="92"/>
      <c r="AN508" s="92"/>
      <c r="AO508" s="92"/>
      <c r="AP508" s="92"/>
    </row>
    <row r="509" spans="2:44" x14ac:dyDescent="0.25">
      <c r="F509" s="64" t="s">
        <v>227</v>
      </c>
      <c r="G509" s="64" t="s">
        <v>342</v>
      </c>
      <c r="H509" s="23"/>
      <c r="I509" s="23"/>
      <c r="J509" s="104">
        <f t="shared" ref="J509:AP509" si="154">J293 * J488</f>
        <v>1.7201731551756498</v>
      </c>
      <c r="K509" s="104">
        <f t="shared" si="154"/>
        <v>2.011153066413228</v>
      </c>
      <c r="L509" s="104">
        <f t="shared" si="154"/>
        <v>0.63788437675057463</v>
      </c>
      <c r="M509" s="104">
        <f t="shared" si="154"/>
        <v>1.7498926879871817</v>
      </c>
      <c r="N509" s="104">
        <f t="shared" si="154"/>
        <v>1.9223485423665356</v>
      </c>
      <c r="O509" s="104">
        <f t="shared" si="154"/>
        <v>0.57401367023529626</v>
      </c>
      <c r="P509" s="104">
        <f t="shared" si="154"/>
        <v>1.6676583579410345</v>
      </c>
      <c r="Q509" s="104">
        <f t="shared" si="154"/>
        <v>1.3573501094857139</v>
      </c>
      <c r="R509" s="104">
        <f t="shared" si="154"/>
        <v>1.8866460088951273</v>
      </c>
      <c r="S509" s="104">
        <f t="shared" si="154"/>
        <v>7.8338053256480613</v>
      </c>
      <c r="T509" s="104">
        <f t="shared" si="154"/>
        <v>8.5525314977522306</v>
      </c>
      <c r="U509" s="104">
        <f t="shared" si="154"/>
        <v>6.7902002993910742</v>
      </c>
      <c r="V509" s="104">
        <f t="shared" si="154"/>
        <v>6.7405487014926724</v>
      </c>
      <c r="W509" s="104">
        <f t="shared" si="154"/>
        <v>6.3991931982907664</v>
      </c>
      <c r="X509" s="104">
        <f t="shared" si="154"/>
        <v>0.96400335645505142</v>
      </c>
      <c r="Y509" s="104">
        <f t="shared" si="154"/>
        <v>1.07110491036573</v>
      </c>
      <c r="Z509" s="104">
        <f t="shared" si="154"/>
        <v>1.7322439115783099</v>
      </c>
      <c r="AA509" s="104">
        <f t="shared" si="154"/>
        <v>0.93050972719429625</v>
      </c>
      <c r="AB509" s="104">
        <f t="shared" si="154"/>
        <v>12.864893142830548</v>
      </c>
      <c r="AC509" s="104">
        <f t="shared" si="154"/>
        <v>1</v>
      </c>
      <c r="AD509" s="104">
        <f t="shared" si="154"/>
        <v>1</v>
      </c>
      <c r="AE509" s="104">
        <f t="shared" si="154"/>
        <v>1</v>
      </c>
      <c r="AF509" s="104">
        <f t="shared" si="154"/>
        <v>1</v>
      </c>
      <c r="AG509" s="104">
        <f t="shared" si="154"/>
        <v>5.7057471264367825</v>
      </c>
      <c r="AH509" s="104">
        <f t="shared" si="154"/>
        <v>5.7057471264367825</v>
      </c>
      <c r="AI509" s="104">
        <f t="shared" si="154"/>
        <v>1</v>
      </c>
      <c r="AJ509" s="104">
        <f t="shared" si="154"/>
        <v>1</v>
      </c>
      <c r="AK509" s="104">
        <f t="shared" si="154"/>
        <v>5.7057471264367825</v>
      </c>
      <c r="AL509" s="104">
        <f t="shared" si="154"/>
        <v>5.7057471264367825</v>
      </c>
      <c r="AM509" s="104">
        <f t="shared" si="154"/>
        <v>1</v>
      </c>
      <c r="AN509" s="104">
        <f t="shared" si="154"/>
        <v>1</v>
      </c>
      <c r="AO509" s="104">
        <f t="shared" si="154"/>
        <v>5.7057471264367825</v>
      </c>
      <c r="AP509" s="104">
        <f t="shared" si="154"/>
        <v>5.7057471264367825</v>
      </c>
    </row>
    <row r="510" spans="2:44" x14ac:dyDescent="0.25">
      <c r="F510" s="28" t="s">
        <v>228</v>
      </c>
      <c r="G510" s="28" t="s">
        <v>342</v>
      </c>
      <c r="J510" s="124">
        <f t="shared" ref="J510:AP510" si="155">J294 * J489</f>
        <v>0</v>
      </c>
      <c r="K510" s="124">
        <f t="shared" si="155"/>
        <v>0</v>
      </c>
      <c r="L510" s="124">
        <f t="shared" si="155"/>
        <v>0</v>
      </c>
      <c r="M510" s="124">
        <f t="shared" si="155"/>
        <v>0</v>
      </c>
      <c r="N510" s="124">
        <f t="shared" si="155"/>
        <v>0</v>
      </c>
      <c r="O510" s="124">
        <f t="shared" si="155"/>
        <v>0</v>
      </c>
      <c r="P510" s="124">
        <f t="shared" si="155"/>
        <v>0</v>
      </c>
      <c r="Q510" s="124">
        <f t="shared" si="155"/>
        <v>0</v>
      </c>
      <c r="R510" s="124">
        <f t="shared" si="155"/>
        <v>0</v>
      </c>
      <c r="S510" s="124">
        <f t="shared" si="155"/>
        <v>0</v>
      </c>
      <c r="T510" s="124">
        <f t="shared" si="155"/>
        <v>0</v>
      </c>
      <c r="U510" s="124">
        <f t="shared" si="155"/>
        <v>0</v>
      </c>
      <c r="V510" s="124">
        <f t="shared" si="155"/>
        <v>0</v>
      </c>
      <c r="W510" s="124">
        <f t="shared" si="155"/>
        <v>0</v>
      </c>
      <c r="X510" s="124">
        <f t="shared" si="155"/>
        <v>0</v>
      </c>
      <c r="Y510" s="124">
        <f t="shared" si="155"/>
        <v>0</v>
      </c>
      <c r="Z510" s="124">
        <f t="shared" si="155"/>
        <v>0</v>
      </c>
      <c r="AA510" s="124">
        <f t="shared" si="155"/>
        <v>0</v>
      </c>
      <c r="AB510" s="124">
        <f t="shared" si="155"/>
        <v>0</v>
      </c>
      <c r="AC510" s="124">
        <f t="shared" si="155"/>
        <v>0</v>
      </c>
      <c r="AD510" s="124">
        <f t="shared" si="155"/>
        <v>0</v>
      </c>
      <c r="AE510" s="124">
        <f t="shared" si="155"/>
        <v>0</v>
      </c>
      <c r="AF510" s="124">
        <f t="shared" si="155"/>
        <v>0</v>
      </c>
      <c r="AG510" s="124">
        <f t="shared" si="155"/>
        <v>0</v>
      </c>
      <c r="AH510" s="124">
        <f t="shared" si="155"/>
        <v>0</v>
      </c>
      <c r="AI510" s="124">
        <f t="shared" si="155"/>
        <v>0</v>
      </c>
      <c r="AJ510" s="124">
        <f t="shared" si="155"/>
        <v>0</v>
      </c>
      <c r="AK510" s="124">
        <f t="shared" si="155"/>
        <v>0</v>
      </c>
      <c r="AL510" s="124">
        <f t="shared" si="155"/>
        <v>0</v>
      </c>
      <c r="AM510" s="124">
        <f t="shared" si="155"/>
        <v>0</v>
      </c>
      <c r="AN510" s="124">
        <f t="shared" si="155"/>
        <v>0</v>
      </c>
      <c r="AO510" s="124">
        <f t="shared" si="155"/>
        <v>0</v>
      </c>
      <c r="AP510" s="124">
        <f t="shared" si="155"/>
        <v>0</v>
      </c>
    </row>
    <row r="511" spans="2:44" x14ac:dyDescent="0.25">
      <c r="F511" s="28" t="s">
        <v>229</v>
      </c>
      <c r="G511" s="28" t="s">
        <v>342</v>
      </c>
      <c r="J511" s="124">
        <f t="shared" ref="J511:AP511" si="156">J295 * J490</f>
        <v>0</v>
      </c>
      <c r="K511" s="124">
        <f t="shared" si="156"/>
        <v>0</v>
      </c>
      <c r="L511" s="124">
        <f t="shared" si="156"/>
        <v>0</v>
      </c>
      <c r="M511" s="124">
        <f t="shared" si="156"/>
        <v>0</v>
      </c>
      <c r="N511" s="124">
        <f t="shared" si="156"/>
        <v>0</v>
      </c>
      <c r="O511" s="124">
        <f t="shared" si="156"/>
        <v>0</v>
      </c>
      <c r="P511" s="124">
        <f t="shared" si="156"/>
        <v>0</v>
      </c>
      <c r="Q511" s="124">
        <f t="shared" si="156"/>
        <v>0</v>
      </c>
      <c r="R511" s="124">
        <f t="shared" si="156"/>
        <v>0</v>
      </c>
      <c r="S511" s="124">
        <f t="shared" si="156"/>
        <v>0</v>
      </c>
      <c r="T511" s="124">
        <f t="shared" si="156"/>
        <v>0</v>
      </c>
      <c r="U511" s="124">
        <f t="shared" si="156"/>
        <v>0</v>
      </c>
      <c r="V511" s="124">
        <f t="shared" si="156"/>
        <v>0</v>
      </c>
      <c r="W511" s="124">
        <f t="shared" si="156"/>
        <v>0</v>
      </c>
      <c r="X511" s="124">
        <f t="shared" si="156"/>
        <v>0</v>
      </c>
      <c r="Y511" s="124">
        <f t="shared" si="156"/>
        <v>0</v>
      </c>
      <c r="Z511" s="124">
        <f t="shared" si="156"/>
        <v>0</v>
      </c>
      <c r="AA511" s="124">
        <f t="shared" si="156"/>
        <v>0</v>
      </c>
      <c r="AB511" s="124">
        <f t="shared" si="156"/>
        <v>0</v>
      </c>
      <c r="AC511" s="124">
        <f t="shared" si="156"/>
        <v>0</v>
      </c>
      <c r="AD511" s="124">
        <f t="shared" si="156"/>
        <v>0</v>
      </c>
      <c r="AE511" s="124">
        <f t="shared" si="156"/>
        <v>0</v>
      </c>
      <c r="AF511" s="124">
        <f t="shared" si="156"/>
        <v>0</v>
      </c>
      <c r="AG511" s="124">
        <f t="shared" si="156"/>
        <v>0</v>
      </c>
      <c r="AH511" s="124">
        <f t="shared" si="156"/>
        <v>0</v>
      </c>
      <c r="AI511" s="124">
        <f t="shared" si="156"/>
        <v>0</v>
      </c>
      <c r="AJ511" s="124">
        <f t="shared" si="156"/>
        <v>0</v>
      </c>
      <c r="AK511" s="124">
        <f t="shared" si="156"/>
        <v>0</v>
      </c>
      <c r="AL511" s="124">
        <f t="shared" si="156"/>
        <v>0</v>
      </c>
      <c r="AM511" s="124">
        <f t="shared" si="156"/>
        <v>0</v>
      </c>
      <c r="AN511" s="124">
        <f t="shared" si="156"/>
        <v>0</v>
      </c>
      <c r="AO511" s="124">
        <f t="shared" si="156"/>
        <v>0</v>
      </c>
      <c r="AP511" s="124">
        <f t="shared" si="156"/>
        <v>0</v>
      </c>
    </row>
    <row r="512" spans="2:44" x14ac:dyDescent="0.25">
      <c r="F512" s="28" t="s">
        <v>230</v>
      </c>
      <c r="G512" s="28" t="s">
        <v>342</v>
      </c>
      <c r="J512" s="124">
        <f t="shared" ref="J512:AP512" si="157">J296 * J491</f>
        <v>1.6922249106213094</v>
      </c>
      <c r="K512" s="124">
        <f t="shared" si="157"/>
        <v>1.9546625898424457</v>
      </c>
      <c r="L512" s="124">
        <f t="shared" si="157"/>
        <v>0.67653120124937716</v>
      </c>
      <c r="M512" s="124">
        <f t="shared" si="157"/>
        <v>1.7424624914289761</v>
      </c>
      <c r="N512" s="124">
        <f t="shared" si="157"/>
        <v>1.8891928069643484</v>
      </c>
      <c r="O512" s="124">
        <f t="shared" si="157"/>
        <v>0.61423983993483533</v>
      </c>
      <c r="P512" s="124">
        <f t="shared" si="157"/>
        <v>1.6389445788072325</v>
      </c>
      <c r="Q512" s="124">
        <f t="shared" si="157"/>
        <v>1.3339792247565812</v>
      </c>
      <c r="R512" s="124">
        <f t="shared" si="157"/>
        <v>1.8551789393459415</v>
      </c>
      <c r="S512" s="124">
        <f t="shared" si="157"/>
        <v>7.0546355924773847</v>
      </c>
      <c r="T512" s="124">
        <f t="shared" si="157"/>
        <v>7.7113861425089754</v>
      </c>
      <c r="U512" s="124">
        <f t="shared" si="157"/>
        <v>6.1244943876860667</v>
      </c>
      <c r="V512" s="124">
        <f t="shared" si="157"/>
        <v>6.0797105935031945</v>
      </c>
      <c r="W512" s="124">
        <f t="shared" si="157"/>
        <v>5.7718213161053971</v>
      </c>
      <c r="X512" s="124">
        <f t="shared" si="157"/>
        <v>0.96334240275326455</v>
      </c>
      <c r="Y512" s="124">
        <f t="shared" si="157"/>
        <v>1.0101211359837954</v>
      </c>
      <c r="Z512" s="124">
        <f t="shared" si="157"/>
        <v>1.5821722193444481</v>
      </c>
      <c r="AA512" s="124">
        <f t="shared" si="157"/>
        <v>0.97403163253443814</v>
      </c>
      <c r="AB512" s="124">
        <f t="shared" si="157"/>
        <v>10.88567881316431</v>
      </c>
      <c r="AC512" s="124">
        <f t="shared" si="157"/>
        <v>1</v>
      </c>
      <c r="AD512" s="124">
        <f t="shared" si="157"/>
        <v>1</v>
      </c>
      <c r="AE512" s="124">
        <f t="shared" si="157"/>
        <v>1</v>
      </c>
      <c r="AF512" s="124">
        <f t="shared" si="157"/>
        <v>1</v>
      </c>
      <c r="AG512" s="124">
        <f t="shared" si="157"/>
        <v>5.1463601532567056</v>
      </c>
      <c r="AH512" s="124">
        <f t="shared" si="157"/>
        <v>5.1463601532567056</v>
      </c>
      <c r="AI512" s="124">
        <f t="shared" si="157"/>
        <v>1</v>
      </c>
      <c r="AJ512" s="124">
        <f t="shared" si="157"/>
        <v>1</v>
      </c>
      <c r="AK512" s="124">
        <f t="shared" si="157"/>
        <v>5.1463601532567056</v>
      </c>
      <c r="AL512" s="124">
        <f t="shared" si="157"/>
        <v>5.1463601532567056</v>
      </c>
      <c r="AM512" s="124">
        <f t="shared" si="157"/>
        <v>1</v>
      </c>
      <c r="AN512" s="124">
        <f t="shared" si="157"/>
        <v>1</v>
      </c>
      <c r="AO512" s="124">
        <f t="shared" si="157"/>
        <v>5.1463601532567056</v>
      </c>
      <c r="AP512" s="124">
        <f t="shared" si="157"/>
        <v>5.1463601532567056</v>
      </c>
    </row>
    <row r="513" spans="5:42" x14ac:dyDescent="0.25">
      <c r="F513" s="28" t="s">
        <v>231</v>
      </c>
      <c r="G513" s="28" t="s">
        <v>342</v>
      </c>
      <c r="J513" s="124">
        <f t="shared" ref="J513:AP513" si="158">J297 * J492</f>
        <v>1.6922249106213094</v>
      </c>
      <c r="K513" s="124">
        <f t="shared" si="158"/>
        <v>1.9546625898424457</v>
      </c>
      <c r="L513" s="124">
        <f t="shared" si="158"/>
        <v>0.67653120124937716</v>
      </c>
      <c r="M513" s="124">
        <f t="shared" si="158"/>
        <v>1.7424624914289761</v>
      </c>
      <c r="N513" s="124">
        <f t="shared" si="158"/>
        <v>1.8891928069643484</v>
      </c>
      <c r="O513" s="124">
        <f t="shared" si="158"/>
        <v>0.61423983993483533</v>
      </c>
      <c r="P513" s="124">
        <f t="shared" si="158"/>
        <v>1.6389445788072325</v>
      </c>
      <c r="Q513" s="124">
        <f t="shared" si="158"/>
        <v>1.3339792247565812</v>
      </c>
      <c r="R513" s="124">
        <f t="shared" si="158"/>
        <v>1.8551789393459415</v>
      </c>
      <c r="S513" s="124">
        <f t="shared" si="158"/>
        <v>7.0546355924773847</v>
      </c>
      <c r="T513" s="124">
        <f t="shared" si="158"/>
        <v>7.7113861425089754</v>
      </c>
      <c r="U513" s="124">
        <f t="shared" si="158"/>
        <v>6.1244943876860667</v>
      </c>
      <c r="V513" s="124">
        <f t="shared" si="158"/>
        <v>6.0797105935031945</v>
      </c>
      <c r="W513" s="124">
        <f t="shared" si="158"/>
        <v>5.7718213161053971</v>
      </c>
      <c r="X513" s="124">
        <f t="shared" si="158"/>
        <v>0.96334240275326455</v>
      </c>
      <c r="Y513" s="124">
        <f t="shared" si="158"/>
        <v>1.0101211359837954</v>
      </c>
      <c r="Z513" s="124">
        <f t="shared" si="158"/>
        <v>1.5821722193444481</v>
      </c>
      <c r="AA513" s="124">
        <f t="shared" si="158"/>
        <v>0.97403163253443814</v>
      </c>
      <c r="AB513" s="124">
        <f t="shared" si="158"/>
        <v>10.88567881316431</v>
      </c>
      <c r="AC513" s="124">
        <f t="shared" si="158"/>
        <v>1</v>
      </c>
      <c r="AD513" s="124">
        <f t="shared" si="158"/>
        <v>1</v>
      </c>
      <c r="AE513" s="124">
        <f t="shared" si="158"/>
        <v>1</v>
      </c>
      <c r="AF513" s="124">
        <f t="shared" si="158"/>
        <v>1</v>
      </c>
      <c r="AG513" s="124">
        <f t="shared" si="158"/>
        <v>5.1463601532567056</v>
      </c>
      <c r="AH513" s="124">
        <f t="shared" si="158"/>
        <v>5.1463601532567056</v>
      </c>
      <c r="AI513" s="124">
        <f t="shared" si="158"/>
        <v>1</v>
      </c>
      <c r="AJ513" s="124">
        <f t="shared" si="158"/>
        <v>1</v>
      </c>
      <c r="AK513" s="124">
        <f t="shared" si="158"/>
        <v>5.1463601532567056</v>
      </c>
      <c r="AL513" s="124">
        <f t="shared" si="158"/>
        <v>5.1463601532567056</v>
      </c>
      <c r="AM513" s="124">
        <f t="shared" si="158"/>
        <v>1</v>
      </c>
      <c r="AN513" s="124">
        <f t="shared" si="158"/>
        <v>1</v>
      </c>
      <c r="AO513" s="124">
        <f t="shared" si="158"/>
        <v>5.1463601532567056</v>
      </c>
      <c r="AP513" s="124">
        <f t="shared" si="158"/>
        <v>5.1463601532567056</v>
      </c>
    </row>
    <row r="514" spans="5:42" x14ac:dyDescent="0.25">
      <c r="F514" s="28" t="s">
        <v>232</v>
      </c>
      <c r="G514" s="28" t="s">
        <v>342</v>
      </c>
      <c r="J514" s="124">
        <f t="shared" ref="J514:AP514" si="159">J298 * J493</f>
        <v>0</v>
      </c>
      <c r="K514" s="124">
        <f t="shared" si="159"/>
        <v>0</v>
      </c>
      <c r="L514" s="124">
        <f t="shared" si="159"/>
        <v>0</v>
      </c>
      <c r="M514" s="124">
        <f t="shared" si="159"/>
        <v>0</v>
      </c>
      <c r="N514" s="124">
        <f t="shared" si="159"/>
        <v>0</v>
      </c>
      <c r="O514" s="124">
        <f t="shared" si="159"/>
        <v>0</v>
      </c>
      <c r="P514" s="124">
        <f t="shared" si="159"/>
        <v>0</v>
      </c>
      <c r="Q514" s="124">
        <f t="shared" si="159"/>
        <v>0</v>
      </c>
      <c r="R514" s="124">
        <f t="shared" si="159"/>
        <v>0</v>
      </c>
      <c r="S514" s="124">
        <f t="shared" si="159"/>
        <v>0</v>
      </c>
      <c r="T514" s="124">
        <f t="shared" si="159"/>
        <v>0</v>
      </c>
      <c r="U514" s="124">
        <f t="shared" si="159"/>
        <v>0</v>
      </c>
      <c r="V514" s="124">
        <f t="shared" si="159"/>
        <v>0</v>
      </c>
      <c r="W514" s="124">
        <f t="shared" si="159"/>
        <v>0</v>
      </c>
      <c r="X514" s="124">
        <f t="shared" si="159"/>
        <v>0</v>
      </c>
      <c r="Y514" s="124">
        <f t="shared" si="159"/>
        <v>0</v>
      </c>
      <c r="Z514" s="124">
        <f t="shared" si="159"/>
        <v>0</v>
      </c>
      <c r="AA514" s="124">
        <f t="shared" si="159"/>
        <v>0</v>
      </c>
      <c r="AB514" s="124">
        <f t="shared" si="159"/>
        <v>0</v>
      </c>
      <c r="AC514" s="124">
        <f t="shared" si="159"/>
        <v>0</v>
      </c>
      <c r="AD514" s="124">
        <f t="shared" si="159"/>
        <v>0</v>
      </c>
      <c r="AE514" s="124">
        <f t="shared" si="159"/>
        <v>0</v>
      </c>
      <c r="AF514" s="124">
        <f t="shared" si="159"/>
        <v>0</v>
      </c>
      <c r="AG514" s="124">
        <f t="shared" si="159"/>
        <v>0</v>
      </c>
      <c r="AH514" s="124">
        <f t="shared" si="159"/>
        <v>0</v>
      </c>
      <c r="AI514" s="124">
        <f t="shared" si="159"/>
        <v>0</v>
      </c>
      <c r="AJ514" s="124">
        <f t="shared" si="159"/>
        <v>0</v>
      </c>
      <c r="AK514" s="124">
        <f t="shared" si="159"/>
        <v>0</v>
      </c>
      <c r="AL514" s="124">
        <f t="shared" si="159"/>
        <v>0</v>
      </c>
      <c r="AM514" s="124">
        <f t="shared" si="159"/>
        <v>0</v>
      </c>
      <c r="AN514" s="124">
        <f t="shared" si="159"/>
        <v>0</v>
      </c>
      <c r="AO514" s="124">
        <f t="shared" si="159"/>
        <v>0</v>
      </c>
      <c r="AP514" s="124">
        <f t="shared" si="159"/>
        <v>0</v>
      </c>
    </row>
    <row r="515" spans="5:42" x14ac:dyDescent="0.25">
      <c r="F515" s="28" t="s">
        <v>233</v>
      </c>
      <c r="G515" s="28" t="s">
        <v>342</v>
      </c>
      <c r="J515" s="124">
        <f t="shared" ref="J515:AP515" si="160">J299 * J494</f>
        <v>1.6922249106213094</v>
      </c>
      <c r="K515" s="124">
        <f t="shared" si="160"/>
        <v>1.9546625898424457</v>
      </c>
      <c r="L515" s="124">
        <f t="shared" si="160"/>
        <v>0.67653120124937716</v>
      </c>
      <c r="M515" s="124">
        <f t="shared" si="160"/>
        <v>1.7424624914289761</v>
      </c>
      <c r="N515" s="124">
        <f t="shared" si="160"/>
        <v>1.8891928069643484</v>
      </c>
      <c r="O515" s="124">
        <f t="shared" si="160"/>
        <v>0.61423983993483533</v>
      </c>
      <c r="P515" s="124">
        <f t="shared" si="160"/>
        <v>1.6389445788072325</v>
      </c>
      <c r="Q515" s="124">
        <f t="shared" si="160"/>
        <v>1.3339792247565812</v>
      </c>
      <c r="R515" s="124">
        <f t="shared" si="160"/>
        <v>1.8551789393459415</v>
      </c>
      <c r="S515" s="124">
        <f t="shared" si="160"/>
        <v>7.0546355924773847</v>
      </c>
      <c r="T515" s="124">
        <f t="shared" si="160"/>
        <v>7.7113861425089754</v>
      </c>
      <c r="U515" s="124">
        <f t="shared" si="160"/>
        <v>6.1244943876860667</v>
      </c>
      <c r="V515" s="124">
        <f t="shared" si="160"/>
        <v>6.0797105935031945</v>
      </c>
      <c r="W515" s="124">
        <f t="shared" si="160"/>
        <v>5.7718213161053971</v>
      </c>
      <c r="X515" s="124">
        <f t="shared" si="160"/>
        <v>0.96334240275326455</v>
      </c>
      <c r="Y515" s="124">
        <f t="shared" si="160"/>
        <v>1.0101211359837954</v>
      </c>
      <c r="Z515" s="124">
        <f t="shared" si="160"/>
        <v>1.5821722193444481</v>
      </c>
      <c r="AA515" s="124">
        <f t="shared" si="160"/>
        <v>0.97403163253443814</v>
      </c>
      <c r="AB515" s="124">
        <f t="shared" si="160"/>
        <v>10.88567881316431</v>
      </c>
      <c r="AC515" s="124">
        <f t="shared" si="160"/>
        <v>1</v>
      </c>
      <c r="AD515" s="124">
        <f t="shared" si="160"/>
        <v>1</v>
      </c>
      <c r="AE515" s="124">
        <f t="shared" si="160"/>
        <v>1</v>
      </c>
      <c r="AF515" s="124">
        <f t="shared" si="160"/>
        <v>1</v>
      </c>
      <c r="AG515" s="124">
        <f t="shared" si="160"/>
        <v>5.1463601532567056</v>
      </c>
      <c r="AH515" s="124">
        <f t="shared" si="160"/>
        <v>5.1463601532567056</v>
      </c>
      <c r="AI515" s="124">
        <f t="shared" si="160"/>
        <v>1</v>
      </c>
      <c r="AJ515" s="124">
        <f t="shared" si="160"/>
        <v>1</v>
      </c>
      <c r="AK515" s="124">
        <f t="shared" si="160"/>
        <v>5.1463601532567056</v>
      </c>
      <c r="AL515" s="124">
        <f t="shared" si="160"/>
        <v>5.1463601532567056</v>
      </c>
      <c r="AM515" s="124">
        <f t="shared" si="160"/>
        <v>1</v>
      </c>
      <c r="AN515" s="124">
        <f t="shared" si="160"/>
        <v>1</v>
      </c>
      <c r="AO515" s="124">
        <f t="shared" si="160"/>
        <v>5.1463601532567056</v>
      </c>
      <c r="AP515" s="124">
        <f t="shared" si="160"/>
        <v>5.1463601532567056</v>
      </c>
    </row>
    <row r="516" spans="5:42" x14ac:dyDescent="0.25">
      <c r="F516" s="28" t="s">
        <v>234</v>
      </c>
      <c r="G516" s="28" t="s">
        <v>342</v>
      </c>
      <c r="J516" s="124">
        <f t="shared" ref="J516:AP516" si="161">J300 * J495</f>
        <v>1.6922249106213094</v>
      </c>
      <c r="K516" s="124">
        <f t="shared" si="161"/>
        <v>1.9546625898424457</v>
      </c>
      <c r="L516" s="124">
        <f t="shared" si="161"/>
        <v>0.67653120124937716</v>
      </c>
      <c r="M516" s="124">
        <f t="shared" si="161"/>
        <v>1.7424624914289761</v>
      </c>
      <c r="N516" s="124">
        <f t="shared" si="161"/>
        <v>1.8891928069643484</v>
      </c>
      <c r="O516" s="124">
        <f t="shared" si="161"/>
        <v>0.61423983993483533</v>
      </c>
      <c r="P516" s="124">
        <f t="shared" si="161"/>
        <v>1.6389445788072325</v>
      </c>
      <c r="Q516" s="124">
        <f t="shared" si="161"/>
        <v>1.3339792247565812</v>
      </c>
      <c r="R516" s="124">
        <f t="shared" si="161"/>
        <v>1.8551789393459415</v>
      </c>
      <c r="S516" s="124">
        <f t="shared" si="161"/>
        <v>7.0546355924773847</v>
      </c>
      <c r="T516" s="124">
        <f t="shared" si="161"/>
        <v>7.7113861425089754</v>
      </c>
      <c r="U516" s="124">
        <f t="shared" si="161"/>
        <v>6.1244943876860667</v>
      </c>
      <c r="V516" s="124">
        <f t="shared" si="161"/>
        <v>6.0797105935031945</v>
      </c>
      <c r="W516" s="124">
        <f t="shared" si="161"/>
        <v>5.7718213161053971</v>
      </c>
      <c r="X516" s="124">
        <f t="shared" si="161"/>
        <v>0.96334240275326455</v>
      </c>
      <c r="Y516" s="124">
        <f t="shared" si="161"/>
        <v>1.0101211359837954</v>
      </c>
      <c r="Z516" s="124">
        <f t="shared" si="161"/>
        <v>1.5821722193444481</v>
      </c>
      <c r="AA516" s="124">
        <f t="shared" si="161"/>
        <v>0.97403163253443814</v>
      </c>
      <c r="AB516" s="124">
        <f t="shared" si="161"/>
        <v>10.88567881316431</v>
      </c>
      <c r="AC516" s="124">
        <f t="shared" si="161"/>
        <v>1</v>
      </c>
      <c r="AD516" s="124">
        <f t="shared" si="161"/>
        <v>1</v>
      </c>
      <c r="AE516" s="124">
        <f t="shared" si="161"/>
        <v>1</v>
      </c>
      <c r="AF516" s="124">
        <f t="shared" si="161"/>
        <v>1</v>
      </c>
      <c r="AG516" s="124">
        <f t="shared" si="161"/>
        <v>5.1463601532567056</v>
      </c>
      <c r="AH516" s="124">
        <f t="shared" si="161"/>
        <v>5.1463601532567056</v>
      </c>
      <c r="AI516" s="124">
        <f t="shared" si="161"/>
        <v>1</v>
      </c>
      <c r="AJ516" s="124">
        <f t="shared" si="161"/>
        <v>1</v>
      </c>
      <c r="AK516" s="124">
        <f t="shared" si="161"/>
        <v>5.1463601532567056</v>
      </c>
      <c r="AL516" s="124">
        <f t="shared" si="161"/>
        <v>5.1463601532567056</v>
      </c>
      <c r="AM516" s="124">
        <f t="shared" si="161"/>
        <v>1</v>
      </c>
      <c r="AN516" s="124">
        <f t="shared" si="161"/>
        <v>1</v>
      </c>
      <c r="AO516" s="124">
        <f t="shared" si="161"/>
        <v>5.1463601532567056</v>
      </c>
      <c r="AP516" s="124">
        <f t="shared" si="161"/>
        <v>5.1463601532567056</v>
      </c>
    </row>
    <row r="517" spans="5:42" x14ac:dyDescent="0.25">
      <c r="F517" s="67" t="s">
        <v>235</v>
      </c>
      <c r="G517" s="67" t="s">
        <v>342</v>
      </c>
      <c r="H517" s="37"/>
      <c r="I517" s="37"/>
      <c r="J517" s="134">
        <f t="shared" ref="J517:AP517" si="162">J301 * J496</f>
        <v>1.6922249106213094</v>
      </c>
      <c r="K517" s="134">
        <f t="shared" si="162"/>
        <v>1.9546625898424457</v>
      </c>
      <c r="L517" s="134">
        <f t="shared" si="162"/>
        <v>0.67653120124937716</v>
      </c>
      <c r="M517" s="134">
        <f t="shared" si="162"/>
        <v>1.7424624914289761</v>
      </c>
      <c r="N517" s="134">
        <f t="shared" si="162"/>
        <v>1.8891928069643484</v>
      </c>
      <c r="O517" s="134">
        <f t="shared" si="162"/>
        <v>0.61423983993483533</v>
      </c>
      <c r="P517" s="134">
        <f t="shared" si="162"/>
        <v>1.6389445788072325</v>
      </c>
      <c r="Q517" s="134">
        <f t="shared" si="162"/>
        <v>1.3339792247565812</v>
      </c>
      <c r="R517" s="134">
        <f t="shared" si="162"/>
        <v>1.8551789393459415</v>
      </c>
      <c r="S517" s="134">
        <f t="shared" si="162"/>
        <v>7.0546355924773847</v>
      </c>
      <c r="T517" s="134">
        <f t="shared" si="162"/>
        <v>7.7113861425089754</v>
      </c>
      <c r="U517" s="134">
        <f t="shared" si="162"/>
        <v>6.1244943876860667</v>
      </c>
      <c r="V517" s="134">
        <f t="shared" si="162"/>
        <v>6.0797105935031945</v>
      </c>
      <c r="W517" s="134">
        <f t="shared" si="162"/>
        <v>5.7718213161053971</v>
      </c>
      <c r="X517" s="134">
        <f t="shared" si="162"/>
        <v>0.96334240275326455</v>
      </c>
      <c r="Y517" s="134">
        <f t="shared" si="162"/>
        <v>1.0101211359837954</v>
      </c>
      <c r="Z517" s="134">
        <f t="shared" si="162"/>
        <v>1.5821722193444481</v>
      </c>
      <c r="AA517" s="134">
        <f t="shared" si="162"/>
        <v>0.97403163253443814</v>
      </c>
      <c r="AB517" s="134">
        <f t="shared" si="162"/>
        <v>10.88567881316431</v>
      </c>
      <c r="AC517" s="134">
        <f t="shared" si="162"/>
        <v>1</v>
      </c>
      <c r="AD517" s="134">
        <f t="shared" si="162"/>
        <v>1</v>
      </c>
      <c r="AE517" s="134">
        <f t="shared" si="162"/>
        <v>1</v>
      </c>
      <c r="AF517" s="134">
        <f t="shared" si="162"/>
        <v>1</v>
      </c>
      <c r="AG517" s="134">
        <f t="shared" si="162"/>
        <v>5.1463601532567056</v>
      </c>
      <c r="AH517" s="134">
        <f t="shared" si="162"/>
        <v>5.1463601532567056</v>
      </c>
      <c r="AI517" s="134">
        <f t="shared" si="162"/>
        <v>1</v>
      </c>
      <c r="AJ517" s="134">
        <f t="shared" si="162"/>
        <v>1</v>
      </c>
      <c r="AK517" s="134">
        <f t="shared" si="162"/>
        <v>5.1463601532567056</v>
      </c>
      <c r="AL517" s="134">
        <f t="shared" si="162"/>
        <v>5.1463601532567056</v>
      </c>
      <c r="AM517" s="134">
        <f t="shared" si="162"/>
        <v>1</v>
      </c>
      <c r="AN517" s="134">
        <f t="shared" si="162"/>
        <v>1</v>
      </c>
      <c r="AO517" s="134">
        <f t="shared" si="162"/>
        <v>5.1463601532567056</v>
      </c>
      <c r="AP517" s="134">
        <f t="shared" si="162"/>
        <v>5.1463601532567056</v>
      </c>
    </row>
    <row r="518" spans="5:42" x14ac:dyDescent="0.25">
      <c r="J518" s="92"/>
      <c r="K518" s="92"/>
      <c r="L518" s="92"/>
      <c r="M518" s="92"/>
      <c r="N518" s="92"/>
      <c r="O518" s="92"/>
      <c r="P518" s="92"/>
      <c r="Q518" s="92"/>
      <c r="R518" s="92"/>
      <c r="S518" s="92"/>
      <c r="T518" s="92"/>
      <c r="U518" s="92"/>
      <c r="V518" s="92"/>
      <c r="W518" s="92"/>
      <c r="X518" s="92"/>
      <c r="Y518" s="92"/>
      <c r="Z518" s="92"/>
      <c r="AA518" s="92"/>
      <c r="AB518" s="92"/>
      <c r="AC518" s="92"/>
      <c r="AD518" s="92"/>
      <c r="AE518" s="92"/>
      <c r="AF518" s="92"/>
      <c r="AG518" s="92"/>
      <c r="AH518" s="92"/>
      <c r="AI518" s="92"/>
      <c r="AJ518" s="92"/>
      <c r="AK518" s="92"/>
      <c r="AL518" s="92"/>
      <c r="AM518" s="92"/>
      <c r="AN518" s="92"/>
      <c r="AO518" s="92"/>
      <c r="AP518" s="92"/>
    </row>
    <row r="519" spans="5:42" x14ac:dyDescent="0.25">
      <c r="E519" s="32" t="s">
        <v>193</v>
      </c>
      <c r="F519" s="28"/>
      <c r="G519" s="28"/>
      <c r="J519" s="92"/>
      <c r="K519" s="92"/>
      <c r="L519" s="92"/>
      <c r="M519" s="92"/>
      <c r="N519" s="92"/>
      <c r="O519" s="92"/>
      <c r="P519" s="92"/>
      <c r="Q519" s="92"/>
      <c r="R519" s="92"/>
      <c r="S519" s="92"/>
      <c r="T519" s="92"/>
      <c r="U519" s="92"/>
      <c r="V519" s="92"/>
      <c r="W519" s="92"/>
      <c r="X519" s="92"/>
      <c r="Y519" s="92"/>
      <c r="Z519" s="92"/>
      <c r="AA519" s="92"/>
      <c r="AB519" s="92"/>
      <c r="AC519" s="92"/>
      <c r="AD519" s="92"/>
      <c r="AE519" s="92"/>
      <c r="AF519" s="92"/>
      <c r="AG519" s="92"/>
      <c r="AH519" s="92"/>
      <c r="AI519" s="92"/>
      <c r="AJ519" s="92"/>
      <c r="AK519" s="92"/>
      <c r="AL519" s="92"/>
      <c r="AM519" s="92"/>
      <c r="AN519" s="92"/>
      <c r="AO519" s="92"/>
      <c r="AP519" s="92"/>
    </row>
    <row r="520" spans="5:42" x14ac:dyDescent="0.25">
      <c r="F520" s="64" t="s">
        <v>227</v>
      </c>
      <c r="G520" s="64" t="s">
        <v>342</v>
      </c>
      <c r="H520" s="23"/>
      <c r="I520" s="23"/>
      <c r="J520" s="104">
        <f t="shared" ref="J520:AP520" si="163">J304 * J488</f>
        <v>0</v>
      </c>
      <c r="K520" s="104">
        <f t="shared" si="163"/>
        <v>0.63929108082131025</v>
      </c>
      <c r="L520" s="104">
        <f t="shared" si="163"/>
        <v>0</v>
      </c>
      <c r="M520" s="104">
        <f t="shared" si="163"/>
        <v>0</v>
      </c>
      <c r="N520" s="104">
        <f t="shared" si="163"/>
        <v>0.53217688692969822</v>
      </c>
      <c r="O520" s="104">
        <f t="shared" si="163"/>
        <v>0</v>
      </c>
      <c r="P520" s="104">
        <f t="shared" si="163"/>
        <v>0.50200210014915581</v>
      </c>
      <c r="Q520" s="104">
        <f t="shared" si="163"/>
        <v>0.40859244482232721</v>
      </c>
      <c r="R520" s="104">
        <f t="shared" si="163"/>
        <v>0.56362240705136524</v>
      </c>
      <c r="S520" s="104">
        <f t="shared" si="163"/>
        <v>1.0393471442838491</v>
      </c>
      <c r="T520" s="104">
        <f t="shared" si="163"/>
        <v>1.134703866010494</v>
      </c>
      <c r="U520" s="104">
        <f t="shared" si="163"/>
        <v>0.90088724405512599</v>
      </c>
      <c r="V520" s="104">
        <f t="shared" si="163"/>
        <v>0.89429973717441791</v>
      </c>
      <c r="W520" s="104">
        <f t="shared" si="163"/>
        <v>0.84901052552182599</v>
      </c>
      <c r="X520" s="104">
        <f t="shared" si="163"/>
        <v>0</v>
      </c>
      <c r="Y520" s="104">
        <f t="shared" si="163"/>
        <v>0</v>
      </c>
      <c r="Z520" s="104">
        <f t="shared" si="163"/>
        <v>0</v>
      </c>
      <c r="AA520" s="104">
        <f t="shared" si="163"/>
        <v>0</v>
      </c>
      <c r="AB520" s="104">
        <f t="shared" si="163"/>
        <v>0.87476501925688155</v>
      </c>
      <c r="AC520" s="104">
        <f t="shared" si="163"/>
        <v>0</v>
      </c>
      <c r="AD520" s="104">
        <f t="shared" si="163"/>
        <v>0</v>
      </c>
      <c r="AE520" s="104">
        <f t="shared" si="163"/>
        <v>0</v>
      </c>
      <c r="AF520" s="104">
        <f t="shared" si="163"/>
        <v>0</v>
      </c>
      <c r="AG520" s="104">
        <f t="shared" si="163"/>
        <v>0.75700783148798267</v>
      </c>
      <c r="AH520" s="104">
        <f t="shared" si="163"/>
        <v>0.75700783148798267</v>
      </c>
      <c r="AI520" s="104">
        <f t="shared" si="163"/>
        <v>0</v>
      </c>
      <c r="AJ520" s="104">
        <f t="shared" si="163"/>
        <v>0</v>
      </c>
      <c r="AK520" s="104">
        <f t="shared" si="163"/>
        <v>0.75700783148798267</v>
      </c>
      <c r="AL520" s="104">
        <f t="shared" si="163"/>
        <v>0.75700783148798267</v>
      </c>
      <c r="AM520" s="104">
        <f t="shared" si="163"/>
        <v>0</v>
      </c>
      <c r="AN520" s="104">
        <f t="shared" si="163"/>
        <v>0</v>
      </c>
      <c r="AO520" s="104">
        <f t="shared" si="163"/>
        <v>0.75700783148798267</v>
      </c>
      <c r="AP520" s="104">
        <f t="shared" si="163"/>
        <v>0.75700783148798267</v>
      </c>
    </row>
    <row r="521" spans="5:42" x14ac:dyDescent="0.25">
      <c r="F521" s="28" t="s">
        <v>228</v>
      </c>
      <c r="G521" s="28" t="s">
        <v>342</v>
      </c>
      <c r="J521" s="124">
        <f t="shared" ref="J521:AP521" si="164">J305 * J489</f>
        <v>0</v>
      </c>
      <c r="K521" s="124">
        <f t="shared" si="164"/>
        <v>0</v>
      </c>
      <c r="L521" s="124">
        <f t="shared" si="164"/>
        <v>0</v>
      </c>
      <c r="M521" s="124">
        <f t="shared" si="164"/>
        <v>0</v>
      </c>
      <c r="N521" s="124">
        <f t="shared" si="164"/>
        <v>0</v>
      </c>
      <c r="O521" s="124">
        <f t="shared" si="164"/>
        <v>0</v>
      </c>
      <c r="P521" s="124">
        <f t="shared" si="164"/>
        <v>0</v>
      </c>
      <c r="Q521" s="124">
        <f t="shared" si="164"/>
        <v>0</v>
      </c>
      <c r="R521" s="124">
        <f t="shared" si="164"/>
        <v>0</v>
      </c>
      <c r="S521" s="124">
        <f t="shared" si="164"/>
        <v>0</v>
      </c>
      <c r="T521" s="124">
        <f t="shared" si="164"/>
        <v>0</v>
      </c>
      <c r="U521" s="124">
        <f t="shared" si="164"/>
        <v>0</v>
      </c>
      <c r="V521" s="124">
        <f t="shared" si="164"/>
        <v>0</v>
      </c>
      <c r="W521" s="124">
        <f t="shared" si="164"/>
        <v>0</v>
      </c>
      <c r="X521" s="124">
        <f t="shared" si="164"/>
        <v>0</v>
      </c>
      <c r="Y521" s="124">
        <f t="shared" si="164"/>
        <v>0</v>
      </c>
      <c r="Z521" s="124">
        <f t="shared" si="164"/>
        <v>0</v>
      </c>
      <c r="AA521" s="124">
        <f t="shared" si="164"/>
        <v>0</v>
      </c>
      <c r="AB521" s="124">
        <f t="shared" si="164"/>
        <v>0</v>
      </c>
      <c r="AC521" s="124">
        <f t="shared" si="164"/>
        <v>0</v>
      </c>
      <c r="AD521" s="124">
        <f t="shared" si="164"/>
        <v>0</v>
      </c>
      <c r="AE521" s="124">
        <f t="shared" si="164"/>
        <v>0</v>
      </c>
      <c r="AF521" s="124">
        <f t="shared" si="164"/>
        <v>0</v>
      </c>
      <c r="AG521" s="124">
        <f t="shared" si="164"/>
        <v>0</v>
      </c>
      <c r="AH521" s="124">
        <f t="shared" si="164"/>
        <v>0</v>
      </c>
      <c r="AI521" s="124">
        <f t="shared" si="164"/>
        <v>0</v>
      </c>
      <c r="AJ521" s="124">
        <f t="shared" si="164"/>
        <v>0</v>
      </c>
      <c r="AK521" s="124">
        <f t="shared" si="164"/>
        <v>0</v>
      </c>
      <c r="AL521" s="124">
        <f t="shared" si="164"/>
        <v>0</v>
      </c>
      <c r="AM521" s="124">
        <f t="shared" si="164"/>
        <v>0</v>
      </c>
      <c r="AN521" s="124">
        <f t="shared" si="164"/>
        <v>0</v>
      </c>
      <c r="AO521" s="124">
        <f t="shared" si="164"/>
        <v>0</v>
      </c>
      <c r="AP521" s="124">
        <f t="shared" si="164"/>
        <v>0</v>
      </c>
    </row>
    <row r="522" spans="5:42" x14ac:dyDescent="0.25">
      <c r="F522" s="28" t="s">
        <v>229</v>
      </c>
      <c r="G522" s="28" t="s">
        <v>342</v>
      </c>
      <c r="J522" s="124">
        <f t="shared" ref="J522:AP522" si="165">J306 * J490</f>
        <v>0</v>
      </c>
      <c r="K522" s="124">
        <f t="shared" si="165"/>
        <v>0</v>
      </c>
      <c r="L522" s="124">
        <f t="shared" si="165"/>
        <v>0</v>
      </c>
      <c r="M522" s="124">
        <f t="shared" si="165"/>
        <v>0</v>
      </c>
      <c r="N522" s="124">
        <f t="shared" si="165"/>
        <v>0</v>
      </c>
      <c r="O522" s="124">
        <f t="shared" si="165"/>
        <v>0</v>
      </c>
      <c r="P522" s="124">
        <f t="shared" si="165"/>
        <v>0</v>
      </c>
      <c r="Q522" s="124">
        <f t="shared" si="165"/>
        <v>0</v>
      </c>
      <c r="R522" s="124">
        <f t="shared" si="165"/>
        <v>0</v>
      </c>
      <c r="S522" s="124">
        <f t="shared" si="165"/>
        <v>0</v>
      </c>
      <c r="T522" s="124">
        <f t="shared" si="165"/>
        <v>0</v>
      </c>
      <c r="U522" s="124">
        <f t="shared" si="165"/>
        <v>0</v>
      </c>
      <c r="V522" s="124">
        <f t="shared" si="165"/>
        <v>0</v>
      </c>
      <c r="W522" s="124">
        <f t="shared" si="165"/>
        <v>0</v>
      </c>
      <c r="X522" s="124">
        <f t="shared" si="165"/>
        <v>0</v>
      </c>
      <c r="Y522" s="124">
        <f t="shared" si="165"/>
        <v>0</v>
      </c>
      <c r="Z522" s="124">
        <f t="shared" si="165"/>
        <v>0</v>
      </c>
      <c r="AA522" s="124">
        <f t="shared" si="165"/>
        <v>0</v>
      </c>
      <c r="AB522" s="124">
        <f t="shared" si="165"/>
        <v>0</v>
      </c>
      <c r="AC522" s="124">
        <f t="shared" si="165"/>
        <v>0</v>
      </c>
      <c r="AD522" s="124">
        <f t="shared" si="165"/>
        <v>0</v>
      </c>
      <c r="AE522" s="124">
        <f t="shared" si="165"/>
        <v>0</v>
      </c>
      <c r="AF522" s="124">
        <f t="shared" si="165"/>
        <v>0</v>
      </c>
      <c r="AG522" s="124">
        <f t="shared" si="165"/>
        <v>0</v>
      </c>
      <c r="AH522" s="124">
        <f t="shared" si="165"/>
        <v>0</v>
      </c>
      <c r="AI522" s="124">
        <f t="shared" si="165"/>
        <v>0</v>
      </c>
      <c r="AJ522" s="124">
        <f t="shared" si="165"/>
        <v>0</v>
      </c>
      <c r="AK522" s="124">
        <f t="shared" si="165"/>
        <v>0</v>
      </c>
      <c r="AL522" s="124">
        <f t="shared" si="165"/>
        <v>0</v>
      </c>
      <c r="AM522" s="124">
        <f t="shared" si="165"/>
        <v>0</v>
      </c>
      <c r="AN522" s="124">
        <f t="shared" si="165"/>
        <v>0</v>
      </c>
      <c r="AO522" s="124">
        <f t="shared" si="165"/>
        <v>0</v>
      </c>
      <c r="AP522" s="124">
        <f t="shared" si="165"/>
        <v>0</v>
      </c>
    </row>
    <row r="523" spans="5:42" x14ac:dyDescent="0.25">
      <c r="F523" s="28" t="s">
        <v>230</v>
      </c>
      <c r="G523" s="28" t="s">
        <v>342</v>
      </c>
      <c r="J523" s="124">
        <f t="shared" ref="J523:AP523" si="166">J307 * J491</f>
        <v>0</v>
      </c>
      <c r="K523" s="124">
        <f t="shared" si="166"/>
        <v>0.69297119319265954</v>
      </c>
      <c r="L523" s="124">
        <f t="shared" si="166"/>
        <v>0</v>
      </c>
      <c r="M523" s="124">
        <f t="shared" si="166"/>
        <v>0</v>
      </c>
      <c r="N523" s="124">
        <f t="shared" si="166"/>
        <v>0.59285671536095186</v>
      </c>
      <c r="O523" s="124">
        <f t="shared" si="166"/>
        <v>0</v>
      </c>
      <c r="P523" s="124">
        <f t="shared" si="166"/>
        <v>0.55778854727449012</v>
      </c>
      <c r="Q523" s="124">
        <f t="shared" si="166"/>
        <v>0.45399847163400642</v>
      </c>
      <c r="R523" s="124">
        <f t="shared" si="166"/>
        <v>0.62639185018679178</v>
      </c>
      <c r="S523" s="124">
        <f t="shared" si="166"/>
        <v>1.134992123964369</v>
      </c>
      <c r="T523" s="124">
        <f t="shared" si="166"/>
        <v>1.2406540950079161</v>
      </c>
      <c r="U523" s="124">
        <f t="shared" si="166"/>
        <v>0.98534542318529406</v>
      </c>
      <c r="V523" s="124">
        <f t="shared" si="166"/>
        <v>0.97814033753451957</v>
      </c>
      <c r="W523" s="124">
        <f t="shared" si="166"/>
        <v>0.92860526228949714</v>
      </c>
      <c r="X523" s="124">
        <f t="shared" si="166"/>
        <v>0</v>
      </c>
      <c r="Y523" s="124">
        <f t="shared" si="166"/>
        <v>0</v>
      </c>
      <c r="Z523" s="124">
        <f t="shared" si="166"/>
        <v>0</v>
      </c>
      <c r="AA523" s="124">
        <f t="shared" si="166"/>
        <v>0</v>
      </c>
      <c r="AB523" s="124">
        <f t="shared" si="166"/>
        <v>0.95428911191659793</v>
      </c>
      <c r="AC523" s="124">
        <f t="shared" si="166"/>
        <v>0</v>
      </c>
      <c r="AD523" s="124">
        <f t="shared" si="166"/>
        <v>0</v>
      </c>
      <c r="AE523" s="124">
        <f t="shared" si="166"/>
        <v>0</v>
      </c>
      <c r="AF523" s="124">
        <f t="shared" si="166"/>
        <v>0</v>
      </c>
      <c r="AG523" s="124">
        <f t="shared" si="166"/>
        <v>0.82797731568998101</v>
      </c>
      <c r="AH523" s="124">
        <f t="shared" si="166"/>
        <v>0.82797731568998101</v>
      </c>
      <c r="AI523" s="124">
        <f t="shared" si="166"/>
        <v>0</v>
      </c>
      <c r="AJ523" s="124">
        <f t="shared" si="166"/>
        <v>0</v>
      </c>
      <c r="AK523" s="124">
        <f t="shared" si="166"/>
        <v>0.82797731568998101</v>
      </c>
      <c r="AL523" s="124">
        <f t="shared" si="166"/>
        <v>0.82797731568998101</v>
      </c>
      <c r="AM523" s="124">
        <f t="shared" si="166"/>
        <v>0</v>
      </c>
      <c r="AN523" s="124">
        <f t="shared" si="166"/>
        <v>0</v>
      </c>
      <c r="AO523" s="124">
        <f t="shared" si="166"/>
        <v>0.82797731568998101</v>
      </c>
      <c r="AP523" s="124">
        <f t="shared" si="166"/>
        <v>0.82797731568998101</v>
      </c>
    </row>
    <row r="524" spans="5:42" x14ac:dyDescent="0.25">
      <c r="F524" s="28" t="s">
        <v>231</v>
      </c>
      <c r="G524" s="28" t="s">
        <v>342</v>
      </c>
      <c r="J524" s="124">
        <f t="shared" ref="J524:AP524" si="167">J308 * J492</f>
        <v>0</v>
      </c>
      <c r="K524" s="124">
        <f t="shared" si="167"/>
        <v>0.69297119319265954</v>
      </c>
      <c r="L524" s="124">
        <f t="shared" si="167"/>
        <v>0</v>
      </c>
      <c r="M524" s="124">
        <f t="shared" si="167"/>
        <v>0</v>
      </c>
      <c r="N524" s="124">
        <f t="shared" si="167"/>
        <v>0.59285671536095186</v>
      </c>
      <c r="O524" s="124">
        <f t="shared" si="167"/>
        <v>0</v>
      </c>
      <c r="P524" s="124">
        <f t="shared" si="167"/>
        <v>0.55778854727449012</v>
      </c>
      <c r="Q524" s="124">
        <f t="shared" si="167"/>
        <v>0.45399847163400642</v>
      </c>
      <c r="R524" s="124">
        <f t="shared" si="167"/>
        <v>0.62639185018679178</v>
      </c>
      <c r="S524" s="124">
        <f t="shared" si="167"/>
        <v>1.134992123964369</v>
      </c>
      <c r="T524" s="124">
        <f t="shared" si="167"/>
        <v>1.2406540950079161</v>
      </c>
      <c r="U524" s="124">
        <f t="shared" si="167"/>
        <v>0.98534542318529406</v>
      </c>
      <c r="V524" s="124">
        <f t="shared" si="167"/>
        <v>0.97814033753451957</v>
      </c>
      <c r="W524" s="124">
        <f t="shared" si="167"/>
        <v>0.92860526228949714</v>
      </c>
      <c r="X524" s="124">
        <f t="shared" si="167"/>
        <v>0</v>
      </c>
      <c r="Y524" s="124">
        <f t="shared" si="167"/>
        <v>0</v>
      </c>
      <c r="Z524" s="124">
        <f t="shared" si="167"/>
        <v>0</v>
      </c>
      <c r="AA524" s="124">
        <f t="shared" si="167"/>
        <v>0</v>
      </c>
      <c r="AB524" s="124">
        <f t="shared" si="167"/>
        <v>0.95428911191659793</v>
      </c>
      <c r="AC524" s="124">
        <f t="shared" si="167"/>
        <v>0</v>
      </c>
      <c r="AD524" s="124">
        <f t="shared" si="167"/>
        <v>0</v>
      </c>
      <c r="AE524" s="124">
        <f t="shared" si="167"/>
        <v>0</v>
      </c>
      <c r="AF524" s="124">
        <f t="shared" si="167"/>
        <v>0</v>
      </c>
      <c r="AG524" s="124">
        <f t="shared" si="167"/>
        <v>0.82797731568998101</v>
      </c>
      <c r="AH524" s="124">
        <f t="shared" si="167"/>
        <v>0.82797731568998101</v>
      </c>
      <c r="AI524" s="124">
        <f t="shared" si="167"/>
        <v>0</v>
      </c>
      <c r="AJ524" s="124">
        <f t="shared" si="167"/>
        <v>0</v>
      </c>
      <c r="AK524" s="124">
        <f t="shared" si="167"/>
        <v>0.82797731568998101</v>
      </c>
      <c r="AL524" s="124">
        <f t="shared" si="167"/>
        <v>0.82797731568998101</v>
      </c>
      <c r="AM524" s="124">
        <f t="shared" si="167"/>
        <v>0</v>
      </c>
      <c r="AN524" s="124">
        <f t="shared" si="167"/>
        <v>0</v>
      </c>
      <c r="AO524" s="124">
        <f t="shared" si="167"/>
        <v>0.82797731568998101</v>
      </c>
      <c r="AP524" s="124">
        <f t="shared" si="167"/>
        <v>0.82797731568998101</v>
      </c>
    </row>
    <row r="525" spans="5:42" x14ac:dyDescent="0.25">
      <c r="F525" s="28" t="s">
        <v>232</v>
      </c>
      <c r="G525" s="28" t="s">
        <v>342</v>
      </c>
      <c r="J525" s="124">
        <f t="shared" ref="J525:AP525" si="168">J309 * J493</f>
        <v>0</v>
      </c>
      <c r="K525" s="124">
        <f t="shared" si="168"/>
        <v>0</v>
      </c>
      <c r="L525" s="124">
        <f t="shared" si="168"/>
        <v>0</v>
      </c>
      <c r="M525" s="124">
        <f t="shared" si="168"/>
        <v>0</v>
      </c>
      <c r="N525" s="124">
        <f t="shared" si="168"/>
        <v>0</v>
      </c>
      <c r="O525" s="124">
        <f t="shared" si="168"/>
        <v>0</v>
      </c>
      <c r="P525" s="124">
        <f t="shared" si="168"/>
        <v>0</v>
      </c>
      <c r="Q525" s="124">
        <f t="shared" si="168"/>
        <v>0</v>
      </c>
      <c r="R525" s="124">
        <f t="shared" si="168"/>
        <v>0</v>
      </c>
      <c r="S525" s="124">
        <f t="shared" si="168"/>
        <v>0</v>
      </c>
      <c r="T525" s="124">
        <f t="shared" si="168"/>
        <v>0</v>
      </c>
      <c r="U525" s="124">
        <f t="shared" si="168"/>
        <v>0</v>
      </c>
      <c r="V525" s="124">
        <f t="shared" si="168"/>
        <v>0</v>
      </c>
      <c r="W525" s="124">
        <f t="shared" si="168"/>
        <v>0</v>
      </c>
      <c r="X525" s="124">
        <f t="shared" si="168"/>
        <v>0</v>
      </c>
      <c r="Y525" s="124">
        <f t="shared" si="168"/>
        <v>0</v>
      </c>
      <c r="Z525" s="124">
        <f t="shared" si="168"/>
        <v>0</v>
      </c>
      <c r="AA525" s="124">
        <f t="shared" si="168"/>
        <v>0</v>
      </c>
      <c r="AB525" s="124">
        <f t="shared" si="168"/>
        <v>0</v>
      </c>
      <c r="AC525" s="124">
        <f t="shared" si="168"/>
        <v>0</v>
      </c>
      <c r="AD525" s="124">
        <f t="shared" si="168"/>
        <v>0</v>
      </c>
      <c r="AE525" s="124">
        <f t="shared" si="168"/>
        <v>0</v>
      </c>
      <c r="AF525" s="124">
        <f t="shared" si="168"/>
        <v>0</v>
      </c>
      <c r="AG525" s="124">
        <f t="shared" si="168"/>
        <v>0</v>
      </c>
      <c r="AH525" s="124">
        <f t="shared" si="168"/>
        <v>0</v>
      </c>
      <c r="AI525" s="124">
        <f t="shared" si="168"/>
        <v>0</v>
      </c>
      <c r="AJ525" s="124">
        <f t="shared" si="168"/>
        <v>0</v>
      </c>
      <c r="AK525" s="124">
        <f t="shared" si="168"/>
        <v>0</v>
      </c>
      <c r="AL525" s="124">
        <f t="shared" si="168"/>
        <v>0</v>
      </c>
      <c r="AM525" s="124">
        <f t="shared" si="168"/>
        <v>0</v>
      </c>
      <c r="AN525" s="124">
        <f t="shared" si="168"/>
        <v>0</v>
      </c>
      <c r="AO525" s="124">
        <f t="shared" si="168"/>
        <v>0</v>
      </c>
      <c r="AP525" s="124">
        <f t="shared" si="168"/>
        <v>0</v>
      </c>
    </row>
    <row r="526" spans="5:42" x14ac:dyDescent="0.25">
      <c r="F526" s="28" t="s">
        <v>233</v>
      </c>
      <c r="G526" s="28" t="s">
        <v>342</v>
      </c>
      <c r="J526" s="124">
        <f t="shared" ref="J526:AP526" si="169">J310 * J494</f>
        <v>0</v>
      </c>
      <c r="K526" s="124">
        <f t="shared" si="169"/>
        <v>0.69297119319265954</v>
      </c>
      <c r="L526" s="124">
        <f t="shared" si="169"/>
        <v>0</v>
      </c>
      <c r="M526" s="124">
        <f t="shared" si="169"/>
        <v>0</v>
      </c>
      <c r="N526" s="124">
        <f t="shared" si="169"/>
        <v>0.59285671536095186</v>
      </c>
      <c r="O526" s="124">
        <f t="shared" si="169"/>
        <v>0</v>
      </c>
      <c r="P526" s="124">
        <f t="shared" si="169"/>
        <v>0.55778854727449012</v>
      </c>
      <c r="Q526" s="124">
        <f t="shared" si="169"/>
        <v>0.45399847163400642</v>
      </c>
      <c r="R526" s="124">
        <f t="shared" si="169"/>
        <v>0.62639185018679178</v>
      </c>
      <c r="S526" s="124">
        <f t="shared" si="169"/>
        <v>1.134992123964369</v>
      </c>
      <c r="T526" s="124">
        <f t="shared" si="169"/>
        <v>1.2406540950079161</v>
      </c>
      <c r="U526" s="124">
        <f t="shared" si="169"/>
        <v>0.98534542318529406</v>
      </c>
      <c r="V526" s="124">
        <f t="shared" si="169"/>
        <v>0.97814033753451957</v>
      </c>
      <c r="W526" s="124">
        <f t="shared" si="169"/>
        <v>0.92860526228949714</v>
      </c>
      <c r="X526" s="124">
        <f t="shared" si="169"/>
        <v>0</v>
      </c>
      <c r="Y526" s="124">
        <f t="shared" si="169"/>
        <v>0</v>
      </c>
      <c r="Z526" s="124">
        <f t="shared" si="169"/>
        <v>0</v>
      </c>
      <c r="AA526" s="124">
        <f t="shared" si="169"/>
        <v>0</v>
      </c>
      <c r="AB526" s="124">
        <f t="shared" si="169"/>
        <v>0.95428911191659793</v>
      </c>
      <c r="AC526" s="124">
        <f t="shared" si="169"/>
        <v>0</v>
      </c>
      <c r="AD526" s="124">
        <f t="shared" si="169"/>
        <v>0</v>
      </c>
      <c r="AE526" s="124">
        <f t="shared" si="169"/>
        <v>0</v>
      </c>
      <c r="AF526" s="124">
        <f t="shared" si="169"/>
        <v>0</v>
      </c>
      <c r="AG526" s="124">
        <f t="shared" si="169"/>
        <v>0.82797731568998101</v>
      </c>
      <c r="AH526" s="124">
        <f t="shared" si="169"/>
        <v>0.82797731568998101</v>
      </c>
      <c r="AI526" s="124">
        <f t="shared" si="169"/>
        <v>0</v>
      </c>
      <c r="AJ526" s="124">
        <f t="shared" si="169"/>
        <v>0</v>
      </c>
      <c r="AK526" s="124">
        <f t="shared" si="169"/>
        <v>0.82797731568998101</v>
      </c>
      <c r="AL526" s="124">
        <f t="shared" si="169"/>
        <v>0.82797731568998101</v>
      </c>
      <c r="AM526" s="124">
        <f t="shared" si="169"/>
        <v>0</v>
      </c>
      <c r="AN526" s="124">
        <f t="shared" si="169"/>
        <v>0</v>
      </c>
      <c r="AO526" s="124">
        <f t="shared" si="169"/>
        <v>0.82797731568998101</v>
      </c>
      <c r="AP526" s="124">
        <f t="shared" si="169"/>
        <v>0.82797731568998101</v>
      </c>
    </row>
    <row r="527" spans="5:42" x14ac:dyDescent="0.25">
      <c r="F527" s="28" t="s">
        <v>234</v>
      </c>
      <c r="G527" s="28" t="s">
        <v>342</v>
      </c>
      <c r="J527" s="124">
        <f t="shared" ref="J527:AP527" si="170">J311 * J495</f>
        <v>0</v>
      </c>
      <c r="K527" s="124">
        <f t="shared" si="170"/>
        <v>0.69297119319265954</v>
      </c>
      <c r="L527" s="124">
        <f t="shared" si="170"/>
        <v>0</v>
      </c>
      <c r="M527" s="124">
        <f t="shared" si="170"/>
        <v>0</v>
      </c>
      <c r="N527" s="124">
        <f t="shared" si="170"/>
        <v>0.59285671536095186</v>
      </c>
      <c r="O527" s="124">
        <f t="shared" si="170"/>
        <v>0</v>
      </c>
      <c r="P527" s="124">
        <f t="shared" si="170"/>
        <v>0.55778854727449012</v>
      </c>
      <c r="Q527" s="124">
        <f t="shared" si="170"/>
        <v>0.45399847163400642</v>
      </c>
      <c r="R527" s="124">
        <f t="shared" si="170"/>
        <v>0.62639185018679178</v>
      </c>
      <c r="S527" s="124">
        <f t="shared" si="170"/>
        <v>1.134992123964369</v>
      </c>
      <c r="T527" s="124">
        <f t="shared" si="170"/>
        <v>1.2406540950079161</v>
      </c>
      <c r="U527" s="124">
        <f t="shared" si="170"/>
        <v>0.98534542318529406</v>
      </c>
      <c r="V527" s="124">
        <f t="shared" si="170"/>
        <v>0.97814033753451957</v>
      </c>
      <c r="W527" s="124">
        <f t="shared" si="170"/>
        <v>0.92860526228949714</v>
      </c>
      <c r="X527" s="124">
        <f t="shared" si="170"/>
        <v>0</v>
      </c>
      <c r="Y527" s="124">
        <f t="shared" si="170"/>
        <v>0</v>
      </c>
      <c r="Z527" s="124">
        <f t="shared" si="170"/>
        <v>0</v>
      </c>
      <c r="AA527" s="124">
        <f t="shared" si="170"/>
        <v>0</v>
      </c>
      <c r="AB527" s="124">
        <f t="shared" si="170"/>
        <v>0.95428911191659793</v>
      </c>
      <c r="AC527" s="124">
        <f t="shared" si="170"/>
        <v>0</v>
      </c>
      <c r="AD527" s="124">
        <f t="shared" si="170"/>
        <v>0</v>
      </c>
      <c r="AE527" s="124">
        <f t="shared" si="170"/>
        <v>0</v>
      </c>
      <c r="AF527" s="124">
        <f t="shared" si="170"/>
        <v>0</v>
      </c>
      <c r="AG527" s="124">
        <f t="shared" si="170"/>
        <v>0.82797731568998101</v>
      </c>
      <c r="AH527" s="124">
        <f t="shared" si="170"/>
        <v>0.82797731568998101</v>
      </c>
      <c r="AI527" s="124">
        <f t="shared" si="170"/>
        <v>0</v>
      </c>
      <c r="AJ527" s="124">
        <f t="shared" si="170"/>
        <v>0</v>
      </c>
      <c r="AK527" s="124">
        <f t="shared" si="170"/>
        <v>0.82797731568998101</v>
      </c>
      <c r="AL527" s="124">
        <f t="shared" si="170"/>
        <v>0.82797731568998101</v>
      </c>
      <c r="AM527" s="124">
        <f t="shared" si="170"/>
        <v>0</v>
      </c>
      <c r="AN527" s="124">
        <f t="shared" si="170"/>
        <v>0</v>
      </c>
      <c r="AO527" s="124">
        <f t="shared" si="170"/>
        <v>0.82797731568998101</v>
      </c>
      <c r="AP527" s="124">
        <f t="shared" si="170"/>
        <v>0.82797731568998101</v>
      </c>
    </row>
    <row r="528" spans="5:42" x14ac:dyDescent="0.25">
      <c r="F528" s="67" t="s">
        <v>235</v>
      </c>
      <c r="G528" s="67" t="s">
        <v>342</v>
      </c>
      <c r="H528" s="37"/>
      <c r="I528" s="37"/>
      <c r="J528" s="134">
        <f t="shared" ref="J528:AP528" si="171">J312 * J496</f>
        <v>0</v>
      </c>
      <c r="K528" s="134">
        <f t="shared" si="171"/>
        <v>0.69297119319265954</v>
      </c>
      <c r="L528" s="134">
        <f t="shared" si="171"/>
        <v>0</v>
      </c>
      <c r="M528" s="134">
        <f t="shared" si="171"/>
        <v>0</v>
      </c>
      <c r="N528" s="134">
        <f t="shared" si="171"/>
        <v>0.59285671536095186</v>
      </c>
      <c r="O528" s="134">
        <f t="shared" si="171"/>
        <v>0</v>
      </c>
      <c r="P528" s="134">
        <f t="shared" si="171"/>
        <v>0.55778854727449012</v>
      </c>
      <c r="Q528" s="134">
        <f t="shared" si="171"/>
        <v>0.45399847163400642</v>
      </c>
      <c r="R528" s="134">
        <f t="shared" si="171"/>
        <v>0.62639185018679178</v>
      </c>
      <c r="S528" s="134">
        <f t="shared" si="171"/>
        <v>1.134992123964369</v>
      </c>
      <c r="T528" s="134">
        <f t="shared" si="171"/>
        <v>1.2406540950079161</v>
      </c>
      <c r="U528" s="134">
        <f t="shared" si="171"/>
        <v>0.98534542318529406</v>
      </c>
      <c r="V528" s="134">
        <f t="shared" si="171"/>
        <v>0.97814033753451957</v>
      </c>
      <c r="W528" s="134">
        <f t="shared" si="171"/>
        <v>0.92860526228949714</v>
      </c>
      <c r="X528" s="134">
        <f t="shared" si="171"/>
        <v>0</v>
      </c>
      <c r="Y528" s="134">
        <f t="shared" si="171"/>
        <v>0</v>
      </c>
      <c r="Z528" s="134">
        <f t="shared" si="171"/>
        <v>0</v>
      </c>
      <c r="AA528" s="134">
        <f t="shared" si="171"/>
        <v>0</v>
      </c>
      <c r="AB528" s="134">
        <f t="shared" si="171"/>
        <v>0.95428911191659793</v>
      </c>
      <c r="AC528" s="134">
        <f t="shared" si="171"/>
        <v>0</v>
      </c>
      <c r="AD528" s="134">
        <f t="shared" si="171"/>
        <v>0</v>
      </c>
      <c r="AE528" s="134">
        <f t="shared" si="171"/>
        <v>0</v>
      </c>
      <c r="AF528" s="134">
        <f t="shared" si="171"/>
        <v>0</v>
      </c>
      <c r="AG528" s="134">
        <f t="shared" si="171"/>
        <v>0.82797731568998101</v>
      </c>
      <c r="AH528" s="134">
        <f t="shared" si="171"/>
        <v>0.82797731568998101</v>
      </c>
      <c r="AI528" s="134">
        <f t="shared" si="171"/>
        <v>0</v>
      </c>
      <c r="AJ528" s="134">
        <f t="shared" si="171"/>
        <v>0</v>
      </c>
      <c r="AK528" s="134">
        <f t="shared" si="171"/>
        <v>0.82797731568998101</v>
      </c>
      <c r="AL528" s="134">
        <f t="shared" si="171"/>
        <v>0.82797731568998101</v>
      </c>
      <c r="AM528" s="134">
        <f t="shared" si="171"/>
        <v>0</v>
      </c>
      <c r="AN528" s="134">
        <f t="shared" si="171"/>
        <v>0</v>
      </c>
      <c r="AO528" s="134">
        <f t="shared" si="171"/>
        <v>0.82797731568998101</v>
      </c>
      <c r="AP528" s="134">
        <f t="shared" si="171"/>
        <v>0.82797731568998101</v>
      </c>
    </row>
    <row r="529" spans="2:44" x14ac:dyDescent="0.25">
      <c r="J529" s="92"/>
      <c r="K529" s="92"/>
      <c r="L529" s="92"/>
      <c r="M529" s="92"/>
      <c r="N529" s="92"/>
      <c r="O529" s="92"/>
      <c r="P529" s="92"/>
      <c r="Q529" s="92"/>
      <c r="R529" s="92"/>
      <c r="S529" s="92"/>
      <c r="T529" s="92"/>
      <c r="U529" s="92"/>
      <c r="V529" s="92"/>
      <c r="W529" s="92"/>
      <c r="X529" s="92"/>
      <c r="Y529" s="92"/>
      <c r="Z529" s="92"/>
      <c r="AA529" s="92"/>
      <c r="AB529" s="92"/>
      <c r="AC529" s="92"/>
      <c r="AD529" s="92"/>
      <c r="AE529" s="92"/>
      <c r="AF529" s="92"/>
      <c r="AG529" s="92"/>
      <c r="AH529" s="92"/>
      <c r="AI529" s="92"/>
      <c r="AJ529" s="92"/>
      <c r="AK529" s="92"/>
      <c r="AL529" s="92"/>
      <c r="AM529" s="92"/>
      <c r="AN529" s="92"/>
      <c r="AO529" s="92"/>
      <c r="AP529" s="92"/>
    </row>
    <row r="530" spans="2:44" x14ac:dyDescent="0.25">
      <c r="E530" s="32" t="s">
        <v>194</v>
      </c>
      <c r="F530" s="28"/>
      <c r="G530" s="28"/>
      <c r="J530" s="92"/>
      <c r="K530" s="92"/>
      <c r="L530" s="92"/>
      <c r="M530" s="92"/>
      <c r="N530" s="92"/>
      <c r="O530" s="92"/>
      <c r="P530" s="92"/>
      <c r="Q530" s="92"/>
      <c r="R530" s="92"/>
      <c r="S530" s="92"/>
      <c r="T530" s="92"/>
      <c r="U530" s="92"/>
      <c r="V530" s="92"/>
      <c r="W530" s="92"/>
      <c r="X530" s="92"/>
      <c r="Y530" s="92"/>
      <c r="Z530" s="92"/>
      <c r="AA530" s="92"/>
      <c r="AB530" s="92"/>
      <c r="AC530" s="92"/>
      <c r="AD530" s="92"/>
      <c r="AE530" s="92"/>
      <c r="AF530" s="92"/>
      <c r="AG530" s="92"/>
      <c r="AH530" s="92"/>
      <c r="AI530" s="92"/>
      <c r="AJ530" s="92"/>
      <c r="AK530" s="92"/>
      <c r="AL530" s="92"/>
      <c r="AM530" s="92"/>
      <c r="AN530" s="92"/>
      <c r="AO530" s="92"/>
      <c r="AP530" s="92"/>
    </row>
    <row r="531" spans="2:44" x14ac:dyDescent="0.25">
      <c r="F531" s="64" t="s">
        <v>227</v>
      </c>
      <c r="G531" s="64" t="s">
        <v>342</v>
      </c>
      <c r="H531" s="23"/>
      <c r="I531" s="23"/>
      <c r="J531" s="104">
        <f t="shared" ref="J531:AP531" si="172">J315 * J488</f>
        <v>0</v>
      </c>
      <c r="K531" s="104">
        <f t="shared" si="172"/>
        <v>0</v>
      </c>
      <c r="L531" s="104">
        <f t="shared" si="172"/>
        <v>0</v>
      </c>
      <c r="M531" s="104">
        <f t="shared" si="172"/>
        <v>0</v>
      </c>
      <c r="N531" s="104">
        <f t="shared" si="172"/>
        <v>0</v>
      </c>
      <c r="O531" s="104">
        <f t="shared" si="172"/>
        <v>0</v>
      </c>
      <c r="P531" s="104">
        <f t="shared" si="172"/>
        <v>0</v>
      </c>
      <c r="Q531" s="104">
        <f t="shared" si="172"/>
        <v>0</v>
      </c>
      <c r="R531" s="104">
        <f t="shared" si="172"/>
        <v>0</v>
      </c>
      <c r="S531" s="104">
        <f t="shared" si="172"/>
        <v>0.47838633364392702</v>
      </c>
      <c r="T531" s="104">
        <f t="shared" si="172"/>
        <v>0.52227672459366681</v>
      </c>
      <c r="U531" s="104">
        <f t="shared" si="172"/>
        <v>0.41465659292023166</v>
      </c>
      <c r="V531" s="104">
        <f t="shared" si="172"/>
        <v>0.41162452295030122</v>
      </c>
      <c r="W531" s="104">
        <f t="shared" si="172"/>
        <v>0.39077899502898689</v>
      </c>
      <c r="X531" s="104">
        <f t="shared" si="172"/>
        <v>0</v>
      </c>
      <c r="Y531" s="104">
        <f t="shared" si="172"/>
        <v>0</v>
      </c>
      <c r="Z531" s="104">
        <f t="shared" si="172"/>
        <v>0</v>
      </c>
      <c r="AA531" s="104">
        <f t="shared" si="172"/>
        <v>0</v>
      </c>
      <c r="AB531" s="104">
        <f t="shared" si="172"/>
        <v>0.33457705970609664</v>
      </c>
      <c r="AC531" s="104">
        <f t="shared" si="172"/>
        <v>0</v>
      </c>
      <c r="AD531" s="104">
        <f t="shared" si="172"/>
        <v>0</v>
      </c>
      <c r="AE531" s="104">
        <f t="shared" si="172"/>
        <v>0</v>
      </c>
      <c r="AF531" s="104">
        <f t="shared" si="172"/>
        <v>0</v>
      </c>
      <c r="AG531" s="104">
        <f t="shared" si="172"/>
        <v>0.34843238184370617</v>
      </c>
      <c r="AH531" s="104">
        <f t="shared" si="172"/>
        <v>0.34843238184370617</v>
      </c>
      <c r="AI531" s="104">
        <f t="shared" si="172"/>
        <v>0</v>
      </c>
      <c r="AJ531" s="104">
        <f t="shared" si="172"/>
        <v>0</v>
      </c>
      <c r="AK531" s="104">
        <f t="shared" si="172"/>
        <v>0.34843238184370617</v>
      </c>
      <c r="AL531" s="104">
        <f t="shared" si="172"/>
        <v>0.34843238184370617</v>
      </c>
      <c r="AM531" s="104">
        <f t="shared" si="172"/>
        <v>0</v>
      </c>
      <c r="AN531" s="104">
        <f t="shared" si="172"/>
        <v>0</v>
      </c>
      <c r="AO531" s="104">
        <f t="shared" si="172"/>
        <v>0.34843238184370617</v>
      </c>
      <c r="AP531" s="104">
        <f t="shared" si="172"/>
        <v>0.34843238184370617</v>
      </c>
    </row>
    <row r="532" spans="2:44" x14ac:dyDescent="0.25">
      <c r="F532" s="28" t="s">
        <v>228</v>
      </c>
      <c r="G532" s="28" t="s">
        <v>342</v>
      </c>
      <c r="J532" s="124">
        <f t="shared" ref="J532:AP532" si="173">J316 * J489</f>
        <v>0</v>
      </c>
      <c r="K532" s="124">
        <f t="shared" si="173"/>
        <v>0</v>
      </c>
      <c r="L532" s="124">
        <f t="shared" si="173"/>
        <v>0</v>
      </c>
      <c r="M532" s="124">
        <f t="shared" si="173"/>
        <v>0</v>
      </c>
      <c r="N532" s="124">
        <f t="shared" si="173"/>
        <v>0</v>
      </c>
      <c r="O532" s="124">
        <f t="shared" si="173"/>
        <v>0</v>
      </c>
      <c r="P532" s="124">
        <f t="shared" si="173"/>
        <v>0</v>
      </c>
      <c r="Q532" s="124">
        <f t="shared" si="173"/>
        <v>0</v>
      </c>
      <c r="R532" s="124">
        <f t="shared" si="173"/>
        <v>0</v>
      </c>
      <c r="S532" s="124">
        <f t="shared" si="173"/>
        <v>0</v>
      </c>
      <c r="T532" s="124">
        <f t="shared" si="173"/>
        <v>0</v>
      </c>
      <c r="U532" s="124">
        <f t="shared" si="173"/>
        <v>0</v>
      </c>
      <c r="V532" s="124">
        <f t="shared" si="173"/>
        <v>0</v>
      </c>
      <c r="W532" s="124">
        <f t="shared" si="173"/>
        <v>0</v>
      </c>
      <c r="X532" s="124">
        <f t="shared" si="173"/>
        <v>0</v>
      </c>
      <c r="Y532" s="124">
        <f t="shared" si="173"/>
        <v>0</v>
      </c>
      <c r="Z532" s="124">
        <f t="shared" si="173"/>
        <v>0</v>
      </c>
      <c r="AA532" s="124">
        <f t="shared" si="173"/>
        <v>0</v>
      </c>
      <c r="AB532" s="124">
        <f t="shared" si="173"/>
        <v>0</v>
      </c>
      <c r="AC532" s="124">
        <f t="shared" si="173"/>
        <v>0</v>
      </c>
      <c r="AD532" s="124">
        <f t="shared" si="173"/>
        <v>0</v>
      </c>
      <c r="AE532" s="124">
        <f t="shared" si="173"/>
        <v>0</v>
      </c>
      <c r="AF532" s="124">
        <f t="shared" si="173"/>
        <v>0</v>
      </c>
      <c r="AG532" s="124">
        <f t="shared" si="173"/>
        <v>0</v>
      </c>
      <c r="AH532" s="124">
        <f t="shared" si="173"/>
        <v>0</v>
      </c>
      <c r="AI532" s="124">
        <f t="shared" si="173"/>
        <v>0</v>
      </c>
      <c r="AJ532" s="124">
        <f t="shared" si="173"/>
        <v>0</v>
      </c>
      <c r="AK532" s="124">
        <f t="shared" si="173"/>
        <v>0</v>
      </c>
      <c r="AL532" s="124">
        <f t="shared" si="173"/>
        <v>0</v>
      </c>
      <c r="AM532" s="124">
        <f t="shared" si="173"/>
        <v>0</v>
      </c>
      <c r="AN532" s="124">
        <f t="shared" si="173"/>
        <v>0</v>
      </c>
      <c r="AO532" s="124">
        <f t="shared" si="173"/>
        <v>0</v>
      </c>
      <c r="AP532" s="124">
        <f t="shared" si="173"/>
        <v>0</v>
      </c>
    </row>
    <row r="533" spans="2:44" x14ac:dyDescent="0.25">
      <c r="F533" s="28" t="s">
        <v>229</v>
      </c>
      <c r="G533" s="28" t="s">
        <v>342</v>
      </c>
      <c r="J533" s="124">
        <f t="shared" ref="J533:AP533" si="174">J317 * J490</f>
        <v>0</v>
      </c>
      <c r="K533" s="124">
        <f t="shared" si="174"/>
        <v>0</v>
      </c>
      <c r="L533" s="124">
        <f t="shared" si="174"/>
        <v>0</v>
      </c>
      <c r="M533" s="124">
        <f t="shared" si="174"/>
        <v>0</v>
      </c>
      <c r="N533" s="124">
        <f t="shared" si="174"/>
        <v>0</v>
      </c>
      <c r="O533" s="124">
        <f t="shared" si="174"/>
        <v>0</v>
      </c>
      <c r="P533" s="124">
        <f t="shared" si="174"/>
        <v>0</v>
      </c>
      <c r="Q533" s="124">
        <f t="shared" si="174"/>
        <v>0</v>
      </c>
      <c r="R533" s="124">
        <f t="shared" si="174"/>
        <v>0</v>
      </c>
      <c r="S533" s="124">
        <f t="shared" si="174"/>
        <v>0</v>
      </c>
      <c r="T533" s="124">
        <f t="shared" si="174"/>
        <v>0</v>
      </c>
      <c r="U533" s="124">
        <f t="shared" si="174"/>
        <v>0</v>
      </c>
      <c r="V533" s="124">
        <f t="shared" si="174"/>
        <v>0</v>
      </c>
      <c r="W533" s="124">
        <f t="shared" si="174"/>
        <v>0</v>
      </c>
      <c r="X533" s="124">
        <f t="shared" si="174"/>
        <v>0</v>
      </c>
      <c r="Y533" s="124">
        <f t="shared" si="174"/>
        <v>0</v>
      </c>
      <c r="Z533" s="124">
        <f t="shared" si="174"/>
        <v>0</v>
      </c>
      <c r="AA533" s="124">
        <f t="shared" si="174"/>
        <v>0</v>
      </c>
      <c r="AB533" s="124">
        <f t="shared" si="174"/>
        <v>0</v>
      </c>
      <c r="AC533" s="124">
        <f t="shared" si="174"/>
        <v>0</v>
      </c>
      <c r="AD533" s="124">
        <f t="shared" si="174"/>
        <v>0</v>
      </c>
      <c r="AE533" s="124">
        <f t="shared" si="174"/>
        <v>0</v>
      </c>
      <c r="AF533" s="124">
        <f t="shared" si="174"/>
        <v>0</v>
      </c>
      <c r="AG533" s="124">
        <f t="shared" si="174"/>
        <v>0</v>
      </c>
      <c r="AH533" s="124">
        <f t="shared" si="174"/>
        <v>0</v>
      </c>
      <c r="AI533" s="124">
        <f t="shared" si="174"/>
        <v>0</v>
      </c>
      <c r="AJ533" s="124">
        <f t="shared" si="174"/>
        <v>0</v>
      </c>
      <c r="AK533" s="124">
        <f t="shared" si="174"/>
        <v>0</v>
      </c>
      <c r="AL533" s="124">
        <f t="shared" si="174"/>
        <v>0</v>
      </c>
      <c r="AM533" s="124">
        <f t="shared" si="174"/>
        <v>0</v>
      </c>
      <c r="AN533" s="124">
        <f t="shared" si="174"/>
        <v>0</v>
      </c>
      <c r="AO533" s="124">
        <f t="shared" si="174"/>
        <v>0</v>
      </c>
      <c r="AP533" s="124">
        <f t="shared" si="174"/>
        <v>0</v>
      </c>
    </row>
    <row r="534" spans="2:44" x14ac:dyDescent="0.25">
      <c r="F534" s="28" t="s">
        <v>230</v>
      </c>
      <c r="G534" s="28" t="s">
        <v>342</v>
      </c>
      <c r="J534" s="124">
        <f t="shared" ref="J534:AP534" si="175">J318 * J491</f>
        <v>0</v>
      </c>
      <c r="K534" s="124">
        <f t="shared" si="175"/>
        <v>0</v>
      </c>
      <c r="L534" s="124">
        <f t="shared" si="175"/>
        <v>0</v>
      </c>
      <c r="M534" s="124">
        <f t="shared" si="175"/>
        <v>0</v>
      </c>
      <c r="N534" s="124">
        <f t="shared" si="175"/>
        <v>0</v>
      </c>
      <c r="O534" s="124">
        <f t="shared" si="175"/>
        <v>0</v>
      </c>
      <c r="P534" s="124">
        <f t="shared" si="175"/>
        <v>0</v>
      </c>
      <c r="Q534" s="124">
        <f t="shared" si="175"/>
        <v>0</v>
      </c>
      <c r="R534" s="124">
        <f t="shared" si="175"/>
        <v>0</v>
      </c>
      <c r="S534" s="124">
        <f t="shared" si="175"/>
        <v>0.53382338970359733</v>
      </c>
      <c r="T534" s="124">
        <f t="shared" si="175"/>
        <v>0.58351962138158964</v>
      </c>
      <c r="U534" s="124">
        <f t="shared" si="175"/>
        <v>0.46343972149908247</v>
      </c>
      <c r="V534" s="124">
        <f t="shared" si="175"/>
        <v>0.46005093741504249</v>
      </c>
      <c r="W534" s="124">
        <f t="shared" si="175"/>
        <v>0.43675299444416182</v>
      </c>
      <c r="X534" s="124">
        <f t="shared" si="175"/>
        <v>0</v>
      </c>
      <c r="Y534" s="124">
        <f t="shared" si="175"/>
        <v>0</v>
      </c>
      <c r="Z534" s="124">
        <f t="shared" si="175"/>
        <v>0</v>
      </c>
      <c r="AA534" s="124">
        <f t="shared" si="175"/>
        <v>0</v>
      </c>
      <c r="AB534" s="124">
        <f t="shared" si="175"/>
        <v>0.37393906673034333</v>
      </c>
      <c r="AC534" s="124">
        <f t="shared" si="175"/>
        <v>0</v>
      </c>
      <c r="AD534" s="124">
        <f t="shared" si="175"/>
        <v>0</v>
      </c>
      <c r="AE534" s="124">
        <f t="shared" si="175"/>
        <v>0</v>
      </c>
      <c r="AF534" s="124">
        <f t="shared" si="175"/>
        <v>0</v>
      </c>
      <c r="AG534" s="124">
        <f t="shared" si="175"/>
        <v>0.38942442676649514</v>
      </c>
      <c r="AH534" s="124">
        <f t="shared" si="175"/>
        <v>0.38942442676649514</v>
      </c>
      <c r="AI534" s="124">
        <f t="shared" si="175"/>
        <v>0</v>
      </c>
      <c r="AJ534" s="124">
        <f t="shared" si="175"/>
        <v>0</v>
      </c>
      <c r="AK534" s="124">
        <f t="shared" si="175"/>
        <v>0.38942442676649514</v>
      </c>
      <c r="AL534" s="124">
        <f t="shared" si="175"/>
        <v>0.38942442676649514</v>
      </c>
      <c r="AM534" s="124">
        <f t="shared" si="175"/>
        <v>0</v>
      </c>
      <c r="AN534" s="124">
        <f t="shared" si="175"/>
        <v>0</v>
      </c>
      <c r="AO534" s="124">
        <f t="shared" si="175"/>
        <v>0.38942442676649514</v>
      </c>
      <c r="AP534" s="124">
        <f t="shared" si="175"/>
        <v>0.38942442676649514</v>
      </c>
    </row>
    <row r="535" spans="2:44" x14ac:dyDescent="0.25">
      <c r="F535" s="28" t="s">
        <v>231</v>
      </c>
      <c r="G535" s="28" t="s">
        <v>342</v>
      </c>
      <c r="J535" s="124">
        <f t="shared" ref="J535:AP535" si="176">J319 * J492</f>
        <v>0</v>
      </c>
      <c r="K535" s="124">
        <f t="shared" si="176"/>
        <v>0</v>
      </c>
      <c r="L535" s="124">
        <f t="shared" si="176"/>
        <v>0</v>
      </c>
      <c r="M535" s="124">
        <f t="shared" si="176"/>
        <v>0</v>
      </c>
      <c r="N535" s="124">
        <f t="shared" si="176"/>
        <v>0</v>
      </c>
      <c r="O535" s="124">
        <f t="shared" si="176"/>
        <v>0</v>
      </c>
      <c r="P535" s="124">
        <f t="shared" si="176"/>
        <v>0</v>
      </c>
      <c r="Q535" s="124">
        <f t="shared" si="176"/>
        <v>0</v>
      </c>
      <c r="R535" s="124">
        <f t="shared" si="176"/>
        <v>0</v>
      </c>
      <c r="S535" s="124">
        <f t="shared" si="176"/>
        <v>0.53382338970359733</v>
      </c>
      <c r="T535" s="124">
        <f t="shared" si="176"/>
        <v>0.58351962138158964</v>
      </c>
      <c r="U535" s="124">
        <f t="shared" si="176"/>
        <v>0.46343972149908247</v>
      </c>
      <c r="V535" s="124">
        <f t="shared" si="176"/>
        <v>0.46005093741504249</v>
      </c>
      <c r="W535" s="124">
        <f t="shared" si="176"/>
        <v>0.43675299444416182</v>
      </c>
      <c r="X535" s="124">
        <f t="shared" si="176"/>
        <v>0</v>
      </c>
      <c r="Y535" s="124">
        <f t="shared" si="176"/>
        <v>0</v>
      </c>
      <c r="Z535" s="124">
        <f t="shared" si="176"/>
        <v>0</v>
      </c>
      <c r="AA535" s="124">
        <f t="shared" si="176"/>
        <v>0</v>
      </c>
      <c r="AB535" s="124">
        <f t="shared" si="176"/>
        <v>0.37393906673034333</v>
      </c>
      <c r="AC535" s="124">
        <f t="shared" si="176"/>
        <v>0</v>
      </c>
      <c r="AD535" s="124">
        <f t="shared" si="176"/>
        <v>0</v>
      </c>
      <c r="AE535" s="124">
        <f t="shared" si="176"/>
        <v>0</v>
      </c>
      <c r="AF535" s="124">
        <f t="shared" si="176"/>
        <v>0</v>
      </c>
      <c r="AG535" s="124">
        <f t="shared" si="176"/>
        <v>0.38942442676649514</v>
      </c>
      <c r="AH535" s="124">
        <f t="shared" si="176"/>
        <v>0.38942442676649514</v>
      </c>
      <c r="AI535" s="124">
        <f t="shared" si="176"/>
        <v>0</v>
      </c>
      <c r="AJ535" s="124">
        <f t="shared" si="176"/>
        <v>0</v>
      </c>
      <c r="AK535" s="124">
        <f t="shared" si="176"/>
        <v>0.38942442676649514</v>
      </c>
      <c r="AL535" s="124">
        <f t="shared" si="176"/>
        <v>0.38942442676649514</v>
      </c>
      <c r="AM535" s="124">
        <f t="shared" si="176"/>
        <v>0</v>
      </c>
      <c r="AN535" s="124">
        <f t="shared" si="176"/>
        <v>0</v>
      </c>
      <c r="AO535" s="124">
        <f t="shared" si="176"/>
        <v>0.38942442676649514</v>
      </c>
      <c r="AP535" s="124">
        <f t="shared" si="176"/>
        <v>0.38942442676649514</v>
      </c>
    </row>
    <row r="536" spans="2:44" x14ac:dyDescent="0.25">
      <c r="F536" s="28" t="s">
        <v>232</v>
      </c>
      <c r="G536" s="28" t="s">
        <v>342</v>
      </c>
      <c r="J536" s="124">
        <f t="shared" ref="J536:AP536" si="177">J320 * J493</f>
        <v>0</v>
      </c>
      <c r="K536" s="124">
        <f t="shared" si="177"/>
        <v>0</v>
      </c>
      <c r="L536" s="124">
        <f t="shared" si="177"/>
        <v>0</v>
      </c>
      <c r="M536" s="124">
        <f t="shared" si="177"/>
        <v>0</v>
      </c>
      <c r="N536" s="124">
        <f t="shared" si="177"/>
        <v>0</v>
      </c>
      <c r="O536" s="124">
        <f t="shared" si="177"/>
        <v>0</v>
      </c>
      <c r="P536" s="124">
        <f t="shared" si="177"/>
        <v>0</v>
      </c>
      <c r="Q536" s="124">
        <f t="shared" si="177"/>
        <v>0</v>
      </c>
      <c r="R536" s="124">
        <f t="shared" si="177"/>
        <v>0</v>
      </c>
      <c r="S536" s="124">
        <f t="shared" si="177"/>
        <v>0</v>
      </c>
      <c r="T536" s="124">
        <f t="shared" si="177"/>
        <v>0</v>
      </c>
      <c r="U536" s="124">
        <f t="shared" si="177"/>
        <v>0</v>
      </c>
      <c r="V536" s="124">
        <f t="shared" si="177"/>
        <v>0</v>
      </c>
      <c r="W536" s="124">
        <f t="shared" si="177"/>
        <v>0</v>
      </c>
      <c r="X536" s="124">
        <f t="shared" si="177"/>
        <v>0</v>
      </c>
      <c r="Y536" s="124">
        <f t="shared" si="177"/>
        <v>0</v>
      </c>
      <c r="Z536" s="124">
        <f t="shared" si="177"/>
        <v>0</v>
      </c>
      <c r="AA536" s="124">
        <f t="shared" si="177"/>
        <v>0</v>
      </c>
      <c r="AB536" s="124">
        <f t="shared" si="177"/>
        <v>0</v>
      </c>
      <c r="AC536" s="124">
        <f t="shared" si="177"/>
        <v>0</v>
      </c>
      <c r="AD536" s="124">
        <f t="shared" si="177"/>
        <v>0</v>
      </c>
      <c r="AE536" s="124">
        <f t="shared" si="177"/>
        <v>0</v>
      </c>
      <c r="AF536" s="124">
        <f t="shared" si="177"/>
        <v>0</v>
      </c>
      <c r="AG536" s="124">
        <f t="shared" si="177"/>
        <v>0</v>
      </c>
      <c r="AH536" s="124">
        <f t="shared" si="177"/>
        <v>0</v>
      </c>
      <c r="AI536" s="124">
        <f t="shared" si="177"/>
        <v>0</v>
      </c>
      <c r="AJ536" s="124">
        <f t="shared" si="177"/>
        <v>0</v>
      </c>
      <c r="AK536" s="124">
        <f t="shared" si="177"/>
        <v>0</v>
      </c>
      <c r="AL536" s="124">
        <f t="shared" si="177"/>
        <v>0</v>
      </c>
      <c r="AM536" s="124">
        <f t="shared" si="177"/>
        <v>0</v>
      </c>
      <c r="AN536" s="124">
        <f t="shared" si="177"/>
        <v>0</v>
      </c>
      <c r="AO536" s="124">
        <f t="shared" si="177"/>
        <v>0</v>
      </c>
      <c r="AP536" s="124">
        <f t="shared" si="177"/>
        <v>0</v>
      </c>
    </row>
    <row r="537" spans="2:44" x14ac:dyDescent="0.25">
      <c r="F537" s="28" t="s">
        <v>233</v>
      </c>
      <c r="G537" s="28" t="s">
        <v>342</v>
      </c>
      <c r="J537" s="124">
        <f t="shared" ref="J537:AP537" si="178">J321 * J494</f>
        <v>0</v>
      </c>
      <c r="K537" s="124">
        <f t="shared" si="178"/>
        <v>0</v>
      </c>
      <c r="L537" s="124">
        <f t="shared" si="178"/>
        <v>0</v>
      </c>
      <c r="M537" s="124">
        <f t="shared" si="178"/>
        <v>0</v>
      </c>
      <c r="N537" s="124">
        <f t="shared" si="178"/>
        <v>0</v>
      </c>
      <c r="O537" s="124">
        <f t="shared" si="178"/>
        <v>0</v>
      </c>
      <c r="P537" s="124">
        <f t="shared" si="178"/>
        <v>0</v>
      </c>
      <c r="Q537" s="124">
        <f t="shared" si="178"/>
        <v>0</v>
      </c>
      <c r="R537" s="124">
        <f t="shared" si="178"/>
        <v>0</v>
      </c>
      <c r="S537" s="124">
        <f t="shared" si="178"/>
        <v>0.53382338970359733</v>
      </c>
      <c r="T537" s="124">
        <f t="shared" si="178"/>
        <v>0.58351962138158964</v>
      </c>
      <c r="U537" s="124">
        <f t="shared" si="178"/>
        <v>0.46343972149908247</v>
      </c>
      <c r="V537" s="124">
        <f t="shared" si="178"/>
        <v>0.46005093741504249</v>
      </c>
      <c r="W537" s="124">
        <f t="shared" si="178"/>
        <v>0.43675299444416182</v>
      </c>
      <c r="X537" s="124">
        <f t="shared" si="178"/>
        <v>0</v>
      </c>
      <c r="Y537" s="124">
        <f t="shared" si="178"/>
        <v>0</v>
      </c>
      <c r="Z537" s="124">
        <f t="shared" si="178"/>
        <v>0</v>
      </c>
      <c r="AA537" s="124">
        <f t="shared" si="178"/>
        <v>0</v>
      </c>
      <c r="AB537" s="124">
        <f t="shared" si="178"/>
        <v>0.37393906673034333</v>
      </c>
      <c r="AC537" s="124">
        <f t="shared" si="178"/>
        <v>0</v>
      </c>
      <c r="AD537" s="124">
        <f t="shared" si="178"/>
        <v>0</v>
      </c>
      <c r="AE537" s="124">
        <f t="shared" si="178"/>
        <v>0</v>
      </c>
      <c r="AF537" s="124">
        <f t="shared" si="178"/>
        <v>0</v>
      </c>
      <c r="AG537" s="124">
        <f t="shared" si="178"/>
        <v>0.38942442676649514</v>
      </c>
      <c r="AH537" s="124">
        <f t="shared" si="178"/>
        <v>0.38942442676649514</v>
      </c>
      <c r="AI537" s="124">
        <f t="shared" si="178"/>
        <v>0</v>
      </c>
      <c r="AJ537" s="124">
        <f t="shared" si="178"/>
        <v>0</v>
      </c>
      <c r="AK537" s="124">
        <f t="shared" si="178"/>
        <v>0.38942442676649514</v>
      </c>
      <c r="AL537" s="124">
        <f t="shared" si="178"/>
        <v>0.38942442676649514</v>
      </c>
      <c r="AM537" s="124">
        <f t="shared" si="178"/>
        <v>0</v>
      </c>
      <c r="AN537" s="124">
        <f t="shared" si="178"/>
        <v>0</v>
      </c>
      <c r="AO537" s="124">
        <f t="shared" si="178"/>
        <v>0.38942442676649514</v>
      </c>
      <c r="AP537" s="124">
        <f t="shared" si="178"/>
        <v>0.38942442676649514</v>
      </c>
    </row>
    <row r="538" spans="2:44" x14ac:dyDescent="0.25">
      <c r="F538" s="28" t="s">
        <v>234</v>
      </c>
      <c r="G538" s="28" t="s">
        <v>342</v>
      </c>
      <c r="J538" s="124">
        <f t="shared" ref="J538:AP538" si="179">J322 * J495</f>
        <v>0</v>
      </c>
      <c r="K538" s="124">
        <f t="shared" si="179"/>
        <v>0</v>
      </c>
      <c r="L538" s="124">
        <f t="shared" si="179"/>
        <v>0</v>
      </c>
      <c r="M538" s="124">
        <f t="shared" si="179"/>
        <v>0</v>
      </c>
      <c r="N538" s="124">
        <f t="shared" si="179"/>
        <v>0</v>
      </c>
      <c r="O538" s="124">
        <f t="shared" si="179"/>
        <v>0</v>
      </c>
      <c r="P538" s="124">
        <f t="shared" si="179"/>
        <v>0</v>
      </c>
      <c r="Q538" s="124">
        <f t="shared" si="179"/>
        <v>0</v>
      </c>
      <c r="R538" s="124">
        <f t="shared" si="179"/>
        <v>0</v>
      </c>
      <c r="S538" s="124">
        <f t="shared" si="179"/>
        <v>0.53382338970359733</v>
      </c>
      <c r="T538" s="124">
        <f t="shared" si="179"/>
        <v>0.58351962138158964</v>
      </c>
      <c r="U538" s="124">
        <f t="shared" si="179"/>
        <v>0.46343972149908247</v>
      </c>
      <c r="V538" s="124">
        <f t="shared" si="179"/>
        <v>0.46005093741504249</v>
      </c>
      <c r="W538" s="124">
        <f t="shared" si="179"/>
        <v>0.43675299444416182</v>
      </c>
      <c r="X538" s="124">
        <f t="shared" si="179"/>
        <v>0</v>
      </c>
      <c r="Y538" s="124">
        <f t="shared" si="179"/>
        <v>0</v>
      </c>
      <c r="Z538" s="124">
        <f t="shared" si="179"/>
        <v>0</v>
      </c>
      <c r="AA538" s="124">
        <f t="shared" si="179"/>
        <v>0</v>
      </c>
      <c r="AB538" s="124">
        <f t="shared" si="179"/>
        <v>0.37393906673034333</v>
      </c>
      <c r="AC538" s="124">
        <f t="shared" si="179"/>
        <v>0</v>
      </c>
      <c r="AD538" s="124">
        <f t="shared" si="179"/>
        <v>0</v>
      </c>
      <c r="AE538" s="124">
        <f t="shared" si="179"/>
        <v>0</v>
      </c>
      <c r="AF538" s="124">
        <f t="shared" si="179"/>
        <v>0</v>
      </c>
      <c r="AG538" s="124">
        <f t="shared" si="179"/>
        <v>0.38942442676649514</v>
      </c>
      <c r="AH538" s="124">
        <f t="shared" si="179"/>
        <v>0.38942442676649514</v>
      </c>
      <c r="AI538" s="124">
        <f t="shared" si="179"/>
        <v>0</v>
      </c>
      <c r="AJ538" s="124">
        <f t="shared" si="179"/>
        <v>0</v>
      </c>
      <c r="AK538" s="124">
        <f t="shared" si="179"/>
        <v>0.38942442676649514</v>
      </c>
      <c r="AL538" s="124">
        <f t="shared" si="179"/>
        <v>0.38942442676649514</v>
      </c>
      <c r="AM538" s="124">
        <f t="shared" si="179"/>
        <v>0</v>
      </c>
      <c r="AN538" s="124">
        <f t="shared" si="179"/>
        <v>0</v>
      </c>
      <c r="AO538" s="124">
        <f t="shared" si="179"/>
        <v>0.38942442676649514</v>
      </c>
      <c r="AP538" s="124">
        <f t="shared" si="179"/>
        <v>0.38942442676649514</v>
      </c>
    </row>
    <row r="539" spans="2:44" x14ac:dyDescent="0.25">
      <c r="F539" s="67" t="s">
        <v>235</v>
      </c>
      <c r="G539" s="67" t="s">
        <v>342</v>
      </c>
      <c r="H539" s="37"/>
      <c r="I539" s="37"/>
      <c r="J539" s="134">
        <f t="shared" ref="J539:AP539" si="180">J323 * J496</f>
        <v>0</v>
      </c>
      <c r="K539" s="134">
        <f t="shared" si="180"/>
        <v>0</v>
      </c>
      <c r="L539" s="134">
        <f t="shared" si="180"/>
        <v>0</v>
      </c>
      <c r="M539" s="134">
        <f t="shared" si="180"/>
        <v>0</v>
      </c>
      <c r="N539" s="134">
        <f t="shared" si="180"/>
        <v>0</v>
      </c>
      <c r="O539" s="134">
        <f t="shared" si="180"/>
        <v>0</v>
      </c>
      <c r="P539" s="134">
        <f t="shared" si="180"/>
        <v>0</v>
      </c>
      <c r="Q539" s="134">
        <f t="shared" si="180"/>
        <v>0</v>
      </c>
      <c r="R539" s="134">
        <f t="shared" si="180"/>
        <v>0</v>
      </c>
      <c r="S539" s="134">
        <f t="shared" si="180"/>
        <v>0.53382338970359733</v>
      </c>
      <c r="T539" s="134">
        <f t="shared" si="180"/>
        <v>0.58351962138158964</v>
      </c>
      <c r="U539" s="134">
        <f t="shared" si="180"/>
        <v>0.46343972149908247</v>
      </c>
      <c r="V539" s="134">
        <f t="shared" si="180"/>
        <v>0.46005093741504249</v>
      </c>
      <c r="W539" s="134">
        <f t="shared" si="180"/>
        <v>0.43675299444416182</v>
      </c>
      <c r="X539" s="134">
        <f t="shared" si="180"/>
        <v>0</v>
      </c>
      <c r="Y539" s="134">
        <f t="shared" si="180"/>
        <v>0</v>
      </c>
      <c r="Z539" s="134">
        <f t="shared" si="180"/>
        <v>0</v>
      </c>
      <c r="AA539" s="134">
        <f t="shared" si="180"/>
        <v>0</v>
      </c>
      <c r="AB539" s="134">
        <f t="shared" si="180"/>
        <v>0.37393906673034333</v>
      </c>
      <c r="AC539" s="134">
        <f t="shared" si="180"/>
        <v>0</v>
      </c>
      <c r="AD539" s="134">
        <f t="shared" si="180"/>
        <v>0</v>
      </c>
      <c r="AE539" s="134">
        <f t="shared" si="180"/>
        <v>0</v>
      </c>
      <c r="AF539" s="134">
        <f t="shared" si="180"/>
        <v>0</v>
      </c>
      <c r="AG539" s="134">
        <f t="shared" si="180"/>
        <v>0.38942442676649514</v>
      </c>
      <c r="AH539" s="134">
        <f t="shared" si="180"/>
        <v>0.38942442676649514</v>
      </c>
      <c r="AI539" s="134">
        <f t="shared" si="180"/>
        <v>0</v>
      </c>
      <c r="AJ539" s="134">
        <f t="shared" si="180"/>
        <v>0</v>
      </c>
      <c r="AK539" s="134">
        <f t="shared" si="180"/>
        <v>0.38942442676649514</v>
      </c>
      <c r="AL539" s="134">
        <f t="shared" si="180"/>
        <v>0.38942442676649514</v>
      </c>
      <c r="AM539" s="134">
        <f t="shared" si="180"/>
        <v>0</v>
      </c>
      <c r="AN539" s="134">
        <f t="shared" si="180"/>
        <v>0</v>
      </c>
      <c r="AO539" s="134">
        <f t="shared" si="180"/>
        <v>0.38942442676649514</v>
      </c>
      <c r="AP539" s="134">
        <f t="shared" si="180"/>
        <v>0.38942442676649514</v>
      </c>
    </row>
    <row r="541" spans="2:44" x14ac:dyDescent="0.25">
      <c r="B541" s="30" t="s">
        <v>280</v>
      </c>
      <c r="C541" s="30"/>
      <c r="D541" s="30"/>
      <c r="E541" s="30"/>
      <c r="F541" s="30"/>
      <c r="G541" s="30"/>
      <c r="H541" s="30"/>
      <c r="I541" s="30"/>
      <c r="J541" s="30"/>
      <c r="K541" s="30"/>
      <c r="L541" s="30"/>
      <c r="M541" s="30"/>
      <c r="N541" s="30"/>
      <c r="O541" s="30"/>
      <c r="P541" s="30"/>
      <c r="Q541" s="30"/>
      <c r="R541" s="30"/>
      <c r="S541" s="30"/>
      <c r="T541" s="30"/>
      <c r="U541" s="30"/>
      <c r="V541" s="30"/>
      <c r="W541" s="30"/>
      <c r="X541" s="30"/>
      <c r="Y541" s="30"/>
      <c r="Z541" s="30"/>
      <c r="AA541" s="30"/>
      <c r="AB541" s="30"/>
      <c r="AC541" s="30"/>
      <c r="AD541" s="30"/>
      <c r="AE541" s="30"/>
      <c r="AF541" s="30"/>
      <c r="AG541" s="30"/>
      <c r="AH541" s="30"/>
      <c r="AI541" s="30"/>
      <c r="AJ541" s="30"/>
      <c r="AK541" s="30"/>
      <c r="AL541" s="30"/>
      <c r="AM541" s="30"/>
      <c r="AN541" s="30"/>
      <c r="AO541" s="30"/>
      <c r="AP541" s="30"/>
      <c r="AQ541" s="30"/>
      <c r="AR541" s="30"/>
    </row>
    <row r="543" spans="2:44" x14ac:dyDescent="0.25">
      <c r="E543" t="s">
        <v>281</v>
      </c>
      <c r="G543" s="6" t="s">
        <v>56</v>
      </c>
      <c r="H543" s="26">
        <f t="array" ref="H543">SUM(IF(ISERROR(H24:AP539), 1))</f>
        <v>0</v>
      </c>
    </row>
    <row r="545" spans="2:44" x14ac:dyDescent="0.25">
      <c r="B545" s="30" t="s">
        <v>107</v>
      </c>
      <c r="C545" s="30"/>
      <c r="D545" s="30"/>
      <c r="E545" s="30"/>
      <c r="F545" s="30"/>
      <c r="G545" s="30"/>
      <c r="H545" s="30"/>
      <c r="I545" s="30"/>
      <c r="J545" s="30"/>
      <c r="K545" s="30"/>
      <c r="L545" s="30"/>
      <c r="M545" s="30"/>
      <c r="N545" s="30"/>
      <c r="O545" s="30"/>
      <c r="P545" s="30"/>
      <c r="Q545" s="30"/>
      <c r="R545" s="30"/>
      <c r="S545" s="30"/>
      <c r="T545" s="30"/>
      <c r="U545" s="30"/>
      <c r="V545" s="30"/>
      <c r="W545" s="30"/>
      <c r="X545" s="30"/>
      <c r="Y545" s="30"/>
      <c r="Z545" s="30"/>
      <c r="AA545" s="30"/>
      <c r="AB545" s="30"/>
      <c r="AC545" s="30"/>
      <c r="AD545" s="30"/>
      <c r="AE545" s="30"/>
      <c r="AF545" s="30"/>
      <c r="AG545" s="30"/>
      <c r="AH545" s="30"/>
      <c r="AI545" s="30"/>
      <c r="AJ545" s="30"/>
      <c r="AK545" s="30"/>
      <c r="AL545" s="30"/>
      <c r="AM545" s="30"/>
      <c r="AN545" s="30"/>
      <c r="AO545" s="30"/>
      <c r="AP545" s="30"/>
      <c r="AQ545" s="30"/>
      <c r="AR545" s="30"/>
    </row>
  </sheetData>
  <sheetProtection sheet="1" objects="1" formatCells="0" formatColumns="0" formatRows="0" sort="0" autoFilter="0"/>
  <conditionalFormatting sqref="H543">
    <cfRule type="cellIs" dxfId="43" priority="2" operator="greaterThan">
      <formula>0</formula>
    </cfRule>
  </conditionalFormatting>
  <conditionalFormatting sqref="A4:XFD4">
    <cfRule type="expression" dxfId="42"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theme="4" tint="0.59999389629810485"/>
    <pageSetUpPr fitToPage="1"/>
  </sheetPr>
  <dimension ref="A1:KR320"/>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System peak demand</v>
      </c>
    </row>
    <row r="2" spans="1:60" s="1" customFormat="1" x14ac:dyDescent="0.25">
      <c r="A2" s="1" t="str">
        <f>Cover!D21&amp;" - "&amp;Cover!D23</f>
        <v>SHEPD  - Final</v>
      </c>
    </row>
    <row r="3" spans="1:60" s="5" customFormat="1" x14ac:dyDescent="0.25">
      <c r="A3" s="5" t="str">
        <f>Cover!D2&amp;" - "&amp;Cover!D8&amp;" v"&amp;Cover!D10&amp;" - "&amp;Cover!D19</f>
        <v>CDCM charging model - Release for charge setting v3 - 2020/21</v>
      </c>
    </row>
    <row r="4" spans="1:60" x14ac:dyDescent="0.25">
      <c r="A4" s="12" t="str">
        <f>H281 &amp; IF(H281 = 1, " issue", " issues") &amp;" identified in checks on this sheet"</f>
        <v>0 issues identified in checks on this sheet</v>
      </c>
      <c r="B4" s="13"/>
      <c r="C4" s="13"/>
      <c r="D4" s="13"/>
      <c r="E4" s="13"/>
      <c r="F4" s="13"/>
      <c r="G4" s="13"/>
      <c r="H4" s="14"/>
      <c r="I4" s="14"/>
      <c r="J4" s="13"/>
    </row>
    <row r="5" spans="1:60"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60"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602</v>
      </c>
      <c r="D9" s="29"/>
    </row>
    <row r="10" spans="1:60" x14ac:dyDescent="0.25">
      <c r="C10" s="29" t="s">
        <v>603</v>
      </c>
      <c r="D10" s="29"/>
    </row>
    <row r="11" spans="1:60" x14ac:dyDescent="0.25">
      <c r="C11" s="29" t="s">
        <v>604</v>
      </c>
      <c r="D11" s="29"/>
    </row>
    <row r="12" spans="1:60" x14ac:dyDescent="0.25">
      <c r="C12" s="29"/>
      <c r="D12" s="29" t="s">
        <v>605</v>
      </c>
    </row>
    <row r="13" spans="1:60" x14ac:dyDescent="0.25">
      <c r="C13" s="29"/>
      <c r="D13" s="29" t="s">
        <v>606</v>
      </c>
    </row>
    <row r="14" spans="1:60" x14ac:dyDescent="0.25">
      <c r="C14" s="29"/>
      <c r="D14" s="29" t="s">
        <v>607</v>
      </c>
    </row>
    <row r="16" spans="1:60" x14ac:dyDescent="0.25">
      <c r="B16" s="30" t="s">
        <v>608</v>
      </c>
      <c r="C16" s="30"/>
      <c r="D16" s="30"/>
      <c r="E16" s="30"/>
      <c r="F16" s="30"/>
      <c r="G16" s="30"/>
      <c r="H16" s="30"/>
      <c r="I16" s="30"/>
      <c r="J16" s="30"/>
      <c r="K16" s="30"/>
      <c r="L16" s="30"/>
      <c r="M16" s="30"/>
      <c r="N16" s="30"/>
      <c r="O16" s="30"/>
      <c r="P16" s="30"/>
      <c r="Q16" s="30"/>
      <c r="R16" s="30"/>
      <c r="S16" s="30"/>
      <c r="T16" s="30"/>
      <c r="U16" s="30"/>
      <c r="V16" s="30"/>
      <c r="W16" s="30"/>
      <c r="X16" s="30"/>
      <c r="Y16" s="30"/>
      <c r="Z16" s="30"/>
      <c r="AA16" s="30"/>
      <c r="AB16" s="30"/>
      <c r="AC16" s="30"/>
      <c r="AD16" s="30"/>
      <c r="AE16" s="30"/>
      <c r="AF16" s="30"/>
      <c r="AG16" s="30"/>
      <c r="AH16" s="30"/>
      <c r="AI16" s="30"/>
      <c r="AJ16" s="30"/>
      <c r="AK16" s="30"/>
      <c r="AL16" s="30"/>
      <c r="AM16" s="30"/>
      <c r="AN16" s="30"/>
      <c r="AO16" s="30"/>
      <c r="AP16" s="30"/>
      <c r="AQ16" s="30"/>
      <c r="AR16" s="30"/>
      <c r="AT16" s="30"/>
      <c r="AU16" s="30"/>
      <c r="AV16" s="30"/>
      <c r="AW16" s="30"/>
      <c r="AX16" s="30"/>
      <c r="AY16" s="30"/>
      <c r="AZ16" s="30"/>
      <c r="BA16" s="30"/>
      <c r="BB16" s="30"/>
      <c r="BC16" s="30"/>
      <c r="BD16" s="30"/>
      <c r="BE16" s="30"/>
      <c r="BF16" s="30"/>
      <c r="BH16" s="30"/>
    </row>
    <row r="17" spans="3:60" x14ac:dyDescent="0.25">
      <c r="C17" s="32"/>
      <c r="L17" s="63"/>
      <c r="M17" s="63"/>
      <c r="O17" s="63"/>
      <c r="BH17" s="3"/>
    </row>
    <row r="18" spans="3:60" x14ac:dyDescent="0.25">
      <c r="C18" s="31" t="str">
        <f ca="1">INDEX('Version control'!$H$34:$H$56,MATCH($A$1,'Version control'!$F$34:$F$56,0),1)&amp;"-A: Common inputs for chargeable load calculations"</f>
        <v>Section 106-A: Common inputs for chargeable load calculations</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c r="BH18" s="3"/>
    </row>
    <row r="19" spans="3:60" x14ac:dyDescent="0.25">
      <c r="H19" s="63"/>
      <c r="J19" s="63"/>
      <c r="K19" s="63"/>
      <c r="L19" s="63"/>
      <c r="M19" s="63"/>
      <c r="N19" s="63"/>
      <c r="O19" s="63"/>
      <c r="P19" s="63"/>
      <c r="Q19" s="63"/>
      <c r="R19" s="63"/>
      <c r="S19" s="63"/>
      <c r="T19" s="63"/>
      <c r="U19" s="63"/>
      <c r="V19" s="63"/>
      <c r="W19" s="63"/>
      <c r="X19" s="63"/>
      <c r="Y19" s="63"/>
      <c r="Z19" s="63"/>
      <c r="AA19" s="63"/>
      <c r="AB19" s="63"/>
      <c r="AC19" s="63"/>
      <c r="AD19" s="63"/>
      <c r="AE19" s="63"/>
      <c r="AF19" s="63"/>
      <c r="AG19" s="63"/>
      <c r="AH19" s="63"/>
      <c r="AI19" s="63"/>
      <c r="AJ19" s="63"/>
      <c r="AK19" s="63"/>
      <c r="AL19" s="63"/>
      <c r="AM19" s="63"/>
      <c r="AN19" s="63"/>
      <c r="AO19" s="63"/>
      <c r="AP19" s="63"/>
    </row>
    <row r="20" spans="3:60" x14ac:dyDescent="0.25">
      <c r="D20" s="29" t="s">
        <v>609</v>
      </c>
      <c r="L20" s="63"/>
      <c r="M20" s="63"/>
      <c r="O20" s="63"/>
      <c r="BH20" s="3"/>
    </row>
    <row r="21" spans="3:60" x14ac:dyDescent="0.25">
      <c r="C21" s="32"/>
      <c r="L21" s="63"/>
      <c r="M21" s="63"/>
      <c r="O21" s="63"/>
      <c r="BH21" s="3"/>
    </row>
    <row r="22" spans="3:60" x14ac:dyDescent="0.25">
      <c r="E22" s="32" t="s">
        <v>438</v>
      </c>
      <c r="H22" s="14"/>
      <c r="J22" s="63"/>
      <c r="K22" s="63"/>
      <c r="L22" s="63"/>
      <c r="M22" s="63"/>
      <c r="N22" s="63"/>
      <c r="O22" s="63"/>
      <c r="P22" s="63"/>
      <c r="Q22" s="63"/>
      <c r="R22" s="63"/>
      <c r="S22" s="63"/>
      <c r="BH22" s="3"/>
    </row>
    <row r="23" spans="3:60" x14ac:dyDescent="0.25">
      <c r="E23" s="32"/>
      <c r="F23" s="23" t="s">
        <v>227</v>
      </c>
      <c r="G23" s="23" t="s">
        <v>203</v>
      </c>
      <c r="H23" s="132"/>
      <c r="I23" s="23"/>
      <c r="J23" s="110">
        <f>'Standing charge factors'!J44</f>
        <v>0</v>
      </c>
      <c r="K23" s="110">
        <f>'Standing charge factors'!K44</f>
        <v>0</v>
      </c>
      <c r="L23" s="110">
        <f>'Standing charge factors'!L44</f>
        <v>0</v>
      </c>
      <c r="M23" s="110">
        <f>'Standing charge factors'!M44</f>
        <v>0</v>
      </c>
      <c r="N23" s="110">
        <f>'Standing charge factors'!N44</f>
        <v>0</v>
      </c>
      <c r="O23" s="110">
        <f>'Standing charge factors'!O44</f>
        <v>0</v>
      </c>
      <c r="P23" s="110">
        <f>'Standing charge factors'!P44</f>
        <v>0</v>
      </c>
      <c r="Q23" s="110">
        <f>'Standing charge factors'!Q44</f>
        <v>0</v>
      </c>
      <c r="R23" s="110">
        <f>'Standing charge factors'!R44</f>
        <v>0</v>
      </c>
      <c r="S23" s="110">
        <f>'Standing charge factors'!S44</f>
        <v>0</v>
      </c>
      <c r="T23" s="110">
        <f>'Standing charge factors'!T44</f>
        <v>0</v>
      </c>
      <c r="U23" s="110">
        <f>'Standing charge factors'!U44</f>
        <v>0</v>
      </c>
      <c r="V23" s="110">
        <f>'Standing charge factors'!V44</f>
        <v>0</v>
      </c>
      <c r="W23" s="110">
        <f>'Standing charge factors'!W44</f>
        <v>0</v>
      </c>
      <c r="X23" s="110">
        <f>'Standing charge factors'!X44</f>
        <v>0</v>
      </c>
      <c r="Y23" s="110">
        <f>'Standing charge factors'!Y44</f>
        <v>0</v>
      </c>
      <c r="Z23" s="110">
        <f>'Standing charge factors'!Z44</f>
        <v>0</v>
      </c>
      <c r="AA23" s="110">
        <f>'Standing charge factors'!AA44</f>
        <v>0</v>
      </c>
      <c r="AB23" s="110">
        <f>'Standing charge factors'!AB44</f>
        <v>0</v>
      </c>
      <c r="AC23" s="110">
        <f>'Standing charge factors'!AC44</f>
        <v>0</v>
      </c>
      <c r="AD23" s="110">
        <f>'Standing charge factors'!AD44</f>
        <v>0</v>
      </c>
      <c r="AE23" s="110">
        <f>'Standing charge factors'!AE44</f>
        <v>0</v>
      </c>
      <c r="AF23" s="110">
        <f>'Standing charge factors'!AF44</f>
        <v>0</v>
      </c>
      <c r="AG23" s="110">
        <f>'Standing charge factors'!AG44</f>
        <v>0</v>
      </c>
      <c r="AH23" s="110">
        <f>'Standing charge factors'!AH44</f>
        <v>0</v>
      </c>
      <c r="AI23" s="110">
        <f>'Standing charge factors'!AI44</f>
        <v>0</v>
      </c>
      <c r="AJ23" s="110">
        <f>'Standing charge factors'!AJ44</f>
        <v>0</v>
      </c>
      <c r="AK23" s="110">
        <f>'Standing charge factors'!AK44</f>
        <v>0</v>
      </c>
      <c r="AL23" s="110">
        <f>'Standing charge factors'!AL44</f>
        <v>0</v>
      </c>
      <c r="AM23" s="110">
        <f>'Standing charge factors'!AM44</f>
        <v>0</v>
      </c>
      <c r="AN23" s="110">
        <f>'Standing charge factors'!AN44</f>
        <v>0</v>
      </c>
      <c r="AO23" s="110">
        <f>'Standing charge factors'!AO44</f>
        <v>0</v>
      </c>
      <c r="AP23" s="110">
        <f>'Standing charge factors'!AP44</f>
        <v>0</v>
      </c>
      <c r="BH23" s="3"/>
    </row>
    <row r="24" spans="3:60" x14ac:dyDescent="0.25">
      <c r="E24" s="32"/>
      <c r="F24" t="s">
        <v>228</v>
      </c>
      <c r="G24" t="s">
        <v>203</v>
      </c>
      <c r="H24" s="63"/>
      <c r="J24" s="25">
        <f>'Standing charge factors'!J45</f>
        <v>0</v>
      </c>
      <c r="K24" s="25">
        <f>'Standing charge factors'!K45</f>
        <v>0</v>
      </c>
      <c r="L24" s="25">
        <f>'Standing charge factors'!L45</f>
        <v>0</v>
      </c>
      <c r="M24" s="25">
        <f>'Standing charge factors'!M45</f>
        <v>0</v>
      </c>
      <c r="N24" s="25">
        <f>'Standing charge factors'!N45</f>
        <v>0</v>
      </c>
      <c r="O24" s="25">
        <f>'Standing charge factors'!O45</f>
        <v>0</v>
      </c>
      <c r="P24" s="25">
        <f>'Standing charge factors'!P45</f>
        <v>0</v>
      </c>
      <c r="Q24" s="25">
        <f>'Standing charge factors'!Q45</f>
        <v>0</v>
      </c>
      <c r="R24" s="25">
        <f>'Standing charge factors'!R45</f>
        <v>0</v>
      </c>
      <c r="S24" s="25">
        <f>'Standing charge factors'!S45</f>
        <v>0</v>
      </c>
      <c r="T24" s="25">
        <f>'Standing charge factors'!T45</f>
        <v>0</v>
      </c>
      <c r="U24" s="25">
        <f>'Standing charge factors'!U45</f>
        <v>0</v>
      </c>
      <c r="V24" s="25">
        <f>'Standing charge factors'!V45</f>
        <v>0</v>
      </c>
      <c r="W24" s="25">
        <f>'Standing charge factors'!W45</f>
        <v>0</v>
      </c>
      <c r="X24" s="25">
        <f>'Standing charge factors'!X45</f>
        <v>0</v>
      </c>
      <c r="Y24" s="25">
        <f>'Standing charge factors'!Y45</f>
        <v>0</v>
      </c>
      <c r="Z24" s="25">
        <f>'Standing charge factors'!Z45</f>
        <v>0</v>
      </c>
      <c r="AA24" s="25">
        <f>'Standing charge factors'!AA45</f>
        <v>0</v>
      </c>
      <c r="AB24" s="25">
        <f>'Standing charge factors'!AB45</f>
        <v>0</v>
      </c>
      <c r="AC24" s="25">
        <f>'Standing charge factors'!AC45</f>
        <v>0</v>
      </c>
      <c r="AD24" s="25">
        <f>'Standing charge factors'!AD45</f>
        <v>0</v>
      </c>
      <c r="AE24" s="25">
        <f>'Standing charge factors'!AE45</f>
        <v>0</v>
      </c>
      <c r="AF24" s="25">
        <f>'Standing charge factors'!AF45</f>
        <v>0</v>
      </c>
      <c r="AG24" s="25">
        <f>'Standing charge factors'!AG45</f>
        <v>0</v>
      </c>
      <c r="AH24" s="25">
        <f>'Standing charge factors'!AH45</f>
        <v>0</v>
      </c>
      <c r="AI24" s="25">
        <f>'Standing charge factors'!AI45</f>
        <v>0</v>
      </c>
      <c r="AJ24" s="25">
        <f>'Standing charge factors'!AJ45</f>
        <v>0</v>
      </c>
      <c r="AK24" s="25">
        <f>'Standing charge factors'!AK45</f>
        <v>0</v>
      </c>
      <c r="AL24" s="25">
        <f>'Standing charge factors'!AL45</f>
        <v>0</v>
      </c>
      <c r="AM24" s="25">
        <f>'Standing charge factors'!AM45</f>
        <v>0</v>
      </c>
      <c r="AN24" s="25">
        <f>'Standing charge factors'!AN45</f>
        <v>0</v>
      </c>
      <c r="AO24" s="25">
        <f>'Standing charge factors'!AO45</f>
        <v>0</v>
      </c>
      <c r="AP24" s="25">
        <f>'Standing charge factors'!AP45</f>
        <v>0</v>
      </c>
      <c r="BH24" s="3"/>
    </row>
    <row r="25" spans="3:60" x14ac:dyDescent="0.25">
      <c r="E25" s="32"/>
      <c r="F25" t="s">
        <v>229</v>
      </c>
      <c r="G25" t="s">
        <v>203</v>
      </c>
      <c r="H25" s="63"/>
      <c r="J25" s="25">
        <f>'Standing charge factors'!J46</f>
        <v>0</v>
      </c>
      <c r="K25" s="25">
        <f>'Standing charge factors'!K46</f>
        <v>0</v>
      </c>
      <c r="L25" s="25">
        <f>'Standing charge factors'!L46</f>
        <v>0</v>
      </c>
      <c r="M25" s="25">
        <f>'Standing charge factors'!M46</f>
        <v>0</v>
      </c>
      <c r="N25" s="25">
        <f>'Standing charge factors'!N46</f>
        <v>0</v>
      </c>
      <c r="O25" s="25">
        <f>'Standing charge factors'!O46</f>
        <v>0</v>
      </c>
      <c r="P25" s="25">
        <f>'Standing charge factors'!P46</f>
        <v>0</v>
      </c>
      <c r="Q25" s="25">
        <f>'Standing charge factors'!Q46</f>
        <v>0</v>
      </c>
      <c r="R25" s="25">
        <f>'Standing charge factors'!R46</f>
        <v>0</v>
      </c>
      <c r="S25" s="25">
        <f>'Standing charge factors'!S46</f>
        <v>0</v>
      </c>
      <c r="T25" s="25">
        <f>'Standing charge factors'!T46</f>
        <v>0</v>
      </c>
      <c r="U25" s="25">
        <f>'Standing charge factors'!U46</f>
        <v>0</v>
      </c>
      <c r="V25" s="25">
        <f>'Standing charge factors'!V46</f>
        <v>0</v>
      </c>
      <c r="W25" s="25">
        <f>'Standing charge factors'!W46</f>
        <v>0</v>
      </c>
      <c r="X25" s="25">
        <f>'Standing charge factors'!X46</f>
        <v>0</v>
      </c>
      <c r="Y25" s="25">
        <f>'Standing charge factors'!Y46</f>
        <v>0</v>
      </c>
      <c r="Z25" s="25">
        <f>'Standing charge factors'!Z46</f>
        <v>0</v>
      </c>
      <c r="AA25" s="25">
        <f>'Standing charge factors'!AA46</f>
        <v>0</v>
      </c>
      <c r="AB25" s="25">
        <f>'Standing charge factors'!AB46</f>
        <v>0</v>
      </c>
      <c r="AC25" s="25">
        <f>'Standing charge factors'!AC46</f>
        <v>0</v>
      </c>
      <c r="AD25" s="25">
        <f>'Standing charge factors'!AD46</f>
        <v>0</v>
      </c>
      <c r="AE25" s="25">
        <f>'Standing charge factors'!AE46</f>
        <v>0</v>
      </c>
      <c r="AF25" s="25">
        <f>'Standing charge factors'!AF46</f>
        <v>0</v>
      </c>
      <c r="AG25" s="25">
        <f>'Standing charge factors'!AG46</f>
        <v>0</v>
      </c>
      <c r="AH25" s="25">
        <f>'Standing charge factors'!AH46</f>
        <v>0</v>
      </c>
      <c r="AI25" s="25">
        <f>'Standing charge factors'!AI46</f>
        <v>0</v>
      </c>
      <c r="AJ25" s="25">
        <f>'Standing charge factors'!AJ46</f>
        <v>0</v>
      </c>
      <c r="AK25" s="25">
        <f>'Standing charge factors'!AK46</f>
        <v>0</v>
      </c>
      <c r="AL25" s="25">
        <f>'Standing charge factors'!AL46</f>
        <v>0</v>
      </c>
      <c r="AM25" s="25">
        <f>'Standing charge factors'!AM46</f>
        <v>0</v>
      </c>
      <c r="AN25" s="25">
        <f>'Standing charge factors'!AN46</f>
        <v>0</v>
      </c>
      <c r="AO25" s="25">
        <f>'Standing charge factors'!AO46</f>
        <v>0</v>
      </c>
      <c r="AP25" s="25">
        <f>'Standing charge factors'!AP46</f>
        <v>0</v>
      </c>
      <c r="BH25" s="3"/>
    </row>
    <row r="26" spans="3:60" x14ac:dyDescent="0.25">
      <c r="E26" s="32"/>
      <c r="F26" t="s">
        <v>230</v>
      </c>
      <c r="G26" t="s">
        <v>203</v>
      </c>
      <c r="H26" s="63"/>
      <c r="J26" s="25">
        <f>'Standing charge factors'!J47</f>
        <v>0</v>
      </c>
      <c r="K26" s="25">
        <f>'Standing charge factors'!K47</f>
        <v>0</v>
      </c>
      <c r="L26" s="25">
        <f>'Standing charge factors'!L47</f>
        <v>0</v>
      </c>
      <c r="M26" s="25">
        <f>'Standing charge factors'!M47</f>
        <v>0</v>
      </c>
      <c r="N26" s="25">
        <f>'Standing charge factors'!N47</f>
        <v>0</v>
      </c>
      <c r="O26" s="25">
        <f>'Standing charge factors'!O47</f>
        <v>0</v>
      </c>
      <c r="P26" s="25">
        <f>'Standing charge factors'!P47</f>
        <v>0</v>
      </c>
      <c r="Q26" s="25">
        <f>'Standing charge factors'!Q47</f>
        <v>0</v>
      </c>
      <c r="R26" s="25">
        <f>'Standing charge factors'!R47</f>
        <v>0.2</v>
      </c>
      <c r="S26" s="25">
        <f>'Standing charge factors'!S47</f>
        <v>0</v>
      </c>
      <c r="T26" s="25">
        <f>'Standing charge factors'!T47</f>
        <v>0</v>
      </c>
      <c r="U26" s="25">
        <f>'Standing charge factors'!U47</f>
        <v>0</v>
      </c>
      <c r="V26" s="25">
        <f>'Standing charge factors'!V47</f>
        <v>0</v>
      </c>
      <c r="W26" s="25">
        <f>'Standing charge factors'!W47</f>
        <v>0.2</v>
      </c>
      <c r="X26" s="25">
        <f>'Standing charge factors'!X47</f>
        <v>0</v>
      </c>
      <c r="Y26" s="25">
        <f>'Standing charge factors'!Y47</f>
        <v>0</v>
      </c>
      <c r="Z26" s="25">
        <f>'Standing charge factors'!Z47</f>
        <v>0</v>
      </c>
      <c r="AA26" s="25">
        <f>'Standing charge factors'!AA47</f>
        <v>0</v>
      </c>
      <c r="AB26" s="25">
        <f>'Standing charge factors'!AB47</f>
        <v>0</v>
      </c>
      <c r="AC26" s="25">
        <f>'Standing charge factors'!AC47</f>
        <v>0</v>
      </c>
      <c r="AD26" s="25">
        <f>'Standing charge factors'!AD47</f>
        <v>0</v>
      </c>
      <c r="AE26" s="25">
        <f>'Standing charge factors'!AE47</f>
        <v>0</v>
      </c>
      <c r="AF26" s="25">
        <f>'Standing charge factors'!AF47</f>
        <v>0</v>
      </c>
      <c r="AG26" s="25">
        <f>'Standing charge factors'!AG47</f>
        <v>0</v>
      </c>
      <c r="AH26" s="25">
        <f>'Standing charge factors'!AH47</f>
        <v>0</v>
      </c>
      <c r="AI26" s="25">
        <f>'Standing charge factors'!AI47</f>
        <v>0</v>
      </c>
      <c r="AJ26" s="25">
        <f>'Standing charge factors'!AJ47</f>
        <v>0</v>
      </c>
      <c r="AK26" s="25">
        <f>'Standing charge factors'!AK47</f>
        <v>0</v>
      </c>
      <c r="AL26" s="25">
        <f>'Standing charge factors'!AL47</f>
        <v>0</v>
      </c>
      <c r="AM26" s="25">
        <f>'Standing charge factors'!AM47</f>
        <v>0</v>
      </c>
      <c r="AN26" s="25">
        <f>'Standing charge factors'!AN47</f>
        <v>0</v>
      </c>
      <c r="AO26" s="25">
        <f>'Standing charge factors'!AO47</f>
        <v>0</v>
      </c>
      <c r="AP26" s="25">
        <f>'Standing charge factors'!AP47</f>
        <v>0</v>
      </c>
      <c r="BH26" s="3"/>
    </row>
    <row r="27" spans="3:60" x14ac:dyDescent="0.25">
      <c r="E27" s="32"/>
      <c r="F27" t="s">
        <v>231</v>
      </c>
      <c r="G27" t="s">
        <v>203</v>
      </c>
      <c r="H27" s="63"/>
      <c r="J27" s="25">
        <f>'Standing charge factors'!J48</f>
        <v>0</v>
      </c>
      <c r="K27" s="25">
        <f>'Standing charge factors'!K48</f>
        <v>0</v>
      </c>
      <c r="L27" s="25">
        <f>'Standing charge factors'!L48</f>
        <v>0</v>
      </c>
      <c r="M27" s="25">
        <f>'Standing charge factors'!M48</f>
        <v>0</v>
      </c>
      <c r="N27" s="25">
        <f>'Standing charge factors'!N48</f>
        <v>0</v>
      </c>
      <c r="O27" s="25">
        <f>'Standing charge factors'!O48</f>
        <v>0</v>
      </c>
      <c r="P27" s="25">
        <f>'Standing charge factors'!P48</f>
        <v>0</v>
      </c>
      <c r="Q27" s="25">
        <f>'Standing charge factors'!Q48</f>
        <v>0</v>
      </c>
      <c r="R27" s="25">
        <f>'Standing charge factors'!R48</f>
        <v>1</v>
      </c>
      <c r="S27" s="25">
        <f>'Standing charge factors'!S48</f>
        <v>0</v>
      </c>
      <c r="T27" s="25">
        <f>'Standing charge factors'!T48</f>
        <v>0</v>
      </c>
      <c r="U27" s="25">
        <f>'Standing charge factors'!U48</f>
        <v>0</v>
      </c>
      <c r="V27" s="25">
        <f>'Standing charge factors'!V48</f>
        <v>0</v>
      </c>
      <c r="W27" s="25">
        <f>'Standing charge factors'!W48</f>
        <v>1</v>
      </c>
      <c r="X27" s="25">
        <f>'Standing charge factors'!X48</f>
        <v>0</v>
      </c>
      <c r="Y27" s="25">
        <f>'Standing charge factors'!Y48</f>
        <v>0</v>
      </c>
      <c r="Z27" s="25">
        <f>'Standing charge factors'!Z48</f>
        <v>0</v>
      </c>
      <c r="AA27" s="25">
        <f>'Standing charge factors'!AA48</f>
        <v>0</v>
      </c>
      <c r="AB27" s="25">
        <f>'Standing charge factors'!AB48</f>
        <v>0</v>
      </c>
      <c r="AC27" s="25">
        <f>'Standing charge factors'!AC48</f>
        <v>0</v>
      </c>
      <c r="AD27" s="25">
        <f>'Standing charge factors'!AD48</f>
        <v>0</v>
      </c>
      <c r="AE27" s="25">
        <f>'Standing charge factors'!AE48</f>
        <v>0</v>
      </c>
      <c r="AF27" s="25">
        <f>'Standing charge factors'!AF48</f>
        <v>0</v>
      </c>
      <c r="AG27" s="25">
        <f>'Standing charge factors'!AG48</f>
        <v>0</v>
      </c>
      <c r="AH27" s="25">
        <f>'Standing charge factors'!AH48</f>
        <v>0</v>
      </c>
      <c r="AI27" s="25">
        <f>'Standing charge factors'!AI48</f>
        <v>0</v>
      </c>
      <c r="AJ27" s="25">
        <f>'Standing charge factors'!AJ48</f>
        <v>0</v>
      </c>
      <c r="AK27" s="25">
        <f>'Standing charge factors'!AK48</f>
        <v>0</v>
      </c>
      <c r="AL27" s="25">
        <f>'Standing charge factors'!AL48</f>
        <v>0</v>
      </c>
      <c r="AM27" s="25">
        <f>'Standing charge factors'!AM48</f>
        <v>0</v>
      </c>
      <c r="AN27" s="25">
        <f>'Standing charge factors'!AN48</f>
        <v>0</v>
      </c>
      <c r="AO27" s="25">
        <f>'Standing charge factors'!AO48</f>
        <v>0</v>
      </c>
      <c r="AP27" s="25">
        <f>'Standing charge factors'!AP48</f>
        <v>0</v>
      </c>
      <c r="BH27" s="3"/>
    </row>
    <row r="28" spans="3:60" x14ac:dyDescent="0.25">
      <c r="E28" s="32"/>
      <c r="F28" t="s">
        <v>232</v>
      </c>
      <c r="G28" t="s">
        <v>203</v>
      </c>
      <c r="H28" s="63"/>
      <c r="J28" s="25">
        <f>'Standing charge factors'!J49</f>
        <v>0</v>
      </c>
      <c r="K28" s="25">
        <f>'Standing charge factors'!K49</f>
        <v>0</v>
      </c>
      <c r="L28" s="25">
        <f>'Standing charge factors'!L49</f>
        <v>0</v>
      </c>
      <c r="M28" s="25">
        <f>'Standing charge factors'!M49</f>
        <v>0</v>
      </c>
      <c r="N28" s="25">
        <f>'Standing charge factors'!N49</f>
        <v>0</v>
      </c>
      <c r="O28" s="25">
        <f>'Standing charge factors'!O49</f>
        <v>0</v>
      </c>
      <c r="P28" s="25">
        <f>'Standing charge factors'!P49</f>
        <v>0</v>
      </c>
      <c r="Q28" s="25">
        <f>'Standing charge factors'!Q49</f>
        <v>0</v>
      </c>
      <c r="R28" s="25">
        <f>'Standing charge factors'!R49</f>
        <v>1</v>
      </c>
      <c r="S28" s="25">
        <f>'Standing charge factors'!S49</f>
        <v>0</v>
      </c>
      <c r="T28" s="25">
        <f>'Standing charge factors'!T49</f>
        <v>0</v>
      </c>
      <c r="U28" s="25">
        <f>'Standing charge factors'!U49</f>
        <v>0</v>
      </c>
      <c r="V28" s="25">
        <f>'Standing charge factors'!V49</f>
        <v>0</v>
      </c>
      <c r="W28" s="25">
        <f>'Standing charge factors'!W49</f>
        <v>1</v>
      </c>
      <c r="X28" s="25">
        <f>'Standing charge factors'!X49</f>
        <v>0</v>
      </c>
      <c r="Y28" s="25">
        <f>'Standing charge factors'!Y49</f>
        <v>0</v>
      </c>
      <c r="Z28" s="25">
        <f>'Standing charge factors'!Z49</f>
        <v>0</v>
      </c>
      <c r="AA28" s="25">
        <f>'Standing charge factors'!AA49</f>
        <v>0</v>
      </c>
      <c r="AB28" s="25">
        <f>'Standing charge factors'!AB49</f>
        <v>0</v>
      </c>
      <c r="AC28" s="25">
        <f>'Standing charge factors'!AC49</f>
        <v>0</v>
      </c>
      <c r="AD28" s="25">
        <f>'Standing charge factors'!AD49</f>
        <v>0</v>
      </c>
      <c r="AE28" s="25">
        <f>'Standing charge factors'!AE49</f>
        <v>0</v>
      </c>
      <c r="AF28" s="25">
        <f>'Standing charge factors'!AF49</f>
        <v>0</v>
      </c>
      <c r="AG28" s="25">
        <f>'Standing charge factors'!AG49</f>
        <v>0</v>
      </c>
      <c r="AH28" s="25">
        <f>'Standing charge factors'!AH49</f>
        <v>0</v>
      </c>
      <c r="AI28" s="25">
        <f>'Standing charge factors'!AI49</f>
        <v>0</v>
      </c>
      <c r="AJ28" s="25">
        <f>'Standing charge factors'!AJ49</f>
        <v>0</v>
      </c>
      <c r="AK28" s="25">
        <f>'Standing charge factors'!AK49</f>
        <v>0</v>
      </c>
      <c r="AL28" s="25">
        <f>'Standing charge factors'!AL49</f>
        <v>0</v>
      </c>
      <c r="AM28" s="25">
        <f>'Standing charge factors'!AM49</f>
        <v>0</v>
      </c>
      <c r="AN28" s="25">
        <f>'Standing charge factors'!AN49</f>
        <v>0</v>
      </c>
      <c r="AO28" s="25">
        <f>'Standing charge factors'!AO49</f>
        <v>0</v>
      </c>
      <c r="AP28" s="25">
        <f>'Standing charge factors'!AP49</f>
        <v>0</v>
      </c>
      <c r="BH28" s="3"/>
    </row>
    <row r="29" spans="3:60" x14ac:dyDescent="0.25">
      <c r="E29" s="32"/>
      <c r="F29" t="s">
        <v>233</v>
      </c>
      <c r="G29" t="s">
        <v>203</v>
      </c>
      <c r="H29" s="63"/>
      <c r="J29" s="25">
        <f>'Standing charge factors'!J50</f>
        <v>0</v>
      </c>
      <c r="K29" s="25">
        <f>'Standing charge factors'!K50</f>
        <v>0</v>
      </c>
      <c r="L29" s="25">
        <f>'Standing charge factors'!L50</f>
        <v>0</v>
      </c>
      <c r="M29" s="25">
        <f>'Standing charge factors'!M50</f>
        <v>0</v>
      </c>
      <c r="N29" s="25">
        <f>'Standing charge factors'!N50</f>
        <v>0</v>
      </c>
      <c r="O29" s="25">
        <f>'Standing charge factors'!O50</f>
        <v>0</v>
      </c>
      <c r="P29" s="25">
        <f>'Standing charge factors'!P50</f>
        <v>0</v>
      </c>
      <c r="Q29" s="25">
        <f>'Standing charge factors'!Q50</f>
        <v>0</v>
      </c>
      <c r="R29" s="25">
        <f>'Standing charge factors'!R50</f>
        <v>1</v>
      </c>
      <c r="S29" s="25">
        <f>'Standing charge factors'!S50</f>
        <v>0</v>
      </c>
      <c r="T29" s="25">
        <f>'Standing charge factors'!T50</f>
        <v>0</v>
      </c>
      <c r="U29" s="25">
        <f>'Standing charge factors'!U50</f>
        <v>0.2</v>
      </c>
      <c r="V29" s="25">
        <f>'Standing charge factors'!V50</f>
        <v>1</v>
      </c>
      <c r="W29" s="25">
        <f>'Standing charge factors'!W50</f>
        <v>1</v>
      </c>
      <c r="X29" s="25">
        <f>'Standing charge factors'!X50</f>
        <v>0</v>
      </c>
      <c r="Y29" s="25">
        <f>'Standing charge factors'!Y50</f>
        <v>0</v>
      </c>
      <c r="Z29" s="25">
        <f>'Standing charge factors'!Z50</f>
        <v>0</v>
      </c>
      <c r="AA29" s="25">
        <f>'Standing charge factors'!AA50</f>
        <v>0</v>
      </c>
      <c r="AB29" s="25">
        <f>'Standing charge factors'!AB50</f>
        <v>0</v>
      </c>
      <c r="AC29" s="25">
        <f>'Standing charge factors'!AC50</f>
        <v>0</v>
      </c>
      <c r="AD29" s="25">
        <f>'Standing charge factors'!AD50</f>
        <v>0</v>
      </c>
      <c r="AE29" s="25">
        <f>'Standing charge factors'!AE50</f>
        <v>0</v>
      </c>
      <c r="AF29" s="25">
        <f>'Standing charge factors'!AF50</f>
        <v>0</v>
      </c>
      <c r="AG29" s="25">
        <f>'Standing charge factors'!AG50</f>
        <v>0</v>
      </c>
      <c r="AH29" s="25">
        <f>'Standing charge factors'!AH50</f>
        <v>0</v>
      </c>
      <c r="AI29" s="25">
        <f>'Standing charge factors'!AI50</f>
        <v>0</v>
      </c>
      <c r="AJ29" s="25">
        <f>'Standing charge factors'!AJ50</f>
        <v>0</v>
      </c>
      <c r="AK29" s="25">
        <f>'Standing charge factors'!AK50</f>
        <v>0</v>
      </c>
      <c r="AL29" s="25">
        <f>'Standing charge factors'!AL50</f>
        <v>0</v>
      </c>
      <c r="AM29" s="25">
        <f>'Standing charge factors'!AM50</f>
        <v>0</v>
      </c>
      <c r="AN29" s="25">
        <f>'Standing charge factors'!AN50</f>
        <v>0</v>
      </c>
      <c r="AO29" s="25">
        <f>'Standing charge factors'!AO50</f>
        <v>0</v>
      </c>
      <c r="AP29" s="25">
        <f>'Standing charge factors'!AP50</f>
        <v>0</v>
      </c>
      <c r="BH29" s="3"/>
    </row>
    <row r="30" spans="3:60" x14ac:dyDescent="0.25">
      <c r="E30" s="32"/>
      <c r="F30" t="s">
        <v>234</v>
      </c>
      <c r="G30" t="s">
        <v>203</v>
      </c>
      <c r="H30" s="63"/>
      <c r="J30" s="25">
        <f>'Standing charge factors'!J51</f>
        <v>0</v>
      </c>
      <c r="K30" s="25">
        <f>'Standing charge factors'!K51</f>
        <v>0</v>
      </c>
      <c r="L30" s="25">
        <f>'Standing charge factors'!L51</f>
        <v>0</v>
      </c>
      <c r="M30" s="25">
        <f>'Standing charge factors'!M51</f>
        <v>0</v>
      </c>
      <c r="N30" s="25">
        <f>'Standing charge factors'!N51</f>
        <v>0</v>
      </c>
      <c r="O30" s="25">
        <f>'Standing charge factors'!O51</f>
        <v>0</v>
      </c>
      <c r="P30" s="25">
        <f>'Standing charge factors'!P51</f>
        <v>0</v>
      </c>
      <c r="Q30" s="25">
        <f>'Standing charge factors'!Q51</f>
        <v>1</v>
      </c>
      <c r="R30" s="25">
        <f>'Standing charge factors'!R51</f>
        <v>0</v>
      </c>
      <c r="S30" s="25">
        <f>'Standing charge factors'!S51</f>
        <v>0</v>
      </c>
      <c r="T30" s="25">
        <f>'Standing charge factors'!T51</f>
        <v>0</v>
      </c>
      <c r="U30" s="25">
        <f>'Standing charge factors'!U51</f>
        <v>1</v>
      </c>
      <c r="V30" s="25">
        <f>'Standing charge factors'!V51</f>
        <v>1</v>
      </c>
      <c r="W30" s="25">
        <f>'Standing charge factors'!W51</f>
        <v>0</v>
      </c>
      <c r="X30" s="25">
        <f>'Standing charge factors'!X51</f>
        <v>0</v>
      </c>
      <c r="Y30" s="25">
        <f>'Standing charge factors'!Y51</f>
        <v>0</v>
      </c>
      <c r="Z30" s="25">
        <f>'Standing charge factors'!Z51</f>
        <v>0</v>
      </c>
      <c r="AA30" s="25">
        <f>'Standing charge factors'!AA51</f>
        <v>0</v>
      </c>
      <c r="AB30" s="25">
        <f>'Standing charge factors'!AB51</f>
        <v>0</v>
      </c>
      <c r="AC30" s="25">
        <f>'Standing charge factors'!AC51</f>
        <v>0</v>
      </c>
      <c r="AD30" s="25">
        <f>'Standing charge factors'!AD51</f>
        <v>0</v>
      </c>
      <c r="AE30" s="25">
        <f>'Standing charge factors'!AE51</f>
        <v>0</v>
      </c>
      <c r="AF30" s="25">
        <f>'Standing charge factors'!AF51</f>
        <v>0</v>
      </c>
      <c r="AG30" s="25">
        <f>'Standing charge factors'!AG51</f>
        <v>0</v>
      </c>
      <c r="AH30" s="25">
        <f>'Standing charge factors'!AH51</f>
        <v>0</v>
      </c>
      <c r="AI30" s="25">
        <f>'Standing charge factors'!AI51</f>
        <v>0</v>
      </c>
      <c r="AJ30" s="25">
        <f>'Standing charge factors'!AJ51</f>
        <v>0</v>
      </c>
      <c r="AK30" s="25">
        <f>'Standing charge factors'!AK51</f>
        <v>0</v>
      </c>
      <c r="AL30" s="25">
        <f>'Standing charge factors'!AL51</f>
        <v>0</v>
      </c>
      <c r="AM30" s="25">
        <f>'Standing charge factors'!AM51</f>
        <v>0</v>
      </c>
      <c r="AN30" s="25">
        <f>'Standing charge factors'!AN51</f>
        <v>0</v>
      </c>
      <c r="AO30" s="25">
        <f>'Standing charge factors'!AO51</f>
        <v>0</v>
      </c>
      <c r="AP30" s="25">
        <f>'Standing charge factors'!AP51</f>
        <v>0</v>
      </c>
      <c r="BH30" s="3"/>
    </row>
    <row r="31" spans="3:60" x14ac:dyDescent="0.25">
      <c r="E31" s="32"/>
      <c r="F31" s="37" t="s">
        <v>235</v>
      </c>
      <c r="G31" s="37" t="s">
        <v>203</v>
      </c>
      <c r="H31" s="133"/>
      <c r="I31" s="37"/>
      <c r="J31" s="144">
        <f>'Standing charge factors'!J52</f>
        <v>1</v>
      </c>
      <c r="K31" s="144">
        <f>'Standing charge factors'!K52</f>
        <v>1</v>
      </c>
      <c r="L31" s="144">
        <f>'Standing charge factors'!L52</f>
        <v>1</v>
      </c>
      <c r="M31" s="144">
        <f>'Standing charge factors'!M52</f>
        <v>1</v>
      </c>
      <c r="N31" s="144">
        <f>'Standing charge factors'!N52</f>
        <v>1</v>
      </c>
      <c r="O31" s="144">
        <f>'Standing charge factors'!O52</f>
        <v>1</v>
      </c>
      <c r="P31" s="144">
        <f>'Standing charge factors'!P52</f>
        <v>1</v>
      </c>
      <c r="Q31" s="144">
        <f>'Standing charge factors'!Q52</f>
        <v>0</v>
      </c>
      <c r="R31" s="144">
        <f>'Standing charge factors'!R52</f>
        <v>0</v>
      </c>
      <c r="S31" s="144">
        <f>'Standing charge factors'!S52</f>
        <v>1</v>
      </c>
      <c r="T31" s="144">
        <f>'Standing charge factors'!T52</f>
        <v>1</v>
      </c>
      <c r="U31" s="144">
        <f>'Standing charge factors'!U52</f>
        <v>1</v>
      </c>
      <c r="V31" s="144">
        <f>'Standing charge factors'!V52</f>
        <v>0</v>
      </c>
      <c r="W31" s="144">
        <f>'Standing charge factors'!W52</f>
        <v>0</v>
      </c>
      <c r="X31" s="144">
        <f>'Standing charge factors'!X52</f>
        <v>0</v>
      </c>
      <c r="Y31" s="144">
        <f>'Standing charge factors'!Y52</f>
        <v>0</v>
      </c>
      <c r="Z31" s="144">
        <f>'Standing charge factors'!Z52</f>
        <v>0</v>
      </c>
      <c r="AA31" s="144">
        <f>'Standing charge factors'!AA52</f>
        <v>0</v>
      </c>
      <c r="AB31" s="144">
        <f>'Standing charge factors'!AB52</f>
        <v>0</v>
      </c>
      <c r="AC31" s="144">
        <f>'Standing charge factors'!AC52</f>
        <v>0</v>
      </c>
      <c r="AD31" s="144">
        <f>'Standing charge factors'!AD52</f>
        <v>0</v>
      </c>
      <c r="AE31" s="144">
        <f>'Standing charge factors'!AE52</f>
        <v>0</v>
      </c>
      <c r="AF31" s="144">
        <f>'Standing charge factors'!AF52</f>
        <v>0</v>
      </c>
      <c r="AG31" s="144">
        <f>'Standing charge factors'!AG52</f>
        <v>0</v>
      </c>
      <c r="AH31" s="144">
        <f>'Standing charge factors'!AH52</f>
        <v>0</v>
      </c>
      <c r="AI31" s="144">
        <f>'Standing charge factors'!AI52</f>
        <v>0</v>
      </c>
      <c r="AJ31" s="144">
        <f>'Standing charge factors'!AJ52</f>
        <v>0</v>
      </c>
      <c r="AK31" s="144">
        <f>'Standing charge factors'!AK52</f>
        <v>0</v>
      </c>
      <c r="AL31" s="144">
        <f>'Standing charge factors'!AL52</f>
        <v>0</v>
      </c>
      <c r="AM31" s="144">
        <f>'Standing charge factors'!AM52</f>
        <v>0</v>
      </c>
      <c r="AN31" s="144">
        <f>'Standing charge factors'!AN52</f>
        <v>0</v>
      </c>
      <c r="AO31" s="144">
        <f>'Standing charge factors'!AO52</f>
        <v>0</v>
      </c>
      <c r="AP31" s="144">
        <f>'Standing charge factors'!AP52</f>
        <v>0</v>
      </c>
      <c r="BH31" s="3"/>
    </row>
    <row r="32" spans="3:60" x14ac:dyDescent="0.25">
      <c r="E32" s="32"/>
      <c r="J32" s="63"/>
      <c r="K32" s="63"/>
      <c r="L32" s="63"/>
      <c r="M32" s="63"/>
      <c r="N32" s="63"/>
      <c r="O32" s="63"/>
      <c r="P32" s="63"/>
      <c r="Q32" s="63"/>
      <c r="R32" s="63"/>
      <c r="S32" s="63"/>
      <c r="BH32" s="3"/>
    </row>
    <row r="33" spans="5:60" x14ac:dyDescent="0.25">
      <c r="E33" s="32" t="s">
        <v>610</v>
      </c>
      <c r="I33" t="s">
        <v>190</v>
      </c>
      <c r="J33" s="63"/>
      <c r="K33" s="63"/>
      <c r="L33" s="63"/>
      <c r="M33" s="63"/>
      <c r="N33" s="63"/>
      <c r="O33" s="63"/>
      <c r="P33" s="63"/>
      <c r="Q33" s="63"/>
      <c r="R33" s="63"/>
      <c r="S33" s="63"/>
      <c r="T33" s="63"/>
      <c r="U33" s="63"/>
      <c r="V33" s="63"/>
      <c r="W33" s="63"/>
      <c r="X33" s="63"/>
      <c r="Y33" s="63"/>
      <c r="Z33" s="63"/>
      <c r="AA33" s="63"/>
      <c r="AB33" s="63"/>
      <c r="AC33" s="63"/>
      <c r="AD33" s="63"/>
      <c r="AE33" s="63"/>
      <c r="AF33" s="63"/>
      <c r="AG33" s="63"/>
      <c r="AH33" s="63"/>
      <c r="AI33" s="63"/>
      <c r="AJ33" s="63"/>
      <c r="AK33" s="63"/>
      <c r="AL33" s="63"/>
      <c r="AM33" s="63"/>
      <c r="AN33" s="63"/>
      <c r="AO33" s="63"/>
      <c r="AP33" s="63"/>
      <c r="AR33" t="s">
        <v>611</v>
      </c>
      <c r="BH33" s="3"/>
    </row>
    <row r="34" spans="5:60" x14ac:dyDescent="0.25">
      <c r="E34" s="32"/>
      <c r="F34" s="23" t="s">
        <v>227</v>
      </c>
      <c r="G34" s="23" t="s">
        <v>342</v>
      </c>
      <c r="H34" s="163"/>
      <c r="I34" s="163"/>
      <c r="J34" s="127">
        <f t="array" ref="J34">TRANSPOSE('Load &amp; loss characteristics'!K230:S262)</f>
        <v>1.0900000000000001</v>
      </c>
      <c r="K34" s="127">
        <f>'Load &amp; loss characteristics'!K231</f>
        <v>1.0900000000000001</v>
      </c>
      <c r="L34" s="127">
        <f>'Load &amp; loss characteristics'!K232</f>
        <v>1.0900000000000001</v>
      </c>
      <c r="M34" s="127">
        <f>'Load &amp; loss characteristics'!K233</f>
        <v>1.0900000000000001</v>
      </c>
      <c r="N34" s="127">
        <f>'Load &amp; loss characteristics'!K234</f>
        <v>1.0900000000000001</v>
      </c>
      <c r="O34" s="127">
        <f>'Load &amp; loss characteristics'!K235</f>
        <v>1.0900000000000001</v>
      </c>
      <c r="P34" s="127">
        <f>'Load &amp; loss characteristics'!K236</f>
        <v>1.0900000000000001</v>
      </c>
      <c r="Q34" s="127">
        <f>'Load &amp; loss characteristics'!K237</f>
        <v>1.0569999999999999</v>
      </c>
      <c r="R34" s="127">
        <f>'Load &amp; loss characteristics'!K238</f>
        <v>1.0349999999999999</v>
      </c>
      <c r="S34" s="127">
        <f>'Load &amp; loss characteristics'!K239</f>
        <v>1.0900000000000001</v>
      </c>
      <c r="T34" s="127">
        <f>'Load &amp; loss characteristics'!K240</f>
        <v>1.0900000000000001</v>
      </c>
      <c r="U34" s="127">
        <f>'Load &amp; loss characteristics'!K241</f>
        <v>1.0900000000000001</v>
      </c>
      <c r="V34" s="127">
        <f>'Load &amp; loss characteristics'!K242</f>
        <v>1.0569999999999999</v>
      </c>
      <c r="W34" s="127">
        <f>'Load &amp; loss characteristics'!K243</f>
        <v>1.0349999999999999</v>
      </c>
      <c r="X34" s="127">
        <f>'Load &amp; loss characteristics'!K244</f>
        <v>1.0900000000000001</v>
      </c>
      <c r="Y34" s="127">
        <f>'Load &amp; loss characteristics'!K245</f>
        <v>1.0900000000000001</v>
      </c>
      <c r="Z34" s="127">
        <f>'Load &amp; loss characteristics'!K246</f>
        <v>1.0900000000000001</v>
      </c>
      <c r="AA34" s="127">
        <f>'Load &amp; loss characteristics'!K247</f>
        <v>1.0900000000000001</v>
      </c>
      <c r="AB34" s="127">
        <f>'Load &amp; loss characteristics'!K248</f>
        <v>1.0900000000000001</v>
      </c>
      <c r="AC34" s="127">
        <f>'Load &amp; loss characteristics'!K249</f>
        <v>-1.0900000000000001</v>
      </c>
      <c r="AD34" s="127">
        <f>'Load &amp; loss characteristics'!K250</f>
        <v>-1.0569999999999999</v>
      </c>
      <c r="AE34" s="127">
        <f>'Load &amp; loss characteristics'!K251</f>
        <v>-1.0900000000000001</v>
      </c>
      <c r="AF34" s="127">
        <f>'Load &amp; loss characteristics'!K252</f>
        <v>-1.0900000000000001</v>
      </c>
      <c r="AG34" s="127">
        <f>'Load &amp; loss characteristics'!K253</f>
        <v>-1.0900000000000001</v>
      </c>
      <c r="AH34" s="127">
        <f>'Load &amp; loss characteristics'!K254</f>
        <v>-1.0900000000000001</v>
      </c>
      <c r="AI34" s="127">
        <f>'Load &amp; loss characteristics'!K255</f>
        <v>-1.0569999999999999</v>
      </c>
      <c r="AJ34" s="127">
        <f>'Load &amp; loss characteristics'!K256</f>
        <v>-1.0569999999999999</v>
      </c>
      <c r="AK34" s="127">
        <f>'Load &amp; loss characteristics'!K257</f>
        <v>-1.0569999999999999</v>
      </c>
      <c r="AL34" s="127">
        <f>'Load &amp; loss characteristics'!K258</f>
        <v>-1.0569999999999999</v>
      </c>
      <c r="AM34" s="127">
        <f>'Load &amp; loss characteristics'!K259</f>
        <v>-1.0349999999999999</v>
      </c>
      <c r="AN34" s="127">
        <f>'Load &amp; loss characteristics'!K260</f>
        <v>-1.0349999999999999</v>
      </c>
      <c r="AO34" s="127">
        <f>'Load &amp; loss characteristics'!K261</f>
        <v>-1.0349999999999999</v>
      </c>
      <c r="AP34" s="127">
        <f>'Load &amp; loss characteristics'!K262</f>
        <v>-1.0349999999999999</v>
      </c>
      <c r="BH34" s="3"/>
    </row>
    <row r="35" spans="5:60" x14ac:dyDescent="0.25">
      <c r="E35" s="32"/>
      <c r="F35" t="s">
        <v>228</v>
      </c>
      <c r="G35" t="s">
        <v>342</v>
      </c>
      <c r="H35" s="92"/>
      <c r="I35" s="92"/>
      <c r="J35" s="123">
        <f>'Load &amp; loss characteristics'!L230</f>
        <v>1.0900000000000001</v>
      </c>
      <c r="K35" s="123">
        <f>'Load &amp; loss characteristics'!L231</f>
        <v>1.0900000000000001</v>
      </c>
      <c r="L35" s="123">
        <f>'Load &amp; loss characteristics'!L232</f>
        <v>1.0900000000000001</v>
      </c>
      <c r="M35" s="123">
        <f>'Load &amp; loss characteristics'!L233</f>
        <v>1.0900000000000001</v>
      </c>
      <c r="N35" s="123">
        <f>'Load &amp; loss characteristics'!L234</f>
        <v>1.0900000000000001</v>
      </c>
      <c r="O35" s="123">
        <f>'Load &amp; loss characteristics'!L235</f>
        <v>1.0900000000000001</v>
      </c>
      <c r="P35" s="123">
        <f>'Load &amp; loss characteristics'!L236</f>
        <v>1.0900000000000001</v>
      </c>
      <c r="Q35" s="123">
        <f>'Load &amp; loss characteristics'!L237</f>
        <v>1.0569999999999999</v>
      </c>
      <c r="R35" s="123">
        <f>'Load &amp; loss characteristics'!L238</f>
        <v>1.0349999999999999</v>
      </c>
      <c r="S35" s="123">
        <f>'Load &amp; loss characteristics'!L239</f>
        <v>1.0900000000000001</v>
      </c>
      <c r="T35" s="123">
        <f>'Load &amp; loss characteristics'!L240</f>
        <v>1.0900000000000001</v>
      </c>
      <c r="U35" s="123">
        <f>'Load &amp; loss characteristics'!L241</f>
        <v>1.0900000000000001</v>
      </c>
      <c r="V35" s="123">
        <f>'Load &amp; loss characteristics'!L242</f>
        <v>1.0569999999999999</v>
      </c>
      <c r="W35" s="123">
        <f>'Load &amp; loss characteristics'!L243</f>
        <v>1.0349999999999999</v>
      </c>
      <c r="X35" s="123">
        <f>'Load &amp; loss characteristics'!L244</f>
        <v>1.0900000000000001</v>
      </c>
      <c r="Y35" s="123">
        <f>'Load &amp; loss characteristics'!L245</f>
        <v>1.0900000000000001</v>
      </c>
      <c r="Z35" s="123">
        <f>'Load &amp; loss characteristics'!L246</f>
        <v>1.0900000000000001</v>
      </c>
      <c r="AA35" s="123">
        <f>'Load &amp; loss characteristics'!L247</f>
        <v>1.0900000000000001</v>
      </c>
      <c r="AB35" s="123">
        <f>'Load &amp; loss characteristics'!L248</f>
        <v>1.0900000000000001</v>
      </c>
      <c r="AC35" s="123">
        <f>'Load &amp; loss characteristics'!L249</f>
        <v>-1.0900000000000001</v>
      </c>
      <c r="AD35" s="123">
        <f>'Load &amp; loss characteristics'!L250</f>
        <v>-1.0569999999999999</v>
      </c>
      <c r="AE35" s="123">
        <f>'Load &amp; loss characteristics'!L251</f>
        <v>-1.0900000000000001</v>
      </c>
      <c r="AF35" s="123">
        <f>'Load &amp; loss characteristics'!L252</f>
        <v>-1.0900000000000001</v>
      </c>
      <c r="AG35" s="123">
        <f>'Load &amp; loss characteristics'!L253</f>
        <v>-1.0900000000000001</v>
      </c>
      <c r="AH35" s="123">
        <f>'Load &amp; loss characteristics'!L254</f>
        <v>-1.0900000000000001</v>
      </c>
      <c r="AI35" s="123">
        <f>'Load &amp; loss characteristics'!L255</f>
        <v>-1.0569999999999999</v>
      </c>
      <c r="AJ35" s="123">
        <f>'Load &amp; loss characteristics'!L256</f>
        <v>-1.0569999999999999</v>
      </c>
      <c r="AK35" s="123">
        <f>'Load &amp; loss characteristics'!L257</f>
        <v>-1.0569999999999999</v>
      </c>
      <c r="AL35" s="123">
        <f>'Load &amp; loss characteristics'!L258</f>
        <v>-1.0569999999999999</v>
      </c>
      <c r="AM35" s="123">
        <f>'Load &amp; loss characteristics'!L259</f>
        <v>-1.0349999999999999</v>
      </c>
      <c r="AN35" s="123">
        <f>'Load &amp; loss characteristics'!L260</f>
        <v>-1.0349999999999999</v>
      </c>
      <c r="AO35" s="123">
        <f>'Load &amp; loss characteristics'!L261</f>
        <v>-1.0349999999999999</v>
      </c>
      <c r="AP35" s="123">
        <f>'Load &amp; loss characteristics'!L262</f>
        <v>-1.0349999999999999</v>
      </c>
      <c r="BH35" s="3"/>
    </row>
    <row r="36" spans="5:60" x14ac:dyDescent="0.25">
      <c r="E36" s="32"/>
      <c r="F36" t="s">
        <v>229</v>
      </c>
      <c r="G36" t="s">
        <v>342</v>
      </c>
      <c r="H36" s="92"/>
      <c r="I36" s="92"/>
      <c r="J36" s="123">
        <f>'Load &amp; loss characteristics'!M230</f>
        <v>1.0900000000000001</v>
      </c>
      <c r="K36" s="123">
        <f>'Load &amp; loss characteristics'!M231</f>
        <v>1.0900000000000001</v>
      </c>
      <c r="L36" s="123">
        <f>'Load &amp; loss characteristics'!M232</f>
        <v>1.0900000000000001</v>
      </c>
      <c r="M36" s="123">
        <f>'Load &amp; loss characteristics'!M233</f>
        <v>1.0900000000000001</v>
      </c>
      <c r="N36" s="123">
        <f>'Load &amp; loss characteristics'!M234</f>
        <v>1.0900000000000001</v>
      </c>
      <c r="O36" s="123">
        <f>'Load &amp; loss characteristics'!M235</f>
        <v>1.0900000000000001</v>
      </c>
      <c r="P36" s="123">
        <f>'Load &amp; loss characteristics'!M236</f>
        <v>1.0900000000000001</v>
      </c>
      <c r="Q36" s="123">
        <f>'Load &amp; loss characteristics'!M237</f>
        <v>1.0569999999999999</v>
      </c>
      <c r="R36" s="123">
        <f>'Load &amp; loss characteristics'!M238</f>
        <v>1.0349999999999999</v>
      </c>
      <c r="S36" s="123">
        <f>'Load &amp; loss characteristics'!M239</f>
        <v>1.0900000000000001</v>
      </c>
      <c r="T36" s="123">
        <f>'Load &amp; loss characteristics'!M240</f>
        <v>1.0900000000000001</v>
      </c>
      <c r="U36" s="123">
        <f>'Load &amp; loss characteristics'!M241</f>
        <v>1.0900000000000001</v>
      </c>
      <c r="V36" s="123">
        <f>'Load &amp; loss characteristics'!M242</f>
        <v>1.0569999999999999</v>
      </c>
      <c r="W36" s="123">
        <f>'Load &amp; loss characteristics'!M243</f>
        <v>1.0349999999999999</v>
      </c>
      <c r="X36" s="123">
        <f>'Load &amp; loss characteristics'!M244</f>
        <v>1.0900000000000001</v>
      </c>
      <c r="Y36" s="123">
        <f>'Load &amp; loss characteristics'!M245</f>
        <v>1.0900000000000001</v>
      </c>
      <c r="Z36" s="123">
        <f>'Load &amp; loss characteristics'!M246</f>
        <v>1.0900000000000001</v>
      </c>
      <c r="AA36" s="123">
        <f>'Load &amp; loss characteristics'!M247</f>
        <v>1.0900000000000001</v>
      </c>
      <c r="AB36" s="123">
        <f>'Load &amp; loss characteristics'!M248</f>
        <v>1.0900000000000001</v>
      </c>
      <c r="AC36" s="123">
        <f>'Load &amp; loss characteristics'!M249</f>
        <v>-1.0900000000000001</v>
      </c>
      <c r="AD36" s="123">
        <f>'Load &amp; loss characteristics'!M250</f>
        <v>-1.0569999999999999</v>
      </c>
      <c r="AE36" s="123">
        <f>'Load &amp; loss characteristics'!M251</f>
        <v>-1.0900000000000001</v>
      </c>
      <c r="AF36" s="123">
        <f>'Load &amp; loss characteristics'!M252</f>
        <v>-1.0900000000000001</v>
      </c>
      <c r="AG36" s="123">
        <f>'Load &amp; loss characteristics'!M253</f>
        <v>-1.0900000000000001</v>
      </c>
      <c r="AH36" s="123">
        <f>'Load &amp; loss characteristics'!M254</f>
        <v>-1.0900000000000001</v>
      </c>
      <c r="AI36" s="123">
        <f>'Load &amp; loss characteristics'!M255</f>
        <v>-1.0569999999999999</v>
      </c>
      <c r="AJ36" s="123">
        <f>'Load &amp; loss characteristics'!M256</f>
        <v>-1.0569999999999999</v>
      </c>
      <c r="AK36" s="123">
        <f>'Load &amp; loss characteristics'!M257</f>
        <v>-1.0569999999999999</v>
      </c>
      <c r="AL36" s="123">
        <f>'Load &amp; loss characteristics'!M258</f>
        <v>-1.0569999999999999</v>
      </c>
      <c r="AM36" s="123">
        <f>'Load &amp; loss characteristics'!M259</f>
        <v>-1.0349999999999999</v>
      </c>
      <c r="AN36" s="123">
        <f>'Load &amp; loss characteristics'!M260</f>
        <v>-1.0349999999999999</v>
      </c>
      <c r="AO36" s="123">
        <f>'Load &amp; loss characteristics'!M261</f>
        <v>-1.0349999999999999</v>
      </c>
      <c r="AP36" s="123">
        <f>'Load &amp; loss characteristics'!M262</f>
        <v>-1.0349999999999999</v>
      </c>
      <c r="BH36" s="3"/>
    </row>
    <row r="37" spans="5:60" x14ac:dyDescent="0.25">
      <c r="E37" s="32"/>
      <c r="F37" t="s">
        <v>230</v>
      </c>
      <c r="G37" t="s">
        <v>342</v>
      </c>
      <c r="H37" s="92"/>
      <c r="I37" s="92"/>
      <c r="J37" s="123">
        <f>'Load &amp; loss characteristics'!N230</f>
        <v>1.0900000000000001</v>
      </c>
      <c r="K37" s="123">
        <f>'Load &amp; loss characteristics'!N231</f>
        <v>1.0900000000000001</v>
      </c>
      <c r="L37" s="123">
        <f>'Load &amp; loss characteristics'!N232</f>
        <v>1.0900000000000001</v>
      </c>
      <c r="M37" s="123">
        <f>'Load &amp; loss characteristics'!N233</f>
        <v>1.0900000000000001</v>
      </c>
      <c r="N37" s="123">
        <f>'Load &amp; loss characteristics'!N234</f>
        <v>1.0900000000000001</v>
      </c>
      <c r="O37" s="123">
        <f>'Load &amp; loss characteristics'!N235</f>
        <v>1.0900000000000001</v>
      </c>
      <c r="P37" s="123">
        <f>'Load &amp; loss characteristics'!N236</f>
        <v>1.0900000000000001</v>
      </c>
      <c r="Q37" s="123">
        <f>'Load &amp; loss characteristics'!N237</f>
        <v>1.0569999999999999</v>
      </c>
      <c r="R37" s="123">
        <f>'Load &amp; loss characteristics'!N238</f>
        <v>1.0349999999999999</v>
      </c>
      <c r="S37" s="123">
        <f>'Load &amp; loss characteristics'!N239</f>
        <v>1.0900000000000001</v>
      </c>
      <c r="T37" s="123">
        <f>'Load &amp; loss characteristics'!N240</f>
        <v>1.0900000000000001</v>
      </c>
      <c r="U37" s="123">
        <f>'Load &amp; loss characteristics'!N241</f>
        <v>1.0900000000000001</v>
      </c>
      <c r="V37" s="123">
        <f>'Load &amp; loss characteristics'!N242</f>
        <v>1.0569999999999999</v>
      </c>
      <c r="W37" s="123">
        <f>'Load &amp; loss characteristics'!N243</f>
        <v>1.0349999999999999</v>
      </c>
      <c r="X37" s="123">
        <f>'Load &amp; loss characteristics'!N244</f>
        <v>1.0900000000000001</v>
      </c>
      <c r="Y37" s="123">
        <f>'Load &amp; loss characteristics'!N245</f>
        <v>1.0900000000000001</v>
      </c>
      <c r="Z37" s="123">
        <f>'Load &amp; loss characteristics'!N246</f>
        <v>1.0900000000000001</v>
      </c>
      <c r="AA37" s="123">
        <f>'Load &amp; loss characteristics'!N247</f>
        <v>1.0900000000000001</v>
      </c>
      <c r="AB37" s="123">
        <f>'Load &amp; loss characteristics'!N248</f>
        <v>1.0900000000000001</v>
      </c>
      <c r="AC37" s="123">
        <f>'Load &amp; loss characteristics'!N249</f>
        <v>-1.0900000000000001</v>
      </c>
      <c r="AD37" s="123">
        <f>'Load &amp; loss characteristics'!N250</f>
        <v>-1.0569999999999999</v>
      </c>
      <c r="AE37" s="123">
        <f>'Load &amp; loss characteristics'!N251</f>
        <v>-1.0900000000000001</v>
      </c>
      <c r="AF37" s="123">
        <f>'Load &amp; loss characteristics'!N252</f>
        <v>-1.0900000000000001</v>
      </c>
      <c r="AG37" s="123">
        <f>'Load &amp; loss characteristics'!N253</f>
        <v>-1.0900000000000001</v>
      </c>
      <c r="AH37" s="123">
        <f>'Load &amp; loss characteristics'!N254</f>
        <v>-1.0900000000000001</v>
      </c>
      <c r="AI37" s="123">
        <f>'Load &amp; loss characteristics'!N255</f>
        <v>-1.0569999999999999</v>
      </c>
      <c r="AJ37" s="123">
        <f>'Load &amp; loss characteristics'!N256</f>
        <v>-1.0569999999999999</v>
      </c>
      <c r="AK37" s="123">
        <f>'Load &amp; loss characteristics'!N257</f>
        <v>-1.0569999999999999</v>
      </c>
      <c r="AL37" s="123">
        <f>'Load &amp; loss characteristics'!N258</f>
        <v>-1.0569999999999999</v>
      </c>
      <c r="AM37" s="123">
        <f>'Load &amp; loss characteristics'!N259</f>
        <v>-1.0349999999999999</v>
      </c>
      <c r="AN37" s="123">
        <f>'Load &amp; loss characteristics'!N260</f>
        <v>-1.0349999999999999</v>
      </c>
      <c r="AO37" s="123">
        <f>'Load &amp; loss characteristics'!N261</f>
        <v>-1.0349999999999999</v>
      </c>
      <c r="AP37" s="123">
        <f>'Load &amp; loss characteristics'!N262</f>
        <v>-1.0349999999999999</v>
      </c>
      <c r="BH37" s="3"/>
    </row>
    <row r="38" spans="5:60" x14ac:dyDescent="0.25">
      <c r="E38" s="32"/>
      <c r="F38" t="s">
        <v>231</v>
      </c>
      <c r="G38" t="s">
        <v>342</v>
      </c>
      <c r="H38" s="92"/>
      <c r="I38" s="92"/>
      <c r="J38" s="123">
        <f>'Load &amp; loss characteristics'!O230</f>
        <v>1.0900000000000001</v>
      </c>
      <c r="K38" s="123">
        <f>'Load &amp; loss characteristics'!O231</f>
        <v>1.0900000000000001</v>
      </c>
      <c r="L38" s="123">
        <f>'Load &amp; loss characteristics'!O232</f>
        <v>1.0900000000000001</v>
      </c>
      <c r="M38" s="123">
        <f>'Load &amp; loss characteristics'!O233</f>
        <v>1.0900000000000001</v>
      </c>
      <c r="N38" s="123">
        <f>'Load &amp; loss characteristics'!O234</f>
        <v>1.0900000000000001</v>
      </c>
      <c r="O38" s="123">
        <f>'Load &amp; loss characteristics'!O235</f>
        <v>1.0900000000000001</v>
      </c>
      <c r="P38" s="123">
        <f>'Load &amp; loss characteristics'!O236</f>
        <v>1.0900000000000001</v>
      </c>
      <c r="Q38" s="123">
        <f>'Load &amp; loss characteristics'!O237</f>
        <v>1.0569999999999999</v>
      </c>
      <c r="R38" s="123">
        <f>'Load &amp; loss characteristics'!O238</f>
        <v>1.0349999999999999</v>
      </c>
      <c r="S38" s="123">
        <f>'Load &amp; loss characteristics'!O239</f>
        <v>1.0900000000000001</v>
      </c>
      <c r="T38" s="123">
        <f>'Load &amp; loss characteristics'!O240</f>
        <v>1.0900000000000001</v>
      </c>
      <c r="U38" s="123">
        <f>'Load &amp; loss characteristics'!O241</f>
        <v>1.0900000000000001</v>
      </c>
      <c r="V38" s="123">
        <f>'Load &amp; loss characteristics'!O242</f>
        <v>1.0569999999999999</v>
      </c>
      <c r="W38" s="123">
        <f>'Load &amp; loss characteristics'!O243</f>
        <v>1.0349999999999999</v>
      </c>
      <c r="X38" s="123">
        <f>'Load &amp; loss characteristics'!O244</f>
        <v>1.0900000000000001</v>
      </c>
      <c r="Y38" s="123">
        <f>'Load &amp; loss characteristics'!O245</f>
        <v>1.0900000000000001</v>
      </c>
      <c r="Z38" s="123">
        <f>'Load &amp; loss characteristics'!O246</f>
        <v>1.0900000000000001</v>
      </c>
      <c r="AA38" s="123">
        <f>'Load &amp; loss characteristics'!O247</f>
        <v>1.0900000000000001</v>
      </c>
      <c r="AB38" s="123">
        <f>'Load &amp; loss characteristics'!O248</f>
        <v>1.0900000000000001</v>
      </c>
      <c r="AC38" s="123">
        <f>'Load &amp; loss characteristics'!O249</f>
        <v>-1.0900000000000001</v>
      </c>
      <c r="AD38" s="123">
        <f>'Load &amp; loss characteristics'!O250</f>
        <v>-1.0569999999999999</v>
      </c>
      <c r="AE38" s="123">
        <f>'Load &amp; loss characteristics'!O251</f>
        <v>-1.0900000000000001</v>
      </c>
      <c r="AF38" s="123">
        <f>'Load &amp; loss characteristics'!O252</f>
        <v>-1.0900000000000001</v>
      </c>
      <c r="AG38" s="123">
        <f>'Load &amp; loss characteristics'!O253</f>
        <v>-1.0900000000000001</v>
      </c>
      <c r="AH38" s="123">
        <f>'Load &amp; loss characteristics'!O254</f>
        <v>-1.0900000000000001</v>
      </c>
      <c r="AI38" s="123">
        <f>'Load &amp; loss characteristics'!O255</f>
        <v>-1.0569999999999999</v>
      </c>
      <c r="AJ38" s="123">
        <f>'Load &amp; loss characteristics'!O256</f>
        <v>-1.0569999999999999</v>
      </c>
      <c r="AK38" s="123">
        <f>'Load &amp; loss characteristics'!O257</f>
        <v>-1.0569999999999999</v>
      </c>
      <c r="AL38" s="123">
        <f>'Load &amp; loss characteristics'!O258</f>
        <v>-1.0569999999999999</v>
      </c>
      <c r="AM38" s="123">
        <f>'Load &amp; loss characteristics'!O259</f>
        <v>-1.0349999999999999</v>
      </c>
      <c r="AN38" s="123">
        <f>'Load &amp; loss characteristics'!O260</f>
        <v>-1.0349999999999999</v>
      </c>
      <c r="AO38" s="123">
        <f>'Load &amp; loss characteristics'!O261</f>
        <v>-1.0349999999999999</v>
      </c>
      <c r="AP38" s="123">
        <f>'Load &amp; loss characteristics'!O262</f>
        <v>-1.0349999999999999</v>
      </c>
      <c r="BH38" s="3"/>
    </row>
    <row r="39" spans="5:60" x14ac:dyDescent="0.25">
      <c r="E39" s="32"/>
      <c r="F39" t="s">
        <v>232</v>
      </c>
      <c r="G39" t="s">
        <v>342</v>
      </c>
      <c r="H39" s="92"/>
      <c r="I39" s="92"/>
      <c r="J39" s="123">
        <f>'Load &amp; loss characteristics'!P230</f>
        <v>0</v>
      </c>
      <c r="K39" s="123">
        <f>'Load &amp; loss characteristics'!P231</f>
        <v>0</v>
      </c>
      <c r="L39" s="123">
        <f>'Load &amp; loss characteristics'!P232</f>
        <v>0</v>
      </c>
      <c r="M39" s="123">
        <f>'Load &amp; loss characteristics'!P233</f>
        <v>0</v>
      </c>
      <c r="N39" s="123">
        <f>'Load &amp; loss characteristics'!P234</f>
        <v>0</v>
      </c>
      <c r="O39" s="123">
        <f>'Load &amp; loss characteristics'!P235</f>
        <v>0</v>
      </c>
      <c r="P39" s="123">
        <f>'Load &amp; loss characteristics'!P236</f>
        <v>0</v>
      </c>
      <c r="Q39" s="123">
        <f>'Load &amp; loss characteristics'!P237</f>
        <v>0</v>
      </c>
      <c r="R39" s="123">
        <f>'Load &amp; loss characteristics'!P238</f>
        <v>0</v>
      </c>
      <c r="S39" s="123">
        <f>'Load &amp; loss characteristics'!P239</f>
        <v>0</v>
      </c>
      <c r="T39" s="123">
        <f>'Load &amp; loss characteristics'!P240</f>
        <v>0</v>
      </c>
      <c r="U39" s="123">
        <f>'Load &amp; loss characteristics'!P241</f>
        <v>0</v>
      </c>
      <c r="V39" s="123">
        <f>'Load &amp; loss characteristics'!P242</f>
        <v>0</v>
      </c>
      <c r="W39" s="123">
        <f>'Load &amp; loss characteristics'!P243</f>
        <v>0</v>
      </c>
      <c r="X39" s="123">
        <f>'Load &amp; loss characteristics'!P244</f>
        <v>0</v>
      </c>
      <c r="Y39" s="123">
        <f>'Load &amp; loss characteristics'!P245</f>
        <v>0</v>
      </c>
      <c r="Z39" s="123">
        <f>'Load &amp; loss characteristics'!P246</f>
        <v>0</v>
      </c>
      <c r="AA39" s="123">
        <f>'Load &amp; loss characteristics'!P247</f>
        <v>0</v>
      </c>
      <c r="AB39" s="123">
        <f>'Load &amp; loss characteristics'!P248</f>
        <v>0</v>
      </c>
      <c r="AC39" s="123">
        <f>'Load &amp; loss characteristics'!P249</f>
        <v>0</v>
      </c>
      <c r="AD39" s="123">
        <f>'Load &amp; loss characteristics'!P250</f>
        <v>0</v>
      </c>
      <c r="AE39" s="123">
        <f>'Load &amp; loss characteristics'!P251</f>
        <v>0</v>
      </c>
      <c r="AF39" s="123">
        <f>'Load &amp; loss characteristics'!P252</f>
        <v>0</v>
      </c>
      <c r="AG39" s="123">
        <f>'Load &amp; loss characteristics'!P253</f>
        <v>0</v>
      </c>
      <c r="AH39" s="123">
        <f>'Load &amp; loss characteristics'!P254</f>
        <v>0</v>
      </c>
      <c r="AI39" s="123">
        <f>'Load &amp; loss characteristics'!P255</f>
        <v>0</v>
      </c>
      <c r="AJ39" s="123">
        <f>'Load &amp; loss characteristics'!P256</f>
        <v>0</v>
      </c>
      <c r="AK39" s="123">
        <f>'Load &amp; loss characteristics'!P257</f>
        <v>0</v>
      </c>
      <c r="AL39" s="123">
        <f>'Load &amp; loss characteristics'!P258</f>
        <v>0</v>
      </c>
      <c r="AM39" s="123">
        <f>'Load &amp; loss characteristics'!P259</f>
        <v>0</v>
      </c>
      <c r="AN39" s="123">
        <f>'Load &amp; loss characteristics'!P260</f>
        <v>0</v>
      </c>
      <c r="AO39" s="123">
        <f>'Load &amp; loss characteristics'!P261</f>
        <v>0</v>
      </c>
      <c r="AP39" s="123">
        <f>'Load &amp; loss characteristics'!P262</f>
        <v>0</v>
      </c>
      <c r="BH39" s="3"/>
    </row>
    <row r="40" spans="5:60" x14ac:dyDescent="0.25">
      <c r="E40" s="32"/>
      <c r="F40" t="s">
        <v>233</v>
      </c>
      <c r="G40" t="s">
        <v>342</v>
      </c>
      <c r="H40" s="92"/>
      <c r="I40" s="92"/>
      <c r="J40" s="123">
        <f>'Load &amp; loss characteristics'!Q230</f>
        <v>1.0900000000000001</v>
      </c>
      <c r="K40" s="123">
        <f>'Load &amp; loss characteristics'!Q231</f>
        <v>1.0900000000000001</v>
      </c>
      <c r="L40" s="123">
        <f>'Load &amp; loss characteristics'!Q232</f>
        <v>1.0900000000000001</v>
      </c>
      <c r="M40" s="123">
        <f>'Load &amp; loss characteristics'!Q233</f>
        <v>1.0900000000000001</v>
      </c>
      <c r="N40" s="123">
        <f>'Load &amp; loss characteristics'!Q234</f>
        <v>1.0900000000000001</v>
      </c>
      <c r="O40" s="123">
        <f>'Load &amp; loss characteristics'!Q235</f>
        <v>1.0900000000000001</v>
      </c>
      <c r="P40" s="123">
        <f>'Load &amp; loss characteristics'!Q236</f>
        <v>1.0900000000000001</v>
      </c>
      <c r="Q40" s="123">
        <f>'Load &amp; loss characteristics'!Q237</f>
        <v>1.0569999999999999</v>
      </c>
      <c r="R40" s="123">
        <f>'Load &amp; loss characteristics'!Q238</f>
        <v>1.0349999999999999</v>
      </c>
      <c r="S40" s="123">
        <f>'Load &amp; loss characteristics'!Q239</f>
        <v>1.0900000000000001</v>
      </c>
      <c r="T40" s="123">
        <f>'Load &amp; loss characteristics'!Q240</f>
        <v>1.0900000000000001</v>
      </c>
      <c r="U40" s="123">
        <f>'Load &amp; loss characteristics'!Q241</f>
        <v>1.0900000000000001</v>
      </c>
      <c r="V40" s="123">
        <f>'Load &amp; loss characteristics'!Q242</f>
        <v>1.0569999999999999</v>
      </c>
      <c r="W40" s="123">
        <f>'Load &amp; loss characteristics'!Q243</f>
        <v>1.0349999999999999</v>
      </c>
      <c r="X40" s="123">
        <f>'Load &amp; loss characteristics'!Q244</f>
        <v>1.0900000000000001</v>
      </c>
      <c r="Y40" s="123">
        <f>'Load &amp; loss characteristics'!Q245</f>
        <v>1.0900000000000001</v>
      </c>
      <c r="Z40" s="123">
        <f>'Load &amp; loss characteristics'!Q246</f>
        <v>1.0900000000000001</v>
      </c>
      <c r="AA40" s="123">
        <f>'Load &amp; loss characteristics'!Q247</f>
        <v>1.0900000000000001</v>
      </c>
      <c r="AB40" s="123">
        <f>'Load &amp; loss characteristics'!Q248</f>
        <v>1.0900000000000001</v>
      </c>
      <c r="AC40" s="123">
        <f>'Load &amp; loss characteristics'!Q249</f>
        <v>-1.0900000000000001</v>
      </c>
      <c r="AD40" s="123">
        <f>'Load &amp; loss characteristics'!Q250</f>
        <v>-1.0569999999999999</v>
      </c>
      <c r="AE40" s="123">
        <f>'Load &amp; loss characteristics'!Q251</f>
        <v>-1.0900000000000001</v>
      </c>
      <c r="AF40" s="123">
        <f>'Load &amp; loss characteristics'!Q252</f>
        <v>-1.0900000000000001</v>
      </c>
      <c r="AG40" s="123">
        <f>'Load &amp; loss characteristics'!Q253</f>
        <v>-1.0900000000000001</v>
      </c>
      <c r="AH40" s="123">
        <f>'Load &amp; loss characteristics'!Q254</f>
        <v>-1.0900000000000001</v>
      </c>
      <c r="AI40" s="123">
        <f>'Load &amp; loss characteristics'!Q255</f>
        <v>-1.0569999999999999</v>
      </c>
      <c r="AJ40" s="123">
        <f>'Load &amp; loss characteristics'!Q256</f>
        <v>-1.0569999999999999</v>
      </c>
      <c r="AK40" s="123">
        <f>'Load &amp; loss characteristics'!Q257</f>
        <v>-1.0569999999999999</v>
      </c>
      <c r="AL40" s="123">
        <f>'Load &amp; loss characteristics'!Q258</f>
        <v>-1.0569999999999999</v>
      </c>
      <c r="AM40" s="123">
        <f>'Load &amp; loss characteristics'!Q259</f>
        <v>0</v>
      </c>
      <c r="AN40" s="123">
        <f>'Load &amp; loss characteristics'!Q260</f>
        <v>0</v>
      </c>
      <c r="AO40" s="123">
        <f>'Load &amp; loss characteristics'!Q261</f>
        <v>0</v>
      </c>
      <c r="AP40" s="123">
        <f>'Load &amp; loss characteristics'!Q262</f>
        <v>0</v>
      </c>
      <c r="BH40" s="3"/>
    </row>
    <row r="41" spans="5:60" x14ac:dyDescent="0.25">
      <c r="E41" s="32"/>
      <c r="F41" t="s">
        <v>234</v>
      </c>
      <c r="G41" t="s">
        <v>342</v>
      </c>
      <c r="H41" s="92"/>
      <c r="I41" s="92"/>
      <c r="J41" s="123">
        <f>'Load &amp; loss characteristics'!R230</f>
        <v>1.0900000000000001</v>
      </c>
      <c r="K41" s="123">
        <f>'Load &amp; loss characteristics'!R231</f>
        <v>1.0900000000000001</v>
      </c>
      <c r="L41" s="123">
        <f>'Load &amp; loss characteristics'!R232</f>
        <v>1.0900000000000001</v>
      </c>
      <c r="M41" s="123">
        <f>'Load &amp; loss characteristics'!R233</f>
        <v>1.0900000000000001</v>
      </c>
      <c r="N41" s="123">
        <f>'Load &amp; loss characteristics'!R234</f>
        <v>1.0900000000000001</v>
      </c>
      <c r="O41" s="123">
        <f>'Load &amp; loss characteristics'!R235</f>
        <v>1.0900000000000001</v>
      </c>
      <c r="P41" s="123">
        <f>'Load &amp; loss characteristics'!R236</f>
        <v>1.0900000000000001</v>
      </c>
      <c r="Q41" s="123">
        <f>'Load &amp; loss characteristics'!R237</f>
        <v>1.0569999999999999</v>
      </c>
      <c r="R41" s="123">
        <f>'Load &amp; loss characteristics'!R238</f>
        <v>0</v>
      </c>
      <c r="S41" s="123">
        <f>'Load &amp; loss characteristics'!R239</f>
        <v>1.0900000000000001</v>
      </c>
      <c r="T41" s="123">
        <f>'Load &amp; loss characteristics'!R240</f>
        <v>1.0900000000000001</v>
      </c>
      <c r="U41" s="123">
        <f>'Load &amp; loss characteristics'!R241</f>
        <v>1.0900000000000001</v>
      </c>
      <c r="V41" s="123">
        <f>'Load &amp; loss characteristics'!R242</f>
        <v>1.0569999999999999</v>
      </c>
      <c r="W41" s="123">
        <f>'Load &amp; loss characteristics'!R243</f>
        <v>0</v>
      </c>
      <c r="X41" s="123">
        <f>'Load &amp; loss characteristics'!R244</f>
        <v>1.0900000000000001</v>
      </c>
      <c r="Y41" s="123">
        <f>'Load &amp; loss characteristics'!R245</f>
        <v>1.0900000000000001</v>
      </c>
      <c r="Z41" s="123">
        <f>'Load &amp; loss characteristics'!R246</f>
        <v>1.0900000000000001</v>
      </c>
      <c r="AA41" s="123">
        <f>'Load &amp; loss characteristics'!R247</f>
        <v>1.0900000000000001</v>
      </c>
      <c r="AB41" s="123">
        <f>'Load &amp; loss characteristics'!R248</f>
        <v>1.0900000000000001</v>
      </c>
      <c r="AC41" s="123">
        <f>'Load &amp; loss characteristics'!R249</f>
        <v>-1.0900000000000001</v>
      </c>
      <c r="AD41" s="123">
        <f>'Load &amp; loss characteristics'!R250</f>
        <v>0</v>
      </c>
      <c r="AE41" s="123">
        <f>'Load &amp; loss characteristics'!R251</f>
        <v>-1.0900000000000001</v>
      </c>
      <c r="AF41" s="123">
        <f>'Load &amp; loss characteristics'!R252</f>
        <v>-1.0900000000000001</v>
      </c>
      <c r="AG41" s="123">
        <f>'Load &amp; loss characteristics'!R253</f>
        <v>-1.0900000000000001</v>
      </c>
      <c r="AH41" s="123">
        <f>'Load &amp; loss characteristics'!R254</f>
        <v>-1.0900000000000001</v>
      </c>
      <c r="AI41" s="123">
        <f>'Load &amp; loss characteristics'!R255</f>
        <v>0</v>
      </c>
      <c r="AJ41" s="123">
        <f>'Load &amp; loss characteristics'!R256</f>
        <v>0</v>
      </c>
      <c r="AK41" s="123">
        <f>'Load &amp; loss characteristics'!R257</f>
        <v>0</v>
      </c>
      <c r="AL41" s="123">
        <f>'Load &amp; loss characteristics'!R258</f>
        <v>0</v>
      </c>
      <c r="AM41" s="123">
        <f>'Load &amp; loss characteristics'!R259</f>
        <v>0</v>
      </c>
      <c r="AN41" s="123">
        <f>'Load &amp; loss characteristics'!R260</f>
        <v>0</v>
      </c>
      <c r="AO41" s="123">
        <f>'Load &amp; loss characteristics'!R261</f>
        <v>0</v>
      </c>
      <c r="AP41" s="123">
        <f>'Load &amp; loss characteristics'!R262</f>
        <v>0</v>
      </c>
      <c r="BH41" s="3"/>
    </row>
    <row r="42" spans="5:60" x14ac:dyDescent="0.25">
      <c r="E42" s="32"/>
      <c r="F42" s="37" t="s">
        <v>235</v>
      </c>
      <c r="G42" s="37" t="s">
        <v>342</v>
      </c>
      <c r="H42" s="82"/>
      <c r="I42" s="82"/>
      <c r="J42" s="128">
        <f>'Load &amp; loss characteristics'!S230</f>
        <v>1.0900000000000001</v>
      </c>
      <c r="K42" s="128">
        <f>'Load &amp; loss characteristics'!S231</f>
        <v>1.0900000000000001</v>
      </c>
      <c r="L42" s="128">
        <f>'Load &amp; loss characteristics'!S232</f>
        <v>1.0900000000000001</v>
      </c>
      <c r="M42" s="128">
        <f>'Load &amp; loss characteristics'!S233</f>
        <v>1.0900000000000001</v>
      </c>
      <c r="N42" s="128">
        <f>'Load &amp; loss characteristics'!S234</f>
        <v>1.0900000000000001</v>
      </c>
      <c r="O42" s="128">
        <f>'Load &amp; loss characteristics'!S235</f>
        <v>1.0900000000000001</v>
      </c>
      <c r="P42" s="128">
        <f>'Load &amp; loss characteristics'!S236</f>
        <v>1.0900000000000001</v>
      </c>
      <c r="Q42" s="128">
        <f>'Load &amp; loss characteristics'!S237</f>
        <v>0</v>
      </c>
      <c r="R42" s="128">
        <f>'Load &amp; loss characteristics'!S238</f>
        <v>0</v>
      </c>
      <c r="S42" s="128">
        <f>'Load &amp; loss characteristics'!S239</f>
        <v>1.0900000000000001</v>
      </c>
      <c r="T42" s="128">
        <f>'Load &amp; loss characteristics'!S240</f>
        <v>1.0900000000000001</v>
      </c>
      <c r="U42" s="128">
        <f>'Load &amp; loss characteristics'!S241</f>
        <v>1.0900000000000001</v>
      </c>
      <c r="V42" s="128">
        <f>'Load &amp; loss characteristics'!S242</f>
        <v>0</v>
      </c>
      <c r="W42" s="128">
        <f>'Load &amp; loss characteristics'!S243</f>
        <v>0</v>
      </c>
      <c r="X42" s="128">
        <f>'Load &amp; loss characteristics'!S244</f>
        <v>1.0900000000000001</v>
      </c>
      <c r="Y42" s="128">
        <f>'Load &amp; loss characteristics'!S245</f>
        <v>1.0900000000000001</v>
      </c>
      <c r="Z42" s="128">
        <f>'Load &amp; loss characteristics'!S246</f>
        <v>1.0900000000000001</v>
      </c>
      <c r="AA42" s="128">
        <f>'Load &amp; loss characteristics'!S247</f>
        <v>1.0900000000000001</v>
      </c>
      <c r="AB42" s="128">
        <f>'Load &amp; loss characteristics'!S248</f>
        <v>1.0900000000000001</v>
      </c>
      <c r="AC42" s="128">
        <f>'Load &amp; loss characteristics'!S249</f>
        <v>0</v>
      </c>
      <c r="AD42" s="128">
        <f>'Load &amp; loss characteristics'!S250</f>
        <v>0</v>
      </c>
      <c r="AE42" s="128">
        <f>'Load &amp; loss characteristics'!S251</f>
        <v>0</v>
      </c>
      <c r="AF42" s="128">
        <f>'Load &amp; loss characteristics'!S252</f>
        <v>0</v>
      </c>
      <c r="AG42" s="128">
        <f>'Load &amp; loss characteristics'!S253</f>
        <v>0</v>
      </c>
      <c r="AH42" s="128">
        <f>'Load &amp; loss characteristics'!S254</f>
        <v>0</v>
      </c>
      <c r="AI42" s="128">
        <f>'Load &amp; loss characteristics'!S255</f>
        <v>0</v>
      </c>
      <c r="AJ42" s="128">
        <f>'Load &amp; loss characteristics'!S256</f>
        <v>0</v>
      </c>
      <c r="AK42" s="128">
        <f>'Load &amp; loss characteristics'!S257</f>
        <v>0</v>
      </c>
      <c r="AL42" s="128">
        <f>'Load &amp; loss characteristics'!S258</f>
        <v>0</v>
      </c>
      <c r="AM42" s="128">
        <f>'Load &amp; loss characteristics'!S259</f>
        <v>0</v>
      </c>
      <c r="AN42" s="128">
        <f>'Load &amp; loss characteristics'!S260</f>
        <v>0</v>
      </c>
      <c r="AO42" s="128">
        <f>'Load &amp; loss characteristics'!S261</f>
        <v>0</v>
      </c>
      <c r="AP42" s="128">
        <f>'Load &amp; loss characteristics'!S262</f>
        <v>0</v>
      </c>
      <c r="BH42" s="3"/>
    </row>
    <row r="43" spans="5:60" x14ac:dyDescent="0.25">
      <c r="E43" s="32"/>
      <c r="H43" s="92"/>
      <c r="I43" s="92"/>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c r="BH43" s="3"/>
    </row>
    <row r="44" spans="5:60" x14ac:dyDescent="0.25">
      <c r="E44" s="32" t="s">
        <v>612</v>
      </c>
      <c r="H44" s="92"/>
      <c r="I44" s="92"/>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BH44" s="3"/>
    </row>
    <row r="45" spans="5:60" x14ac:dyDescent="0.25">
      <c r="E45" s="32"/>
      <c r="F45" s="23" t="s">
        <v>227</v>
      </c>
      <c r="G45" s="23" t="s">
        <v>342</v>
      </c>
      <c r="H45" s="127">
        <f>'Load &amp; loss characteristics'!K29</f>
        <v>1</v>
      </c>
      <c r="I45" s="92"/>
      <c r="J45" s="92"/>
      <c r="K45" s="92"/>
      <c r="L45" s="92"/>
      <c r="M45" s="92"/>
      <c r="N45" s="92"/>
      <c r="O45" s="92"/>
      <c r="P45" s="92"/>
      <c r="Q45" s="92"/>
      <c r="R45" s="92"/>
      <c r="S45" s="92"/>
      <c r="T45" s="92"/>
      <c r="U45" s="92"/>
      <c r="V45" s="92"/>
      <c r="W45" s="92"/>
      <c r="X45" s="92"/>
      <c r="Y45" s="92"/>
      <c r="Z45" s="92"/>
      <c r="AA45" s="92"/>
      <c r="AB45" s="92"/>
      <c r="AC45" s="92"/>
      <c r="AD45" s="92"/>
      <c r="AE45" s="92"/>
      <c r="AF45" s="92"/>
      <c r="AG45" s="92"/>
      <c r="AH45" s="92"/>
      <c r="AI45" s="92"/>
      <c r="AJ45" s="92"/>
      <c r="AK45" s="92"/>
      <c r="AL45" s="92"/>
      <c r="AM45" s="92"/>
      <c r="AN45" s="92"/>
      <c r="AO45" s="92"/>
      <c r="AP45" s="92"/>
      <c r="BH45" s="3"/>
    </row>
    <row r="46" spans="5:60" x14ac:dyDescent="0.25">
      <c r="E46" s="32"/>
      <c r="F46" t="s">
        <v>228</v>
      </c>
      <c r="G46" t="s">
        <v>342</v>
      </c>
      <c r="H46" s="123">
        <f>'Load &amp; loss characteristics'!L29</f>
        <v>1</v>
      </c>
      <c r="I46" s="92"/>
      <c r="J46" s="92"/>
      <c r="K46" s="92"/>
      <c r="L46" s="92"/>
      <c r="M46" s="92"/>
      <c r="N46" s="92"/>
      <c r="O46" s="92"/>
      <c r="P46" s="92"/>
      <c r="Q46" s="92"/>
      <c r="R46" s="92"/>
      <c r="S46" s="92"/>
      <c r="T46" s="92"/>
      <c r="U46" s="92"/>
      <c r="V46" s="92"/>
      <c r="W46" s="92"/>
      <c r="X46" s="92"/>
      <c r="Y46" s="92"/>
      <c r="Z46" s="92"/>
      <c r="AA46" s="92"/>
      <c r="AB46" s="92"/>
      <c r="AC46" s="92"/>
      <c r="AD46" s="92"/>
      <c r="AE46" s="92"/>
      <c r="AF46" s="92"/>
      <c r="AG46" s="92"/>
      <c r="AH46" s="92"/>
      <c r="AI46" s="92"/>
      <c r="AJ46" s="92"/>
      <c r="AK46" s="92"/>
      <c r="AL46" s="92"/>
      <c r="AM46" s="92"/>
      <c r="AN46" s="92"/>
      <c r="AO46" s="92"/>
      <c r="AP46" s="92"/>
      <c r="BH46" s="3"/>
    </row>
    <row r="47" spans="5:60" x14ac:dyDescent="0.25">
      <c r="E47" s="32"/>
      <c r="F47" t="s">
        <v>229</v>
      </c>
      <c r="G47" t="s">
        <v>342</v>
      </c>
      <c r="H47" s="123">
        <f>'Load &amp; loss characteristics'!M29</f>
        <v>1</v>
      </c>
      <c r="I47" s="92"/>
      <c r="J47" s="92"/>
      <c r="K47" s="92"/>
      <c r="L47" s="92"/>
      <c r="M47" s="92"/>
      <c r="N47" s="92"/>
      <c r="O47" s="92"/>
      <c r="P47" s="92"/>
      <c r="Q47" s="92"/>
      <c r="R47" s="92"/>
      <c r="S47" s="92"/>
      <c r="T47" s="92"/>
      <c r="U47" s="92"/>
      <c r="V47" s="92"/>
      <c r="W47" s="92"/>
      <c r="X47" s="92"/>
      <c r="Y47" s="92"/>
      <c r="Z47" s="92"/>
      <c r="AA47" s="92"/>
      <c r="AB47" s="92"/>
      <c r="AC47" s="92"/>
      <c r="AD47" s="92"/>
      <c r="AE47" s="92"/>
      <c r="AF47" s="92"/>
      <c r="AG47" s="92"/>
      <c r="AH47" s="92"/>
      <c r="AI47" s="92"/>
      <c r="AJ47" s="92"/>
      <c r="AK47" s="92"/>
      <c r="AL47" s="92"/>
      <c r="AM47" s="92"/>
      <c r="AN47" s="92"/>
      <c r="AO47" s="92"/>
      <c r="AP47" s="92"/>
      <c r="BH47" s="3"/>
    </row>
    <row r="48" spans="5:60" x14ac:dyDescent="0.25">
      <c r="E48" s="32"/>
      <c r="F48" t="s">
        <v>230</v>
      </c>
      <c r="G48" t="s">
        <v>342</v>
      </c>
      <c r="H48" s="123">
        <f>'Load &amp; loss characteristics'!N29</f>
        <v>1.0149999999999999</v>
      </c>
      <c r="I48" s="92"/>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c r="BH48" s="3"/>
    </row>
    <row r="49" spans="2:60" x14ac:dyDescent="0.25">
      <c r="E49" s="32"/>
      <c r="F49" t="s">
        <v>231</v>
      </c>
      <c r="G49" t="s">
        <v>342</v>
      </c>
      <c r="H49" s="123">
        <f>'Load &amp; loss characteristics'!O29</f>
        <v>1.026</v>
      </c>
      <c r="I49" s="92"/>
      <c r="J49" s="92"/>
      <c r="K49" s="92"/>
      <c r="L49" s="92"/>
      <c r="M49" s="92"/>
      <c r="N49" s="92"/>
      <c r="O49" s="92"/>
      <c r="P49" s="92"/>
      <c r="Q49" s="92"/>
      <c r="R49" s="92"/>
      <c r="S49" s="92"/>
      <c r="T49" s="92"/>
      <c r="U49" s="92"/>
      <c r="V49" s="92"/>
      <c r="W49" s="92"/>
      <c r="X49" s="92"/>
      <c r="Y49" s="92"/>
      <c r="Z49" s="92"/>
      <c r="AA49" s="92"/>
      <c r="AB49" s="92"/>
      <c r="AC49" s="92"/>
      <c r="AD49" s="92"/>
      <c r="AE49" s="92"/>
      <c r="AF49" s="92"/>
      <c r="AG49" s="92"/>
      <c r="AH49" s="92"/>
      <c r="AI49" s="92"/>
      <c r="AJ49" s="92"/>
      <c r="AK49" s="92"/>
      <c r="AL49" s="92"/>
      <c r="AM49" s="92"/>
      <c r="AN49" s="92"/>
      <c r="AO49" s="92"/>
      <c r="AP49" s="92"/>
      <c r="BH49" s="3"/>
    </row>
    <row r="50" spans="2:60" x14ac:dyDescent="0.25">
      <c r="E50" s="32"/>
      <c r="F50" t="s">
        <v>232</v>
      </c>
      <c r="G50" t="s">
        <v>342</v>
      </c>
      <c r="H50" s="123">
        <f>'Load &amp; loss characteristics'!P29</f>
        <v>1.026</v>
      </c>
      <c r="I50" s="9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c r="BH50" s="3"/>
    </row>
    <row r="51" spans="2:60" x14ac:dyDescent="0.25">
      <c r="E51" s="32"/>
      <c r="F51" t="s">
        <v>233</v>
      </c>
      <c r="G51" t="s">
        <v>342</v>
      </c>
      <c r="H51" s="123">
        <f>'Load &amp; loss characteristics'!Q29</f>
        <v>1.0349999999999999</v>
      </c>
      <c r="I51" s="92"/>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c r="BH51" s="3"/>
    </row>
    <row r="52" spans="2:60" x14ac:dyDescent="0.25">
      <c r="E52" s="32"/>
      <c r="F52" t="s">
        <v>234</v>
      </c>
      <c r="G52" t="s">
        <v>342</v>
      </c>
      <c r="H52" s="123">
        <f>'Load &amp; loss characteristics'!R29</f>
        <v>1.0569999999999999</v>
      </c>
      <c r="I52" s="92"/>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c r="BH52" s="3"/>
    </row>
    <row r="53" spans="2:60" x14ac:dyDescent="0.25">
      <c r="E53" s="32"/>
      <c r="F53" s="37" t="s">
        <v>235</v>
      </c>
      <c r="G53" s="37" t="s">
        <v>342</v>
      </c>
      <c r="H53" s="128">
        <f>'Load &amp; loss characteristics'!S29</f>
        <v>1.0900000000000001</v>
      </c>
      <c r="I53" s="92"/>
      <c r="J53" s="92"/>
      <c r="K53" s="92"/>
      <c r="L53" s="92"/>
      <c r="M53" s="92"/>
      <c r="N53" s="92"/>
      <c r="O53" s="92"/>
      <c r="P53" s="92"/>
      <c r="Q53" s="92"/>
      <c r="R53" s="92"/>
      <c r="S53" s="92"/>
      <c r="T53" s="92"/>
      <c r="U53" s="92"/>
      <c r="V53" s="92"/>
      <c r="W53" s="92"/>
      <c r="X53" s="92"/>
      <c r="Y53" s="92"/>
      <c r="Z53" s="92"/>
      <c r="AA53" s="92"/>
      <c r="AB53" s="92"/>
      <c r="AC53" s="92"/>
      <c r="AD53" s="92"/>
      <c r="AE53" s="92"/>
      <c r="AF53" s="92"/>
      <c r="AG53" s="92"/>
      <c r="AH53" s="92"/>
      <c r="AI53" s="92"/>
      <c r="AJ53" s="92"/>
      <c r="AK53" s="92"/>
      <c r="AL53" s="92"/>
      <c r="AM53" s="92"/>
      <c r="AN53" s="92"/>
      <c r="AO53" s="92"/>
      <c r="AP53" s="92"/>
      <c r="BH53" s="3"/>
    </row>
    <row r="54" spans="2:60" x14ac:dyDescent="0.25">
      <c r="E54" s="32"/>
      <c r="H54" s="92"/>
      <c r="I54" s="92"/>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BH54" s="3"/>
    </row>
    <row r="55" spans="2:60" x14ac:dyDescent="0.25">
      <c r="E55" s="32" t="s">
        <v>613</v>
      </c>
      <c r="H55" s="92"/>
      <c r="I55" s="92" t="s">
        <v>190</v>
      </c>
      <c r="J55" s="92"/>
      <c r="K55" s="92"/>
      <c r="L55" s="92"/>
      <c r="M55" s="92"/>
      <c r="N55" s="92"/>
      <c r="O55" s="92"/>
      <c r="P55" s="92"/>
      <c r="Q55" s="92"/>
      <c r="R55" s="92"/>
      <c r="S55" s="92"/>
      <c r="T55" s="92"/>
      <c r="U55" s="92"/>
      <c r="V55" s="92"/>
      <c r="W55" s="92"/>
      <c r="X55" s="92"/>
      <c r="Y55" s="92"/>
      <c r="Z55" s="92"/>
      <c r="AA55" s="92"/>
      <c r="AB55" s="92"/>
      <c r="AC55" s="92"/>
      <c r="AD55" s="92"/>
      <c r="AE55" s="92"/>
      <c r="AF55" s="92"/>
      <c r="AG55" s="92"/>
      <c r="AH55" s="92"/>
      <c r="AI55" s="92"/>
      <c r="AJ55" s="92"/>
      <c r="AK55" s="92"/>
      <c r="AL55" s="92"/>
      <c r="AM55" s="92"/>
      <c r="AN55" s="92"/>
      <c r="AO55" s="92"/>
      <c r="AP55" s="92"/>
      <c r="AR55" t="s">
        <v>614</v>
      </c>
    </row>
    <row r="56" spans="2:60" x14ac:dyDescent="0.25">
      <c r="E56" s="32"/>
      <c r="F56" s="23" t="s">
        <v>192</v>
      </c>
      <c r="G56" s="23" t="s">
        <v>243</v>
      </c>
      <c r="H56" s="163"/>
      <c r="I56" s="163"/>
      <c r="J56" s="127">
        <f>'Volume adjustments'!J66</f>
        <v>2359360.6618815465</v>
      </c>
      <c r="K56" s="127">
        <f>'Volume adjustments'!K66</f>
        <v>241333.8974547495</v>
      </c>
      <c r="L56" s="127">
        <f>'Volume adjustments'!L66</f>
        <v>423055.87757845432</v>
      </c>
      <c r="M56" s="127">
        <f>'Volume adjustments'!M66</f>
        <v>837309.17840270267</v>
      </c>
      <c r="N56" s="127">
        <f>'Volume adjustments'!N66</f>
        <v>152179.51963638922</v>
      </c>
      <c r="O56" s="127">
        <f>'Volume adjustments'!O66</f>
        <v>28141.504302703608</v>
      </c>
      <c r="P56" s="127">
        <f>'Volume adjustments'!P66</f>
        <v>29913.305426474391</v>
      </c>
      <c r="Q56" s="127">
        <f>'Volume adjustments'!Q66</f>
        <v>0</v>
      </c>
      <c r="R56" s="127">
        <f>'Volume adjustments'!R66</f>
        <v>548.35018676020832</v>
      </c>
      <c r="S56" s="127">
        <f>'Volume adjustments'!S66</f>
        <v>54.029994132566102</v>
      </c>
      <c r="T56" s="127">
        <f>'Volume adjustments'!T66</f>
        <v>7839.6449077915986</v>
      </c>
      <c r="U56" s="127">
        <f>'Volume adjustments'!U66</f>
        <v>168230.36601316402</v>
      </c>
      <c r="V56" s="127">
        <f>'Volume adjustments'!V66</f>
        <v>11348.554214700629</v>
      </c>
      <c r="W56" s="127">
        <f>'Volume adjustments'!W66</f>
        <v>88351.013324953004</v>
      </c>
      <c r="X56" s="127">
        <f>'Volume adjustments'!X66</f>
        <v>14143.024463568723</v>
      </c>
      <c r="Y56" s="127">
        <f>'Volume adjustments'!Y66</f>
        <v>17280.638083641774</v>
      </c>
      <c r="Z56" s="127">
        <f>'Volume adjustments'!Z66</f>
        <v>3520.726250029109</v>
      </c>
      <c r="AA56" s="127">
        <f>'Volume adjustments'!AA66</f>
        <v>44.247535426088803</v>
      </c>
      <c r="AB56" s="127">
        <f>'Volume adjustments'!AB66</f>
        <v>4621.3412299929805</v>
      </c>
      <c r="AC56" s="127">
        <f>'Volume adjustments'!AC66</f>
        <v>6412.5597704205047</v>
      </c>
      <c r="AD56" s="127">
        <f>'Volume adjustments'!AD66</f>
        <v>0</v>
      </c>
      <c r="AE56" s="127">
        <f>'Volume adjustments'!AE66</f>
        <v>359281.93051380559</v>
      </c>
      <c r="AF56" s="127">
        <f>'Volume adjustments'!AF66</f>
        <v>0</v>
      </c>
      <c r="AG56" s="127">
        <f>'Volume adjustments'!AG66</f>
        <v>5139.8693554110105</v>
      </c>
      <c r="AH56" s="127">
        <f>'Volume adjustments'!AH66</f>
        <v>0</v>
      </c>
      <c r="AI56" s="127">
        <f>'Volume adjustments'!AI66</f>
        <v>3513.2890000000002</v>
      </c>
      <c r="AJ56" s="127">
        <f>'Volume adjustments'!AJ66</f>
        <v>0</v>
      </c>
      <c r="AK56" s="127">
        <f>'Volume adjustments'!AK66</f>
        <v>0</v>
      </c>
      <c r="AL56" s="127">
        <f>'Volume adjustments'!AL66</f>
        <v>0</v>
      </c>
      <c r="AM56" s="127">
        <f>'Volume adjustments'!AM66</f>
        <v>652626.70721495803</v>
      </c>
      <c r="AN56" s="127">
        <f>'Volume adjustments'!AN66</f>
        <v>0</v>
      </c>
      <c r="AO56" s="127">
        <f>'Volume adjustments'!AO66</f>
        <v>92924.847805563244</v>
      </c>
      <c r="AP56" s="127">
        <f>'Volume adjustments'!AP66</f>
        <v>0</v>
      </c>
      <c r="BH56" s="3"/>
    </row>
    <row r="57" spans="2:60" x14ac:dyDescent="0.25">
      <c r="E57" s="32"/>
      <c r="F57" t="s">
        <v>193</v>
      </c>
      <c r="G57" t="s">
        <v>243</v>
      </c>
      <c r="H57" s="92"/>
      <c r="I57" s="92"/>
      <c r="J57" s="123">
        <f>'Volume adjustments'!J77</f>
        <v>0</v>
      </c>
      <c r="K57" s="123">
        <f>'Volume adjustments'!K77</f>
        <v>204289.9974625294</v>
      </c>
      <c r="L57" s="123">
        <f>'Volume adjustments'!L77</f>
        <v>0</v>
      </c>
      <c r="M57" s="123">
        <f>'Volume adjustments'!M77</f>
        <v>0</v>
      </c>
      <c r="N57" s="123">
        <f>'Volume adjustments'!N77</f>
        <v>82289.749092955753</v>
      </c>
      <c r="O57" s="123">
        <f>'Volume adjustments'!O77</f>
        <v>0</v>
      </c>
      <c r="P57" s="123">
        <f>'Volume adjustments'!P77</f>
        <v>10042.285925586189</v>
      </c>
      <c r="Q57" s="123">
        <f>'Volume adjustments'!Q77</f>
        <v>0</v>
      </c>
      <c r="R57" s="123">
        <f>'Volume adjustments'!R77</f>
        <v>269.81773904335392</v>
      </c>
      <c r="S57" s="123">
        <f>'Volume adjustments'!S77</f>
        <v>136.73224650179375</v>
      </c>
      <c r="T57" s="123">
        <f>'Volume adjustments'!T77</f>
        <v>39067.558275099967</v>
      </c>
      <c r="U57" s="123">
        <f>'Volume adjustments'!U77</f>
        <v>813957.57788120955</v>
      </c>
      <c r="V57" s="123">
        <f>'Volume adjustments'!V77</f>
        <v>55692.626742093176</v>
      </c>
      <c r="W57" s="123">
        <f>'Volume adjustments'!W77</f>
        <v>428873.62609942525</v>
      </c>
      <c r="X57" s="123">
        <f>'Volume adjustments'!X77</f>
        <v>0</v>
      </c>
      <c r="Y57" s="123">
        <f>'Volume adjustments'!Y77</f>
        <v>0</v>
      </c>
      <c r="Z57" s="123">
        <f>'Volume adjustments'!Z77</f>
        <v>0</v>
      </c>
      <c r="AA57" s="123">
        <f>'Volume adjustments'!AA77</f>
        <v>0</v>
      </c>
      <c r="AB57" s="123">
        <f>'Volume adjustments'!AB77</f>
        <v>15832.064594910415</v>
      </c>
      <c r="AC57" s="123">
        <f>'Volume adjustments'!AC77</f>
        <v>0</v>
      </c>
      <c r="AD57" s="123">
        <f>'Volume adjustments'!AD77</f>
        <v>0</v>
      </c>
      <c r="AE57" s="123">
        <f>'Volume adjustments'!AE77</f>
        <v>0</v>
      </c>
      <c r="AF57" s="123">
        <f>'Volume adjustments'!AF77</f>
        <v>0</v>
      </c>
      <c r="AG57" s="123">
        <f>'Volume adjustments'!AG77</f>
        <v>22429.580480403067</v>
      </c>
      <c r="AH57" s="123">
        <f>'Volume adjustments'!AH77</f>
        <v>0</v>
      </c>
      <c r="AI57" s="123">
        <f>'Volume adjustments'!AI77</f>
        <v>0</v>
      </c>
      <c r="AJ57" s="123">
        <f>'Volume adjustments'!AJ77</f>
        <v>0</v>
      </c>
      <c r="AK57" s="123">
        <f>'Volume adjustments'!AK77</f>
        <v>0</v>
      </c>
      <c r="AL57" s="123">
        <f>'Volume adjustments'!AL77</f>
        <v>0</v>
      </c>
      <c r="AM57" s="123">
        <f>'Volume adjustments'!AM77</f>
        <v>0</v>
      </c>
      <c r="AN57" s="123">
        <f>'Volume adjustments'!AN77</f>
        <v>0</v>
      </c>
      <c r="AO57" s="123">
        <f>'Volume adjustments'!AO77</f>
        <v>385063.70152251818</v>
      </c>
      <c r="AP57" s="123">
        <f>'Volume adjustments'!AP77</f>
        <v>0</v>
      </c>
      <c r="BH57" s="3"/>
    </row>
    <row r="58" spans="2:60" x14ac:dyDescent="0.25">
      <c r="E58" s="32"/>
      <c r="F58" s="37" t="s">
        <v>194</v>
      </c>
      <c r="G58" s="37" t="s">
        <v>243</v>
      </c>
      <c r="H58" s="82"/>
      <c r="I58" s="82"/>
      <c r="J58" s="128">
        <f>'Volume adjustments'!J88</f>
        <v>0</v>
      </c>
      <c r="K58" s="128">
        <f>'Volume adjustments'!K88</f>
        <v>0</v>
      </c>
      <c r="L58" s="128">
        <f>'Volume adjustments'!L88</f>
        <v>0</v>
      </c>
      <c r="M58" s="128">
        <f>'Volume adjustments'!M88</f>
        <v>0</v>
      </c>
      <c r="N58" s="128">
        <f>'Volume adjustments'!N88</f>
        <v>0</v>
      </c>
      <c r="O58" s="128">
        <f>'Volume adjustments'!O88</f>
        <v>0</v>
      </c>
      <c r="P58" s="128">
        <f>'Volume adjustments'!P88</f>
        <v>0</v>
      </c>
      <c r="Q58" s="128">
        <f>'Volume adjustments'!Q88</f>
        <v>0</v>
      </c>
      <c r="R58" s="128">
        <f>'Volume adjustments'!R88</f>
        <v>0</v>
      </c>
      <c r="S58" s="128">
        <f>'Volume adjustments'!S88</f>
        <v>165.30614809900308</v>
      </c>
      <c r="T58" s="128">
        <f>'Volume adjustments'!T88</f>
        <v>27199.510570379593</v>
      </c>
      <c r="U58" s="128">
        <f>'Volume adjustments'!U88</f>
        <v>618006.62124219816</v>
      </c>
      <c r="V58" s="128">
        <f>'Volume adjustments'!V88</f>
        <v>57152.779721852334</v>
      </c>
      <c r="W58" s="128">
        <f>'Volume adjustments'!W88</f>
        <v>401128.44876738428</v>
      </c>
      <c r="X58" s="128">
        <f>'Volume adjustments'!X88</f>
        <v>0</v>
      </c>
      <c r="Y58" s="128">
        <f>'Volume adjustments'!Y88</f>
        <v>0</v>
      </c>
      <c r="Z58" s="128">
        <f>'Volume adjustments'!Z88</f>
        <v>0</v>
      </c>
      <c r="AA58" s="128">
        <f>'Volume adjustments'!AA88</f>
        <v>0</v>
      </c>
      <c r="AB58" s="128">
        <f>'Volume adjustments'!AB88</f>
        <v>62407.524160774294</v>
      </c>
      <c r="AC58" s="128">
        <f>'Volume adjustments'!AC88</f>
        <v>0</v>
      </c>
      <c r="AD58" s="128">
        <f>'Volume adjustments'!AD88</f>
        <v>0</v>
      </c>
      <c r="AE58" s="128">
        <f>'Volume adjustments'!AE88</f>
        <v>0</v>
      </c>
      <c r="AF58" s="128">
        <f>'Volume adjustments'!AF88</f>
        <v>0</v>
      </c>
      <c r="AG58" s="128">
        <f>'Volume adjustments'!AG88</f>
        <v>25751.216289277676</v>
      </c>
      <c r="AH58" s="128">
        <f>'Volume adjustments'!AH88</f>
        <v>0</v>
      </c>
      <c r="AI58" s="128">
        <f>'Volume adjustments'!AI88</f>
        <v>0</v>
      </c>
      <c r="AJ58" s="128">
        <f>'Volume adjustments'!AJ88</f>
        <v>0</v>
      </c>
      <c r="AK58" s="128">
        <f>'Volume adjustments'!AK88</f>
        <v>0</v>
      </c>
      <c r="AL58" s="128">
        <f>'Volume adjustments'!AL88</f>
        <v>0</v>
      </c>
      <c r="AM58" s="128">
        <f>'Volume adjustments'!AM88</f>
        <v>0</v>
      </c>
      <c r="AN58" s="128">
        <f>'Volume adjustments'!AN88</f>
        <v>0</v>
      </c>
      <c r="AO58" s="128">
        <f>'Volume adjustments'!AO88</f>
        <v>361762.50157246564</v>
      </c>
      <c r="AP58" s="128">
        <f>'Volume adjustments'!AP88</f>
        <v>0</v>
      </c>
      <c r="BH58" s="3"/>
    </row>
    <row r="59" spans="2:60" x14ac:dyDescent="0.25">
      <c r="E59" s="32"/>
      <c r="F59" s="111" t="s">
        <v>615</v>
      </c>
      <c r="G59" s="111" t="s">
        <v>243</v>
      </c>
      <c r="H59" s="184"/>
      <c r="I59" s="184"/>
      <c r="J59" s="184">
        <f t="shared" ref="J59:AP59" si="0">SUM(J56:J58)</f>
        <v>2359360.6618815465</v>
      </c>
      <c r="K59" s="184">
        <f t="shared" si="0"/>
        <v>445623.8949172789</v>
      </c>
      <c r="L59" s="184">
        <f t="shared" si="0"/>
        <v>423055.87757845432</v>
      </c>
      <c r="M59" s="184">
        <f t="shared" si="0"/>
        <v>837309.17840270267</v>
      </c>
      <c r="N59" s="184">
        <f t="shared" si="0"/>
        <v>234469.26872934497</v>
      </c>
      <c r="O59" s="184">
        <f t="shared" si="0"/>
        <v>28141.504302703608</v>
      </c>
      <c r="P59" s="184">
        <f t="shared" si="0"/>
        <v>39955.591352060583</v>
      </c>
      <c r="Q59" s="184">
        <f t="shared" si="0"/>
        <v>0</v>
      </c>
      <c r="R59" s="184">
        <f t="shared" si="0"/>
        <v>818.16792580356218</v>
      </c>
      <c r="S59" s="184">
        <f t="shared" si="0"/>
        <v>356.06838873336289</v>
      </c>
      <c r="T59" s="184">
        <f t="shared" si="0"/>
        <v>74106.713753271149</v>
      </c>
      <c r="U59" s="184">
        <f t="shared" si="0"/>
        <v>1600194.5651365719</v>
      </c>
      <c r="V59" s="184">
        <f t="shared" si="0"/>
        <v>124193.96067864614</v>
      </c>
      <c r="W59" s="184">
        <f t="shared" si="0"/>
        <v>918353.08819176257</v>
      </c>
      <c r="X59" s="184">
        <f t="shared" si="0"/>
        <v>14143.024463568723</v>
      </c>
      <c r="Y59" s="184">
        <f t="shared" si="0"/>
        <v>17280.638083641774</v>
      </c>
      <c r="Z59" s="184">
        <f t="shared" si="0"/>
        <v>3520.726250029109</v>
      </c>
      <c r="AA59" s="184">
        <f t="shared" si="0"/>
        <v>44.247535426088803</v>
      </c>
      <c r="AB59" s="184">
        <f t="shared" si="0"/>
        <v>82860.929985677692</v>
      </c>
      <c r="AC59" s="184">
        <f t="shared" si="0"/>
        <v>6412.5597704205047</v>
      </c>
      <c r="AD59" s="184">
        <f t="shared" si="0"/>
        <v>0</v>
      </c>
      <c r="AE59" s="184">
        <f t="shared" si="0"/>
        <v>359281.93051380559</v>
      </c>
      <c r="AF59" s="184">
        <f t="shared" si="0"/>
        <v>0</v>
      </c>
      <c r="AG59" s="184">
        <f t="shared" si="0"/>
        <v>53320.666125091753</v>
      </c>
      <c r="AH59" s="184">
        <f t="shared" si="0"/>
        <v>0</v>
      </c>
      <c r="AI59" s="184">
        <f t="shared" si="0"/>
        <v>3513.2890000000002</v>
      </c>
      <c r="AJ59" s="184">
        <f t="shared" si="0"/>
        <v>0</v>
      </c>
      <c r="AK59" s="184">
        <f t="shared" si="0"/>
        <v>0</v>
      </c>
      <c r="AL59" s="184">
        <f t="shared" si="0"/>
        <v>0</v>
      </c>
      <c r="AM59" s="184">
        <f t="shared" si="0"/>
        <v>652626.70721495803</v>
      </c>
      <c r="AN59" s="184">
        <f t="shared" si="0"/>
        <v>0</v>
      </c>
      <c r="AO59" s="184">
        <f t="shared" si="0"/>
        <v>839751.05090054707</v>
      </c>
      <c r="AP59" s="184">
        <f t="shared" si="0"/>
        <v>0</v>
      </c>
      <c r="BH59" s="3"/>
    </row>
    <row r="60" spans="2:60" x14ac:dyDescent="0.25">
      <c r="D60" s="32"/>
      <c r="J60" s="63"/>
      <c r="K60" s="63"/>
      <c r="L60" s="63"/>
      <c r="M60" s="63"/>
      <c r="N60" s="63"/>
      <c r="O60" s="63"/>
      <c r="P60" s="63"/>
      <c r="Q60" s="63"/>
      <c r="R60" s="63"/>
      <c r="S60" s="63"/>
      <c r="BH60" s="3"/>
    </row>
    <row r="61" spans="2:60" x14ac:dyDescent="0.25">
      <c r="C61" s="32"/>
      <c r="E61" s="28" t="s">
        <v>291</v>
      </c>
      <c r="F61" s="28"/>
      <c r="G61" s="28" t="s">
        <v>203</v>
      </c>
      <c r="I61" t="s">
        <v>190</v>
      </c>
      <c r="J61" s="25">
        <f>'Inputs by customer type'!J15</f>
        <v>0.41513083337616513</v>
      </c>
      <c r="K61" s="25">
        <f>'Inputs by customer type'!K15</f>
        <v>0.3365366574618312</v>
      </c>
      <c r="L61" s="25">
        <f>'Inputs by customer type'!L15</f>
        <v>0.19077597540606928</v>
      </c>
      <c r="M61" s="25">
        <f>'Inputs by customer type'!M15</f>
        <v>0.36980626395990096</v>
      </c>
      <c r="N61" s="25">
        <f>'Inputs by customer type'!N15</f>
        <v>0.44000120058311348</v>
      </c>
      <c r="O61" s="25">
        <f>'Inputs by customer type'!O15</f>
        <v>0.22297477154780784</v>
      </c>
      <c r="P61" s="25">
        <f>'Inputs by customer type'!P15</f>
        <v>0.4402585628289879</v>
      </c>
      <c r="Q61" s="25">
        <f>'Inputs by customer type'!Q15</f>
        <v>0.4402585628289879</v>
      </c>
      <c r="R61" s="25">
        <f>'Inputs by customer type'!R15</f>
        <v>0.46788168826041193</v>
      </c>
      <c r="S61" s="25">
        <f>'Inputs by customer type'!S15</f>
        <v>0.29235643550598994</v>
      </c>
      <c r="T61" s="25">
        <f>'Inputs by customer type'!T15</f>
        <v>0.40048565973182121</v>
      </c>
      <c r="U61" s="25">
        <f>'Inputs by customer type'!U15</f>
        <v>0.57517174301567875</v>
      </c>
      <c r="V61" s="25">
        <f>'Inputs by customer type'!V15</f>
        <v>0.66801982892855427</v>
      </c>
      <c r="W61" s="25">
        <f>'Inputs by customer type'!W15</f>
        <v>0.68905293243143573</v>
      </c>
      <c r="X61" s="25">
        <f>'Inputs by customer type'!X15</f>
        <v>0.99988594871538961</v>
      </c>
      <c r="Y61" s="25">
        <f>'Inputs by customer type'!Y15</f>
        <v>0.47125024662940507</v>
      </c>
      <c r="Z61" s="25">
        <f>'Inputs by customer type'!Z15</f>
        <v>0.25865510178323398</v>
      </c>
      <c r="AA61" s="25">
        <f>'Inputs by customer type'!AA15</f>
        <v>0.52793311440061208</v>
      </c>
      <c r="AB61" s="25">
        <f>'Inputs by customer type'!AB15</f>
        <v>0.45798443944159511</v>
      </c>
      <c r="AC61" s="70"/>
      <c r="AD61" s="70"/>
      <c r="AE61" s="70"/>
      <c r="AF61" s="70"/>
      <c r="AG61" s="70"/>
      <c r="AH61" s="70"/>
      <c r="AI61" s="70"/>
      <c r="AJ61" s="70"/>
      <c r="AK61" s="70"/>
      <c r="AL61" s="70"/>
      <c r="AM61" s="70"/>
      <c r="AN61" s="70"/>
      <c r="AO61" s="70"/>
      <c r="AP61" s="70"/>
      <c r="AR61" t="s">
        <v>616</v>
      </c>
      <c r="BH61" s="3"/>
    </row>
    <row r="63" spans="2:60" x14ac:dyDescent="0.25">
      <c r="B63" s="30" t="s">
        <v>617</v>
      </c>
      <c r="C63" s="30"/>
      <c r="D63" s="30"/>
      <c r="E63" s="30"/>
      <c r="F63" s="30"/>
      <c r="G63" s="30"/>
      <c r="H63" s="30"/>
      <c r="I63" s="30"/>
      <c r="J63" s="136"/>
      <c r="K63" s="136"/>
      <c r="L63" s="136"/>
      <c r="M63" s="136"/>
      <c r="N63" s="136"/>
      <c r="O63" s="136"/>
      <c r="P63" s="136"/>
      <c r="Q63" s="136"/>
      <c r="R63" s="136"/>
      <c r="S63" s="136"/>
      <c r="T63" s="30"/>
      <c r="U63" s="30"/>
      <c r="V63" s="30"/>
      <c r="W63" s="30"/>
      <c r="X63" s="30"/>
      <c r="Y63" s="30"/>
      <c r="Z63" s="30"/>
      <c r="AA63" s="30"/>
      <c r="AB63" s="30"/>
      <c r="AC63" s="30"/>
      <c r="AD63" s="30"/>
      <c r="AE63" s="30"/>
      <c r="AF63" s="30"/>
      <c r="AG63" s="30"/>
      <c r="AH63" s="30"/>
      <c r="AI63" s="30"/>
      <c r="AJ63" s="30"/>
      <c r="AK63" s="30"/>
      <c r="AL63" s="30"/>
      <c r="AM63" s="30"/>
      <c r="AN63" s="30"/>
      <c r="AO63" s="30"/>
      <c r="AP63" s="30"/>
      <c r="AQ63" s="30"/>
      <c r="AR63" s="30"/>
      <c r="BH63" s="3"/>
    </row>
    <row r="64" spans="2:60" x14ac:dyDescent="0.25">
      <c r="C64" s="32"/>
      <c r="J64" s="63"/>
      <c r="K64" s="63"/>
      <c r="L64" s="63"/>
      <c r="M64" s="63"/>
      <c r="N64" s="63"/>
      <c r="O64" s="63"/>
      <c r="P64" s="63"/>
      <c r="Q64" s="63"/>
      <c r="R64" s="63"/>
      <c r="S64" s="63"/>
      <c r="BH64" s="3"/>
    </row>
    <row r="65" spans="3:60" x14ac:dyDescent="0.25">
      <c r="C65" s="29" t="s">
        <v>618</v>
      </c>
      <c r="J65" s="63"/>
      <c r="K65" s="63"/>
      <c r="L65" s="63"/>
      <c r="M65" s="63"/>
      <c r="N65" s="63"/>
      <c r="O65" s="63"/>
      <c r="P65" s="63"/>
      <c r="Q65" s="63"/>
      <c r="R65" s="63"/>
      <c r="S65" s="63"/>
      <c r="BH65" s="3"/>
    </row>
    <row r="66" spans="3:60" x14ac:dyDescent="0.25">
      <c r="C66" s="32"/>
      <c r="J66" s="63"/>
      <c r="K66" s="63"/>
      <c r="L66" s="63"/>
      <c r="M66" s="63"/>
      <c r="N66" s="63"/>
      <c r="O66" s="63"/>
      <c r="P66" s="63"/>
      <c r="Q66" s="63"/>
      <c r="R66" s="63"/>
      <c r="S66" s="63"/>
      <c r="BH66" s="3"/>
    </row>
    <row r="67" spans="3:60" x14ac:dyDescent="0.25">
      <c r="C67" s="31" t="str">
        <f ca="1">INDEX('Version control'!$H$34:$H$56,MATCH($A$1,'Version control'!$F$34:$F$56,0),1)&amp;"-B: System peak load, by unit rate"</f>
        <v>Section 106-B: System peak load, by unit rate</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BH67" s="3"/>
    </row>
    <row r="68" spans="3:60" x14ac:dyDescent="0.25">
      <c r="H68" s="63"/>
      <c r="J68" s="63"/>
      <c r="K68" s="63"/>
      <c r="L68" s="63"/>
      <c r="M68" s="63"/>
      <c r="N68" s="63"/>
      <c r="O68" s="63"/>
      <c r="P68" s="63"/>
      <c r="Q68" s="63"/>
      <c r="R68" s="63"/>
      <c r="S68" s="63"/>
      <c r="T68" s="63"/>
      <c r="U68" s="63"/>
      <c r="V68" s="63"/>
      <c r="W68" s="63"/>
      <c r="X68" s="63"/>
      <c r="Y68" s="63"/>
      <c r="Z68" s="63"/>
      <c r="AA68" s="63"/>
      <c r="AB68" s="63"/>
      <c r="AC68" s="63"/>
      <c r="AD68" s="63"/>
      <c r="AE68" s="63"/>
      <c r="AF68" s="63"/>
      <c r="AG68" s="63"/>
      <c r="AH68" s="63"/>
      <c r="AI68" s="63"/>
      <c r="AJ68" s="63"/>
      <c r="AK68" s="63"/>
      <c r="AL68" s="63"/>
      <c r="AM68" s="63"/>
      <c r="AN68" s="63"/>
      <c r="AO68" s="63"/>
      <c r="AP68" s="63"/>
    </row>
    <row r="69" spans="3:60" x14ac:dyDescent="0.25">
      <c r="E69" s="32" t="s">
        <v>619</v>
      </c>
      <c r="J69" s="63"/>
      <c r="K69" s="63"/>
      <c r="L69" s="63"/>
      <c r="M69" s="63"/>
      <c r="N69" s="63"/>
      <c r="O69" s="63"/>
      <c r="P69" s="63"/>
      <c r="Q69" s="63"/>
      <c r="R69" s="63"/>
      <c r="S69" s="63"/>
      <c r="BH69" s="3"/>
    </row>
    <row r="70" spans="3:60" x14ac:dyDescent="0.25">
      <c r="E70" s="32"/>
      <c r="F70" s="23" t="s">
        <v>227</v>
      </c>
      <c r="G70" s="23" t="s">
        <v>342</v>
      </c>
      <c r="H70" s="23"/>
      <c r="I70" s="23"/>
      <c r="J70" s="127">
        <f>'Pseudo-load coefficients'!J509</f>
        <v>1.7201731551756498</v>
      </c>
      <c r="K70" s="127">
        <f>'Pseudo-load coefficients'!K509</f>
        <v>2.011153066413228</v>
      </c>
      <c r="L70" s="127">
        <f>'Pseudo-load coefficients'!L509</f>
        <v>0.63788437675057463</v>
      </c>
      <c r="M70" s="127">
        <f>'Pseudo-load coefficients'!M509</f>
        <v>1.7498926879871817</v>
      </c>
      <c r="N70" s="127">
        <f>'Pseudo-load coefficients'!N509</f>
        <v>1.9223485423665356</v>
      </c>
      <c r="O70" s="127">
        <f>'Pseudo-load coefficients'!O509</f>
        <v>0.57401367023529626</v>
      </c>
      <c r="P70" s="127">
        <f>'Pseudo-load coefficients'!P509</f>
        <v>1.6676583579410345</v>
      </c>
      <c r="Q70" s="127">
        <f>'Pseudo-load coefficients'!Q509</f>
        <v>1.3573501094857139</v>
      </c>
      <c r="R70" s="127">
        <f>'Pseudo-load coefficients'!R509</f>
        <v>1.8866460088951273</v>
      </c>
      <c r="S70" s="127">
        <f>'Pseudo-load coefficients'!S509</f>
        <v>7.8338053256480613</v>
      </c>
      <c r="T70" s="127">
        <f>'Pseudo-load coefficients'!T509</f>
        <v>8.5525314977522306</v>
      </c>
      <c r="U70" s="127">
        <f>'Pseudo-load coefficients'!U509</f>
        <v>6.7902002993910742</v>
      </c>
      <c r="V70" s="127">
        <f>'Pseudo-load coefficients'!V509</f>
        <v>6.7405487014926724</v>
      </c>
      <c r="W70" s="127">
        <f>'Pseudo-load coefficients'!W509</f>
        <v>6.3991931982907664</v>
      </c>
      <c r="X70" s="127">
        <f>'Pseudo-load coefficients'!X509</f>
        <v>0.96400335645505142</v>
      </c>
      <c r="Y70" s="127">
        <f>'Pseudo-load coefficients'!Y509</f>
        <v>1.07110491036573</v>
      </c>
      <c r="Z70" s="127">
        <f>'Pseudo-load coefficients'!Z509</f>
        <v>1.7322439115783099</v>
      </c>
      <c r="AA70" s="127">
        <f>'Pseudo-load coefficients'!AA509</f>
        <v>0.93050972719429625</v>
      </c>
      <c r="AB70" s="127">
        <f>'Pseudo-load coefficients'!AB509</f>
        <v>12.864893142830548</v>
      </c>
      <c r="AC70" s="127">
        <f>'Pseudo-load coefficients'!AC509</f>
        <v>1</v>
      </c>
      <c r="AD70" s="127">
        <f>'Pseudo-load coefficients'!AD509</f>
        <v>1</v>
      </c>
      <c r="AE70" s="127">
        <f>'Pseudo-load coefficients'!AE509</f>
        <v>1</v>
      </c>
      <c r="AF70" s="127">
        <f>'Pseudo-load coefficients'!AF509</f>
        <v>1</v>
      </c>
      <c r="AG70" s="127">
        <f>'Pseudo-load coefficients'!AG509</f>
        <v>5.7057471264367825</v>
      </c>
      <c r="AH70" s="127">
        <f>'Pseudo-load coefficients'!AH509</f>
        <v>5.7057471264367825</v>
      </c>
      <c r="AI70" s="127">
        <f>'Pseudo-load coefficients'!AI509</f>
        <v>1</v>
      </c>
      <c r="AJ70" s="127">
        <f>'Pseudo-load coefficients'!AJ509</f>
        <v>1</v>
      </c>
      <c r="AK70" s="127">
        <f>'Pseudo-load coefficients'!AK509</f>
        <v>5.7057471264367825</v>
      </c>
      <c r="AL70" s="127">
        <f>'Pseudo-load coefficients'!AL509</f>
        <v>5.7057471264367825</v>
      </c>
      <c r="AM70" s="127">
        <f>'Pseudo-load coefficients'!AM509</f>
        <v>1</v>
      </c>
      <c r="AN70" s="127">
        <f>'Pseudo-load coefficients'!AN509</f>
        <v>1</v>
      </c>
      <c r="AO70" s="127">
        <f>'Pseudo-load coefficients'!AO509</f>
        <v>5.7057471264367825</v>
      </c>
      <c r="AP70" s="127">
        <f>'Pseudo-load coefficients'!AP509</f>
        <v>5.7057471264367825</v>
      </c>
      <c r="BH70" s="3"/>
    </row>
    <row r="71" spans="3:60" x14ac:dyDescent="0.25">
      <c r="E71" s="32"/>
      <c r="F71" t="s">
        <v>228</v>
      </c>
      <c r="G71" t="s">
        <v>342</v>
      </c>
      <c r="J71" s="123">
        <f>'Pseudo-load coefficients'!J510</f>
        <v>0</v>
      </c>
      <c r="K71" s="123">
        <f>'Pseudo-load coefficients'!K510</f>
        <v>0</v>
      </c>
      <c r="L71" s="123">
        <f>'Pseudo-load coefficients'!L510</f>
        <v>0</v>
      </c>
      <c r="M71" s="123">
        <f>'Pseudo-load coefficients'!M510</f>
        <v>0</v>
      </c>
      <c r="N71" s="123">
        <f>'Pseudo-load coefficients'!N510</f>
        <v>0</v>
      </c>
      <c r="O71" s="123">
        <f>'Pseudo-load coefficients'!O510</f>
        <v>0</v>
      </c>
      <c r="P71" s="123">
        <f>'Pseudo-load coefficients'!P510</f>
        <v>0</v>
      </c>
      <c r="Q71" s="123">
        <f>'Pseudo-load coefficients'!Q510</f>
        <v>0</v>
      </c>
      <c r="R71" s="123">
        <f>'Pseudo-load coefficients'!R510</f>
        <v>0</v>
      </c>
      <c r="S71" s="123">
        <f>'Pseudo-load coefficients'!S510</f>
        <v>0</v>
      </c>
      <c r="T71" s="123">
        <f>'Pseudo-load coefficients'!T510</f>
        <v>0</v>
      </c>
      <c r="U71" s="123">
        <f>'Pseudo-load coefficients'!U510</f>
        <v>0</v>
      </c>
      <c r="V71" s="123">
        <f>'Pseudo-load coefficients'!V510</f>
        <v>0</v>
      </c>
      <c r="W71" s="123">
        <f>'Pseudo-load coefficients'!W510</f>
        <v>0</v>
      </c>
      <c r="X71" s="123">
        <f>'Pseudo-load coefficients'!X510</f>
        <v>0</v>
      </c>
      <c r="Y71" s="123">
        <f>'Pseudo-load coefficients'!Y510</f>
        <v>0</v>
      </c>
      <c r="Z71" s="123">
        <f>'Pseudo-load coefficients'!Z510</f>
        <v>0</v>
      </c>
      <c r="AA71" s="123">
        <f>'Pseudo-load coefficients'!AA510</f>
        <v>0</v>
      </c>
      <c r="AB71" s="123">
        <f>'Pseudo-load coefficients'!AB510</f>
        <v>0</v>
      </c>
      <c r="AC71" s="123">
        <f>'Pseudo-load coefficients'!AC510</f>
        <v>0</v>
      </c>
      <c r="AD71" s="123">
        <f>'Pseudo-load coefficients'!AD510</f>
        <v>0</v>
      </c>
      <c r="AE71" s="123">
        <f>'Pseudo-load coefficients'!AE510</f>
        <v>0</v>
      </c>
      <c r="AF71" s="123">
        <f>'Pseudo-load coefficients'!AF510</f>
        <v>0</v>
      </c>
      <c r="AG71" s="123">
        <f>'Pseudo-load coefficients'!AG510</f>
        <v>0</v>
      </c>
      <c r="AH71" s="123">
        <f>'Pseudo-load coefficients'!AH510</f>
        <v>0</v>
      </c>
      <c r="AI71" s="123">
        <f>'Pseudo-load coefficients'!AI510</f>
        <v>0</v>
      </c>
      <c r="AJ71" s="123">
        <f>'Pseudo-load coefficients'!AJ510</f>
        <v>0</v>
      </c>
      <c r="AK71" s="123">
        <f>'Pseudo-load coefficients'!AK510</f>
        <v>0</v>
      </c>
      <c r="AL71" s="123">
        <f>'Pseudo-load coefficients'!AL510</f>
        <v>0</v>
      </c>
      <c r="AM71" s="123">
        <f>'Pseudo-load coefficients'!AM510</f>
        <v>0</v>
      </c>
      <c r="AN71" s="123">
        <f>'Pseudo-load coefficients'!AN510</f>
        <v>0</v>
      </c>
      <c r="AO71" s="123">
        <f>'Pseudo-load coefficients'!AO510</f>
        <v>0</v>
      </c>
      <c r="AP71" s="123">
        <f>'Pseudo-load coefficients'!AP510</f>
        <v>0</v>
      </c>
      <c r="BH71" s="3"/>
    </row>
    <row r="72" spans="3:60" x14ac:dyDescent="0.25">
      <c r="E72" s="32"/>
      <c r="F72" t="s">
        <v>229</v>
      </c>
      <c r="G72" t="s">
        <v>342</v>
      </c>
      <c r="J72" s="123">
        <f>'Pseudo-load coefficients'!J511</f>
        <v>0</v>
      </c>
      <c r="K72" s="123">
        <f>'Pseudo-load coefficients'!K511</f>
        <v>0</v>
      </c>
      <c r="L72" s="123">
        <f>'Pseudo-load coefficients'!L511</f>
        <v>0</v>
      </c>
      <c r="M72" s="123">
        <f>'Pseudo-load coefficients'!M511</f>
        <v>0</v>
      </c>
      <c r="N72" s="123">
        <f>'Pseudo-load coefficients'!N511</f>
        <v>0</v>
      </c>
      <c r="O72" s="123">
        <f>'Pseudo-load coefficients'!O511</f>
        <v>0</v>
      </c>
      <c r="P72" s="123">
        <f>'Pseudo-load coefficients'!P511</f>
        <v>0</v>
      </c>
      <c r="Q72" s="123">
        <f>'Pseudo-load coefficients'!Q511</f>
        <v>0</v>
      </c>
      <c r="R72" s="123">
        <f>'Pseudo-load coefficients'!R511</f>
        <v>0</v>
      </c>
      <c r="S72" s="123">
        <f>'Pseudo-load coefficients'!S511</f>
        <v>0</v>
      </c>
      <c r="T72" s="123">
        <f>'Pseudo-load coefficients'!T511</f>
        <v>0</v>
      </c>
      <c r="U72" s="123">
        <f>'Pseudo-load coefficients'!U511</f>
        <v>0</v>
      </c>
      <c r="V72" s="123">
        <f>'Pseudo-load coefficients'!V511</f>
        <v>0</v>
      </c>
      <c r="W72" s="123">
        <f>'Pseudo-load coefficients'!W511</f>
        <v>0</v>
      </c>
      <c r="X72" s="123">
        <f>'Pseudo-load coefficients'!X511</f>
        <v>0</v>
      </c>
      <c r="Y72" s="123">
        <f>'Pseudo-load coefficients'!Y511</f>
        <v>0</v>
      </c>
      <c r="Z72" s="123">
        <f>'Pseudo-load coefficients'!Z511</f>
        <v>0</v>
      </c>
      <c r="AA72" s="123">
        <f>'Pseudo-load coefficients'!AA511</f>
        <v>0</v>
      </c>
      <c r="AB72" s="123">
        <f>'Pseudo-load coefficients'!AB511</f>
        <v>0</v>
      </c>
      <c r="AC72" s="123">
        <f>'Pseudo-load coefficients'!AC511</f>
        <v>0</v>
      </c>
      <c r="AD72" s="123">
        <f>'Pseudo-load coefficients'!AD511</f>
        <v>0</v>
      </c>
      <c r="AE72" s="123">
        <f>'Pseudo-load coefficients'!AE511</f>
        <v>0</v>
      </c>
      <c r="AF72" s="123">
        <f>'Pseudo-load coefficients'!AF511</f>
        <v>0</v>
      </c>
      <c r="AG72" s="123">
        <f>'Pseudo-load coefficients'!AG511</f>
        <v>0</v>
      </c>
      <c r="AH72" s="123">
        <f>'Pseudo-load coefficients'!AH511</f>
        <v>0</v>
      </c>
      <c r="AI72" s="123">
        <f>'Pseudo-load coefficients'!AI511</f>
        <v>0</v>
      </c>
      <c r="AJ72" s="123">
        <f>'Pseudo-load coefficients'!AJ511</f>
        <v>0</v>
      </c>
      <c r="AK72" s="123">
        <f>'Pseudo-load coefficients'!AK511</f>
        <v>0</v>
      </c>
      <c r="AL72" s="123">
        <f>'Pseudo-load coefficients'!AL511</f>
        <v>0</v>
      </c>
      <c r="AM72" s="123">
        <f>'Pseudo-load coefficients'!AM511</f>
        <v>0</v>
      </c>
      <c r="AN72" s="123">
        <f>'Pseudo-load coefficients'!AN511</f>
        <v>0</v>
      </c>
      <c r="AO72" s="123">
        <f>'Pseudo-load coefficients'!AO511</f>
        <v>0</v>
      </c>
      <c r="AP72" s="123">
        <f>'Pseudo-load coefficients'!AP511</f>
        <v>0</v>
      </c>
      <c r="BH72" s="3"/>
    </row>
    <row r="73" spans="3:60" x14ac:dyDescent="0.25">
      <c r="E73" s="32"/>
      <c r="F73" t="s">
        <v>230</v>
      </c>
      <c r="G73" t="s">
        <v>342</v>
      </c>
      <c r="J73" s="123">
        <f>'Pseudo-load coefficients'!J512</f>
        <v>1.6922249106213094</v>
      </c>
      <c r="K73" s="123">
        <f>'Pseudo-load coefficients'!K512</f>
        <v>1.9546625898424457</v>
      </c>
      <c r="L73" s="123">
        <f>'Pseudo-load coefficients'!L512</f>
        <v>0.67653120124937716</v>
      </c>
      <c r="M73" s="123">
        <f>'Pseudo-load coefficients'!M512</f>
        <v>1.7424624914289761</v>
      </c>
      <c r="N73" s="123">
        <f>'Pseudo-load coefficients'!N512</f>
        <v>1.8891928069643484</v>
      </c>
      <c r="O73" s="123">
        <f>'Pseudo-load coefficients'!O512</f>
        <v>0.61423983993483533</v>
      </c>
      <c r="P73" s="123">
        <f>'Pseudo-load coefficients'!P512</f>
        <v>1.6389445788072325</v>
      </c>
      <c r="Q73" s="123">
        <f>'Pseudo-load coefficients'!Q512</f>
        <v>1.3339792247565812</v>
      </c>
      <c r="R73" s="123">
        <f>'Pseudo-load coefficients'!R512</f>
        <v>1.8551789393459415</v>
      </c>
      <c r="S73" s="123">
        <f>'Pseudo-load coefficients'!S512</f>
        <v>7.0546355924773847</v>
      </c>
      <c r="T73" s="123">
        <f>'Pseudo-load coefficients'!T512</f>
        <v>7.7113861425089754</v>
      </c>
      <c r="U73" s="123">
        <f>'Pseudo-load coefficients'!U512</f>
        <v>6.1244943876860667</v>
      </c>
      <c r="V73" s="123">
        <f>'Pseudo-load coefficients'!V512</f>
        <v>6.0797105935031945</v>
      </c>
      <c r="W73" s="123">
        <f>'Pseudo-load coefficients'!W512</f>
        <v>5.7718213161053971</v>
      </c>
      <c r="X73" s="123">
        <f>'Pseudo-load coefficients'!X512</f>
        <v>0.96334240275326455</v>
      </c>
      <c r="Y73" s="123">
        <f>'Pseudo-load coefficients'!Y512</f>
        <v>1.0101211359837954</v>
      </c>
      <c r="Z73" s="123">
        <f>'Pseudo-load coefficients'!Z512</f>
        <v>1.5821722193444481</v>
      </c>
      <c r="AA73" s="123">
        <f>'Pseudo-load coefficients'!AA512</f>
        <v>0.97403163253443814</v>
      </c>
      <c r="AB73" s="123">
        <f>'Pseudo-load coefficients'!AB512</f>
        <v>10.88567881316431</v>
      </c>
      <c r="AC73" s="123">
        <f>'Pseudo-load coefficients'!AC512</f>
        <v>1</v>
      </c>
      <c r="AD73" s="123">
        <f>'Pseudo-load coefficients'!AD512</f>
        <v>1</v>
      </c>
      <c r="AE73" s="123">
        <f>'Pseudo-load coefficients'!AE512</f>
        <v>1</v>
      </c>
      <c r="AF73" s="123">
        <f>'Pseudo-load coefficients'!AF512</f>
        <v>1</v>
      </c>
      <c r="AG73" s="123">
        <f>'Pseudo-load coefficients'!AG512</f>
        <v>5.1463601532567056</v>
      </c>
      <c r="AH73" s="123">
        <f>'Pseudo-load coefficients'!AH512</f>
        <v>5.1463601532567056</v>
      </c>
      <c r="AI73" s="123">
        <f>'Pseudo-load coefficients'!AI512</f>
        <v>1</v>
      </c>
      <c r="AJ73" s="123">
        <f>'Pseudo-load coefficients'!AJ512</f>
        <v>1</v>
      </c>
      <c r="AK73" s="123">
        <f>'Pseudo-load coefficients'!AK512</f>
        <v>5.1463601532567056</v>
      </c>
      <c r="AL73" s="123">
        <f>'Pseudo-load coefficients'!AL512</f>
        <v>5.1463601532567056</v>
      </c>
      <c r="AM73" s="123">
        <f>'Pseudo-load coefficients'!AM512</f>
        <v>1</v>
      </c>
      <c r="AN73" s="123">
        <f>'Pseudo-load coefficients'!AN512</f>
        <v>1</v>
      </c>
      <c r="AO73" s="123">
        <f>'Pseudo-load coefficients'!AO512</f>
        <v>5.1463601532567056</v>
      </c>
      <c r="AP73" s="123">
        <f>'Pseudo-load coefficients'!AP512</f>
        <v>5.1463601532567056</v>
      </c>
      <c r="BH73" s="3"/>
    </row>
    <row r="74" spans="3:60" x14ac:dyDescent="0.25">
      <c r="E74" s="32"/>
      <c r="F74" t="s">
        <v>231</v>
      </c>
      <c r="G74" t="s">
        <v>342</v>
      </c>
      <c r="J74" s="123">
        <f>'Pseudo-load coefficients'!J513</f>
        <v>1.6922249106213094</v>
      </c>
      <c r="K74" s="123">
        <f>'Pseudo-load coefficients'!K513</f>
        <v>1.9546625898424457</v>
      </c>
      <c r="L74" s="123">
        <f>'Pseudo-load coefficients'!L513</f>
        <v>0.67653120124937716</v>
      </c>
      <c r="M74" s="123">
        <f>'Pseudo-load coefficients'!M513</f>
        <v>1.7424624914289761</v>
      </c>
      <c r="N74" s="123">
        <f>'Pseudo-load coefficients'!N513</f>
        <v>1.8891928069643484</v>
      </c>
      <c r="O74" s="123">
        <f>'Pseudo-load coefficients'!O513</f>
        <v>0.61423983993483533</v>
      </c>
      <c r="P74" s="123">
        <f>'Pseudo-load coefficients'!P513</f>
        <v>1.6389445788072325</v>
      </c>
      <c r="Q74" s="123">
        <f>'Pseudo-load coefficients'!Q513</f>
        <v>1.3339792247565812</v>
      </c>
      <c r="R74" s="123">
        <f>'Pseudo-load coefficients'!R513</f>
        <v>1.8551789393459415</v>
      </c>
      <c r="S74" s="123">
        <f>'Pseudo-load coefficients'!S513</f>
        <v>7.0546355924773847</v>
      </c>
      <c r="T74" s="123">
        <f>'Pseudo-load coefficients'!T513</f>
        <v>7.7113861425089754</v>
      </c>
      <c r="U74" s="123">
        <f>'Pseudo-load coefficients'!U513</f>
        <v>6.1244943876860667</v>
      </c>
      <c r="V74" s="123">
        <f>'Pseudo-load coefficients'!V513</f>
        <v>6.0797105935031945</v>
      </c>
      <c r="W74" s="123">
        <f>'Pseudo-load coefficients'!W513</f>
        <v>5.7718213161053971</v>
      </c>
      <c r="X74" s="123">
        <f>'Pseudo-load coefficients'!X513</f>
        <v>0.96334240275326455</v>
      </c>
      <c r="Y74" s="123">
        <f>'Pseudo-load coefficients'!Y513</f>
        <v>1.0101211359837954</v>
      </c>
      <c r="Z74" s="123">
        <f>'Pseudo-load coefficients'!Z513</f>
        <v>1.5821722193444481</v>
      </c>
      <c r="AA74" s="123">
        <f>'Pseudo-load coefficients'!AA513</f>
        <v>0.97403163253443814</v>
      </c>
      <c r="AB74" s="123">
        <f>'Pseudo-load coefficients'!AB513</f>
        <v>10.88567881316431</v>
      </c>
      <c r="AC74" s="123">
        <f>'Pseudo-load coefficients'!AC513</f>
        <v>1</v>
      </c>
      <c r="AD74" s="123">
        <f>'Pseudo-load coefficients'!AD513</f>
        <v>1</v>
      </c>
      <c r="AE74" s="123">
        <f>'Pseudo-load coefficients'!AE513</f>
        <v>1</v>
      </c>
      <c r="AF74" s="123">
        <f>'Pseudo-load coefficients'!AF513</f>
        <v>1</v>
      </c>
      <c r="AG74" s="123">
        <f>'Pseudo-load coefficients'!AG513</f>
        <v>5.1463601532567056</v>
      </c>
      <c r="AH74" s="123">
        <f>'Pseudo-load coefficients'!AH513</f>
        <v>5.1463601532567056</v>
      </c>
      <c r="AI74" s="123">
        <f>'Pseudo-load coefficients'!AI513</f>
        <v>1</v>
      </c>
      <c r="AJ74" s="123">
        <f>'Pseudo-load coefficients'!AJ513</f>
        <v>1</v>
      </c>
      <c r="AK74" s="123">
        <f>'Pseudo-load coefficients'!AK513</f>
        <v>5.1463601532567056</v>
      </c>
      <c r="AL74" s="123">
        <f>'Pseudo-load coefficients'!AL513</f>
        <v>5.1463601532567056</v>
      </c>
      <c r="AM74" s="123">
        <f>'Pseudo-load coefficients'!AM513</f>
        <v>1</v>
      </c>
      <c r="AN74" s="123">
        <f>'Pseudo-load coefficients'!AN513</f>
        <v>1</v>
      </c>
      <c r="AO74" s="123">
        <f>'Pseudo-load coefficients'!AO513</f>
        <v>5.1463601532567056</v>
      </c>
      <c r="AP74" s="123">
        <f>'Pseudo-load coefficients'!AP513</f>
        <v>5.1463601532567056</v>
      </c>
      <c r="BH74" s="3"/>
    </row>
    <row r="75" spans="3:60" x14ac:dyDescent="0.25">
      <c r="E75" s="32"/>
      <c r="F75" t="s">
        <v>232</v>
      </c>
      <c r="G75" t="s">
        <v>342</v>
      </c>
      <c r="J75" s="123">
        <f>'Pseudo-load coefficients'!J514</f>
        <v>0</v>
      </c>
      <c r="K75" s="123">
        <f>'Pseudo-load coefficients'!K514</f>
        <v>0</v>
      </c>
      <c r="L75" s="123">
        <f>'Pseudo-load coefficients'!L514</f>
        <v>0</v>
      </c>
      <c r="M75" s="123">
        <f>'Pseudo-load coefficients'!M514</f>
        <v>0</v>
      </c>
      <c r="N75" s="123">
        <f>'Pseudo-load coefficients'!N514</f>
        <v>0</v>
      </c>
      <c r="O75" s="123">
        <f>'Pseudo-load coefficients'!O514</f>
        <v>0</v>
      </c>
      <c r="P75" s="123">
        <f>'Pseudo-load coefficients'!P514</f>
        <v>0</v>
      </c>
      <c r="Q75" s="123">
        <f>'Pseudo-load coefficients'!Q514</f>
        <v>0</v>
      </c>
      <c r="R75" s="123">
        <f>'Pseudo-load coefficients'!R514</f>
        <v>0</v>
      </c>
      <c r="S75" s="123">
        <f>'Pseudo-load coefficients'!S514</f>
        <v>0</v>
      </c>
      <c r="T75" s="123">
        <f>'Pseudo-load coefficients'!T514</f>
        <v>0</v>
      </c>
      <c r="U75" s="123">
        <f>'Pseudo-load coefficients'!U514</f>
        <v>0</v>
      </c>
      <c r="V75" s="123">
        <f>'Pseudo-load coefficients'!V514</f>
        <v>0</v>
      </c>
      <c r="W75" s="123">
        <f>'Pseudo-load coefficients'!W514</f>
        <v>0</v>
      </c>
      <c r="X75" s="123">
        <f>'Pseudo-load coefficients'!X514</f>
        <v>0</v>
      </c>
      <c r="Y75" s="123">
        <f>'Pseudo-load coefficients'!Y514</f>
        <v>0</v>
      </c>
      <c r="Z75" s="123">
        <f>'Pseudo-load coefficients'!Z514</f>
        <v>0</v>
      </c>
      <c r="AA75" s="123">
        <f>'Pseudo-load coefficients'!AA514</f>
        <v>0</v>
      </c>
      <c r="AB75" s="123">
        <f>'Pseudo-load coefficients'!AB514</f>
        <v>0</v>
      </c>
      <c r="AC75" s="123">
        <f>'Pseudo-load coefficients'!AC514</f>
        <v>0</v>
      </c>
      <c r="AD75" s="123">
        <f>'Pseudo-load coefficients'!AD514</f>
        <v>0</v>
      </c>
      <c r="AE75" s="123">
        <f>'Pseudo-load coefficients'!AE514</f>
        <v>0</v>
      </c>
      <c r="AF75" s="123">
        <f>'Pseudo-load coefficients'!AF514</f>
        <v>0</v>
      </c>
      <c r="AG75" s="123">
        <f>'Pseudo-load coefficients'!AG514</f>
        <v>0</v>
      </c>
      <c r="AH75" s="123">
        <f>'Pseudo-load coefficients'!AH514</f>
        <v>0</v>
      </c>
      <c r="AI75" s="123">
        <f>'Pseudo-load coefficients'!AI514</f>
        <v>0</v>
      </c>
      <c r="AJ75" s="123">
        <f>'Pseudo-load coefficients'!AJ514</f>
        <v>0</v>
      </c>
      <c r="AK75" s="123">
        <f>'Pseudo-load coefficients'!AK514</f>
        <v>0</v>
      </c>
      <c r="AL75" s="123">
        <f>'Pseudo-load coefficients'!AL514</f>
        <v>0</v>
      </c>
      <c r="AM75" s="123">
        <f>'Pseudo-load coefficients'!AM514</f>
        <v>0</v>
      </c>
      <c r="AN75" s="123">
        <f>'Pseudo-load coefficients'!AN514</f>
        <v>0</v>
      </c>
      <c r="AO75" s="123">
        <f>'Pseudo-load coefficients'!AO514</f>
        <v>0</v>
      </c>
      <c r="AP75" s="123">
        <f>'Pseudo-load coefficients'!AP514</f>
        <v>0</v>
      </c>
      <c r="BH75" s="3"/>
    </row>
    <row r="76" spans="3:60" x14ac:dyDescent="0.25">
      <c r="E76" s="32"/>
      <c r="F76" t="s">
        <v>233</v>
      </c>
      <c r="G76" t="s">
        <v>342</v>
      </c>
      <c r="J76" s="123">
        <f>'Pseudo-load coefficients'!J515</f>
        <v>1.6922249106213094</v>
      </c>
      <c r="K76" s="123">
        <f>'Pseudo-load coefficients'!K515</f>
        <v>1.9546625898424457</v>
      </c>
      <c r="L76" s="123">
        <f>'Pseudo-load coefficients'!L515</f>
        <v>0.67653120124937716</v>
      </c>
      <c r="M76" s="123">
        <f>'Pseudo-load coefficients'!M515</f>
        <v>1.7424624914289761</v>
      </c>
      <c r="N76" s="123">
        <f>'Pseudo-load coefficients'!N515</f>
        <v>1.8891928069643484</v>
      </c>
      <c r="O76" s="123">
        <f>'Pseudo-load coefficients'!O515</f>
        <v>0.61423983993483533</v>
      </c>
      <c r="P76" s="123">
        <f>'Pseudo-load coefficients'!P515</f>
        <v>1.6389445788072325</v>
      </c>
      <c r="Q76" s="123">
        <f>'Pseudo-load coefficients'!Q515</f>
        <v>1.3339792247565812</v>
      </c>
      <c r="R76" s="123">
        <f>'Pseudo-load coefficients'!R515</f>
        <v>1.8551789393459415</v>
      </c>
      <c r="S76" s="123">
        <f>'Pseudo-load coefficients'!S515</f>
        <v>7.0546355924773847</v>
      </c>
      <c r="T76" s="123">
        <f>'Pseudo-load coefficients'!T515</f>
        <v>7.7113861425089754</v>
      </c>
      <c r="U76" s="123">
        <f>'Pseudo-load coefficients'!U515</f>
        <v>6.1244943876860667</v>
      </c>
      <c r="V76" s="123">
        <f>'Pseudo-load coefficients'!V515</f>
        <v>6.0797105935031945</v>
      </c>
      <c r="W76" s="123">
        <f>'Pseudo-load coefficients'!W515</f>
        <v>5.7718213161053971</v>
      </c>
      <c r="X76" s="123">
        <f>'Pseudo-load coefficients'!X515</f>
        <v>0.96334240275326455</v>
      </c>
      <c r="Y76" s="123">
        <f>'Pseudo-load coefficients'!Y515</f>
        <v>1.0101211359837954</v>
      </c>
      <c r="Z76" s="123">
        <f>'Pseudo-load coefficients'!Z515</f>
        <v>1.5821722193444481</v>
      </c>
      <c r="AA76" s="123">
        <f>'Pseudo-load coefficients'!AA515</f>
        <v>0.97403163253443814</v>
      </c>
      <c r="AB76" s="123">
        <f>'Pseudo-load coefficients'!AB515</f>
        <v>10.88567881316431</v>
      </c>
      <c r="AC76" s="123">
        <f>'Pseudo-load coefficients'!AC515</f>
        <v>1</v>
      </c>
      <c r="AD76" s="123">
        <f>'Pseudo-load coefficients'!AD515</f>
        <v>1</v>
      </c>
      <c r="AE76" s="123">
        <f>'Pseudo-load coefficients'!AE515</f>
        <v>1</v>
      </c>
      <c r="AF76" s="123">
        <f>'Pseudo-load coefficients'!AF515</f>
        <v>1</v>
      </c>
      <c r="AG76" s="123">
        <f>'Pseudo-load coefficients'!AG515</f>
        <v>5.1463601532567056</v>
      </c>
      <c r="AH76" s="123">
        <f>'Pseudo-load coefficients'!AH515</f>
        <v>5.1463601532567056</v>
      </c>
      <c r="AI76" s="123">
        <f>'Pseudo-load coefficients'!AI515</f>
        <v>1</v>
      </c>
      <c r="AJ76" s="123">
        <f>'Pseudo-load coefficients'!AJ515</f>
        <v>1</v>
      </c>
      <c r="AK76" s="123">
        <f>'Pseudo-load coefficients'!AK515</f>
        <v>5.1463601532567056</v>
      </c>
      <c r="AL76" s="123">
        <f>'Pseudo-load coefficients'!AL515</f>
        <v>5.1463601532567056</v>
      </c>
      <c r="AM76" s="123">
        <f>'Pseudo-load coefficients'!AM515</f>
        <v>1</v>
      </c>
      <c r="AN76" s="123">
        <f>'Pseudo-load coefficients'!AN515</f>
        <v>1</v>
      </c>
      <c r="AO76" s="123">
        <f>'Pseudo-load coefficients'!AO515</f>
        <v>5.1463601532567056</v>
      </c>
      <c r="AP76" s="123">
        <f>'Pseudo-load coefficients'!AP515</f>
        <v>5.1463601532567056</v>
      </c>
      <c r="BH76" s="3"/>
    </row>
    <row r="77" spans="3:60" x14ac:dyDescent="0.25">
      <c r="E77" s="32"/>
      <c r="F77" t="s">
        <v>234</v>
      </c>
      <c r="G77" t="s">
        <v>342</v>
      </c>
      <c r="J77" s="123">
        <f>'Pseudo-load coefficients'!J516</f>
        <v>1.6922249106213094</v>
      </c>
      <c r="K77" s="123">
        <f>'Pseudo-load coefficients'!K516</f>
        <v>1.9546625898424457</v>
      </c>
      <c r="L77" s="123">
        <f>'Pseudo-load coefficients'!L516</f>
        <v>0.67653120124937716</v>
      </c>
      <c r="M77" s="123">
        <f>'Pseudo-load coefficients'!M516</f>
        <v>1.7424624914289761</v>
      </c>
      <c r="N77" s="123">
        <f>'Pseudo-load coefficients'!N516</f>
        <v>1.8891928069643484</v>
      </c>
      <c r="O77" s="123">
        <f>'Pseudo-load coefficients'!O516</f>
        <v>0.61423983993483533</v>
      </c>
      <c r="P77" s="123">
        <f>'Pseudo-load coefficients'!P516</f>
        <v>1.6389445788072325</v>
      </c>
      <c r="Q77" s="123">
        <f>'Pseudo-load coefficients'!Q516</f>
        <v>1.3339792247565812</v>
      </c>
      <c r="R77" s="123">
        <f>'Pseudo-load coefficients'!R516</f>
        <v>1.8551789393459415</v>
      </c>
      <c r="S77" s="123">
        <f>'Pseudo-load coefficients'!S516</f>
        <v>7.0546355924773847</v>
      </c>
      <c r="T77" s="123">
        <f>'Pseudo-load coefficients'!T516</f>
        <v>7.7113861425089754</v>
      </c>
      <c r="U77" s="123">
        <f>'Pseudo-load coefficients'!U516</f>
        <v>6.1244943876860667</v>
      </c>
      <c r="V77" s="123">
        <f>'Pseudo-load coefficients'!V516</f>
        <v>6.0797105935031945</v>
      </c>
      <c r="W77" s="123">
        <f>'Pseudo-load coefficients'!W516</f>
        <v>5.7718213161053971</v>
      </c>
      <c r="X77" s="123">
        <f>'Pseudo-load coefficients'!X516</f>
        <v>0.96334240275326455</v>
      </c>
      <c r="Y77" s="123">
        <f>'Pseudo-load coefficients'!Y516</f>
        <v>1.0101211359837954</v>
      </c>
      <c r="Z77" s="123">
        <f>'Pseudo-load coefficients'!Z516</f>
        <v>1.5821722193444481</v>
      </c>
      <c r="AA77" s="123">
        <f>'Pseudo-load coefficients'!AA516</f>
        <v>0.97403163253443814</v>
      </c>
      <c r="AB77" s="123">
        <f>'Pseudo-load coefficients'!AB516</f>
        <v>10.88567881316431</v>
      </c>
      <c r="AC77" s="123">
        <f>'Pseudo-load coefficients'!AC516</f>
        <v>1</v>
      </c>
      <c r="AD77" s="123">
        <f>'Pseudo-load coefficients'!AD516</f>
        <v>1</v>
      </c>
      <c r="AE77" s="123">
        <f>'Pseudo-load coefficients'!AE516</f>
        <v>1</v>
      </c>
      <c r="AF77" s="123">
        <f>'Pseudo-load coefficients'!AF516</f>
        <v>1</v>
      </c>
      <c r="AG77" s="123">
        <f>'Pseudo-load coefficients'!AG516</f>
        <v>5.1463601532567056</v>
      </c>
      <c r="AH77" s="123">
        <f>'Pseudo-load coefficients'!AH516</f>
        <v>5.1463601532567056</v>
      </c>
      <c r="AI77" s="123">
        <f>'Pseudo-load coefficients'!AI516</f>
        <v>1</v>
      </c>
      <c r="AJ77" s="123">
        <f>'Pseudo-load coefficients'!AJ516</f>
        <v>1</v>
      </c>
      <c r="AK77" s="123">
        <f>'Pseudo-load coefficients'!AK516</f>
        <v>5.1463601532567056</v>
      </c>
      <c r="AL77" s="123">
        <f>'Pseudo-load coefficients'!AL516</f>
        <v>5.1463601532567056</v>
      </c>
      <c r="AM77" s="123">
        <f>'Pseudo-load coefficients'!AM516</f>
        <v>1</v>
      </c>
      <c r="AN77" s="123">
        <f>'Pseudo-load coefficients'!AN516</f>
        <v>1</v>
      </c>
      <c r="AO77" s="123">
        <f>'Pseudo-load coefficients'!AO516</f>
        <v>5.1463601532567056</v>
      </c>
      <c r="AP77" s="123">
        <f>'Pseudo-load coefficients'!AP516</f>
        <v>5.1463601532567056</v>
      </c>
      <c r="BH77" s="3"/>
    </row>
    <row r="78" spans="3:60" x14ac:dyDescent="0.25">
      <c r="E78" s="32"/>
      <c r="F78" s="37" t="s">
        <v>235</v>
      </c>
      <c r="G78" s="37" t="s">
        <v>342</v>
      </c>
      <c r="H78" s="37"/>
      <c r="I78" s="37"/>
      <c r="J78" s="128">
        <f>'Pseudo-load coefficients'!J517</f>
        <v>1.6922249106213094</v>
      </c>
      <c r="K78" s="128">
        <f>'Pseudo-load coefficients'!K517</f>
        <v>1.9546625898424457</v>
      </c>
      <c r="L78" s="128">
        <f>'Pseudo-load coefficients'!L517</f>
        <v>0.67653120124937716</v>
      </c>
      <c r="M78" s="128">
        <f>'Pseudo-load coefficients'!M517</f>
        <v>1.7424624914289761</v>
      </c>
      <c r="N78" s="128">
        <f>'Pseudo-load coefficients'!N517</f>
        <v>1.8891928069643484</v>
      </c>
      <c r="O78" s="128">
        <f>'Pseudo-load coefficients'!O517</f>
        <v>0.61423983993483533</v>
      </c>
      <c r="P78" s="128">
        <f>'Pseudo-load coefficients'!P517</f>
        <v>1.6389445788072325</v>
      </c>
      <c r="Q78" s="128">
        <f>'Pseudo-load coefficients'!Q517</f>
        <v>1.3339792247565812</v>
      </c>
      <c r="R78" s="128">
        <f>'Pseudo-load coefficients'!R517</f>
        <v>1.8551789393459415</v>
      </c>
      <c r="S78" s="128">
        <f>'Pseudo-load coefficients'!S517</f>
        <v>7.0546355924773847</v>
      </c>
      <c r="T78" s="128">
        <f>'Pseudo-load coefficients'!T517</f>
        <v>7.7113861425089754</v>
      </c>
      <c r="U78" s="128">
        <f>'Pseudo-load coefficients'!U517</f>
        <v>6.1244943876860667</v>
      </c>
      <c r="V78" s="128">
        <f>'Pseudo-load coefficients'!V517</f>
        <v>6.0797105935031945</v>
      </c>
      <c r="W78" s="128">
        <f>'Pseudo-load coefficients'!W517</f>
        <v>5.7718213161053971</v>
      </c>
      <c r="X78" s="128">
        <f>'Pseudo-load coefficients'!X517</f>
        <v>0.96334240275326455</v>
      </c>
      <c r="Y78" s="128">
        <f>'Pseudo-load coefficients'!Y517</f>
        <v>1.0101211359837954</v>
      </c>
      <c r="Z78" s="128">
        <f>'Pseudo-load coefficients'!Z517</f>
        <v>1.5821722193444481</v>
      </c>
      <c r="AA78" s="128">
        <f>'Pseudo-load coefficients'!AA517</f>
        <v>0.97403163253443814</v>
      </c>
      <c r="AB78" s="128">
        <f>'Pseudo-load coefficients'!AB517</f>
        <v>10.88567881316431</v>
      </c>
      <c r="AC78" s="128">
        <f>'Pseudo-load coefficients'!AC517</f>
        <v>1</v>
      </c>
      <c r="AD78" s="128">
        <f>'Pseudo-load coefficients'!AD517</f>
        <v>1</v>
      </c>
      <c r="AE78" s="128">
        <f>'Pseudo-load coefficients'!AE517</f>
        <v>1</v>
      </c>
      <c r="AF78" s="128">
        <f>'Pseudo-load coefficients'!AF517</f>
        <v>1</v>
      </c>
      <c r="AG78" s="128">
        <f>'Pseudo-load coefficients'!AG517</f>
        <v>5.1463601532567056</v>
      </c>
      <c r="AH78" s="128">
        <f>'Pseudo-load coefficients'!AH517</f>
        <v>5.1463601532567056</v>
      </c>
      <c r="AI78" s="128">
        <f>'Pseudo-load coefficients'!AI517</f>
        <v>1</v>
      </c>
      <c r="AJ78" s="128">
        <f>'Pseudo-load coefficients'!AJ517</f>
        <v>1</v>
      </c>
      <c r="AK78" s="128">
        <f>'Pseudo-load coefficients'!AK517</f>
        <v>5.1463601532567056</v>
      </c>
      <c r="AL78" s="128">
        <f>'Pseudo-load coefficients'!AL517</f>
        <v>5.1463601532567056</v>
      </c>
      <c r="AM78" s="128">
        <f>'Pseudo-load coefficients'!AM517</f>
        <v>1</v>
      </c>
      <c r="AN78" s="128">
        <f>'Pseudo-load coefficients'!AN517</f>
        <v>1</v>
      </c>
      <c r="AO78" s="128">
        <f>'Pseudo-load coefficients'!AO517</f>
        <v>5.1463601532567056</v>
      </c>
      <c r="AP78" s="128">
        <f>'Pseudo-load coefficients'!AP517</f>
        <v>5.1463601532567056</v>
      </c>
      <c r="BH78" s="3"/>
    </row>
    <row r="79" spans="3:60" x14ac:dyDescent="0.25">
      <c r="E79" s="32"/>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c r="BH79" s="3"/>
    </row>
    <row r="80" spans="3:60" x14ac:dyDescent="0.25">
      <c r="E80" s="32" t="s">
        <v>620</v>
      </c>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c r="BH80" s="3"/>
    </row>
    <row r="81" spans="5:60" x14ac:dyDescent="0.25">
      <c r="E81" s="29" t="s">
        <v>621</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c r="BH81" s="3"/>
    </row>
    <row r="82" spans="5:60" x14ac:dyDescent="0.25">
      <c r="E82" s="32"/>
      <c r="F82" s="23" t="s">
        <v>227</v>
      </c>
      <c r="G82" s="23" t="s">
        <v>208</v>
      </c>
      <c r="H82" s="23"/>
      <c r="I82" s="23"/>
      <c r="J82" s="163">
        <f t="shared" ref="J82:AP82" si="1">J$56 * J34 * J70 / hours_in_year / $H45</f>
        <v>504.99710874443343</v>
      </c>
      <c r="K82" s="163">
        <f t="shared" si="1"/>
        <v>60.392894361435701</v>
      </c>
      <c r="L82" s="163">
        <f t="shared" si="1"/>
        <v>33.578561750203392</v>
      </c>
      <c r="M82" s="163">
        <f t="shared" si="1"/>
        <v>182.31384904907239</v>
      </c>
      <c r="N82" s="163">
        <f t="shared" si="1"/>
        <v>36.40078364710584</v>
      </c>
      <c r="O82" s="163">
        <f t="shared" si="1"/>
        <v>2.0099809253542964</v>
      </c>
      <c r="P82" s="163">
        <f t="shared" si="1"/>
        <v>6.2071734532913458</v>
      </c>
      <c r="Q82" s="163">
        <f t="shared" si="1"/>
        <v>0</v>
      </c>
      <c r="R82" s="163">
        <f t="shared" si="1"/>
        <v>0.12223192757129295</v>
      </c>
      <c r="S82" s="163">
        <f t="shared" si="1"/>
        <v>5.2665969954414221E-2</v>
      </c>
      <c r="T82" s="163">
        <f t="shared" si="1"/>
        <v>8.3428313819107061</v>
      </c>
      <c r="U82" s="163">
        <f t="shared" si="1"/>
        <v>142.13772728532985</v>
      </c>
      <c r="V82" s="163">
        <f t="shared" si="1"/>
        <v>9.2301055788967492</v>
      </c>
      <c r="W82" s="163">
        <f t="shared" si="1"/>
        <v>66.799467540493808</v>
      </c>
      <c r="X82" s="163">
        <f t="shared" si="1"/>
        <v>1.6964584621122953</v>
      </c>
      <c r="Y82" s="163">
        <f t="shared" si="1"/>
        <v>2.3031073257019976</v>
      </c>
      <c r="Z82" s="163">
        <f t="shared" si="1"/>
        <v>0.75886355090548818</v>
      </c>
      <c r="AA82" s="163">
        <f t="shared" si="1"/>
        <v>5.1230948297946739E-3</v>
      </c>
      <c r="AB82" s="163">
        <f t="shared" si="1"/>
        <v>7.3976982419468387</v>
      </c>
      <c r="AC82" s="163">
        <f t="shared" si="1"/>
        <v>-0.79790983444730024</v>
      </c>
      <c r="AD82" s="163">
        <f t="shared" si="1"/>
        <v>0</v>
      </c>
      <c r="AE82" s="163">
        <f t="shared" si="1"/>
        <v>-44.705171719183575</v>
      </c>
      <c r="AF82" s="163">
        <f t="shared" si="1"/>
        <v>0</v>
      </c>
      <c r="AG82" s="163">
        <f t="shared" si="1"/>
        <v>-3.6491103124814575</v>
      </c>
      <c r="AH82" s="163">
        <f t="shared" si="1"/>
        <v>0</v>
      </c>
      <c r="AI82" s="163">
        <f t="shared" si="1"/>
        <v>-0.42392083025114152</v>
      </c>
      <c r="AJ82" s="163">
        <f t="shared" si="1"/>
        <v>0</v>
      </c>
      <c r="AK82" s="163">
        <f t="shared" si="1"/>
        <v>0</v>
      </c>
      <c r="AL82" s="163">
        <f t="shared" si="1"/>
        <v>0</v>
      </c>
      <c r="AM82" s="163">
        <f t="shared" si="1"/>
        <v>-77.108292462041263</v>
      </c>
      <c r="AN82" s="163">
        <f t="shared" si="1"/>
        <v>0</v>
      </c>
      <c r="AO82" s="163">
        <f t="shared" si="1"/>
        <v>-62.644164641336609</v>
      </c>
      <c r="AP82" s="163">
        <f t="shared" si="1"/>
        <v>0</v>
      </c>
      <c r="BH82" s="3"/>
    </row>
    <row r="83" spans="5:60" x14ac:dyDescent="0.25">
      <c r="E83" s="32"/>
      <c r="F83" t="s">
        <v>228</v>
      </c>
      <c r="G83" t="s">
        <v>208</v>
      </c>
      <c r="J83" s="92">
        <f t="shared" ref="J83:AP83" si="2">J$56 * J35 * J71 / hours_in_year / $H46</f>
        <v>0</v>
      </c>
      <c r="K83" s="92">
        <f t="shared" si="2"/>
        <v>0</v>
      </c>
      <c r="L83" s="92">
        <f t="shared" si="2"/>
        <v>0</v>
      </c>
      <c r="M83" s="92">
        <f t="shared" si="2"/>
        <v>0</v>
      </c>
      <c r="N83" s="92">
        <f t="shared" si="2"/>
        <v>0</v>
      </c>
      <c r="O83" s="92">
        <f t="shared" si="2"/>
        <v>0</v>
      </c>
      <c r="P83" s="92">
        <f t="shared" si="2"/>
        <v>0</v>
      </c>
      <c r="Q83" s="92">
        <f t="shared" si="2"/>
        <v>0</v>
      </c>
      <c r="R83" s="92">
        <f t="shared" si="2"/>
        <v>0</v>
      </c>
      <c r="S83" s="92">
        <f t="shared" si="2"/>
        <v>0</v>
      </c>
      <c r="T83" s="92">
        <f t="shared" si="2"/>
        <v>0</v>
      </c>
      <c r="U83" s="92">
        <f t="shared" si="2"/>
        <v>0</v>
      </c>
      <c r="V83" s="92">
        <f t="shared" si="2"/>
        <v>0</v>
      </c>
      <c r="W83" s="92">
        <f t="shared" si="2"/>
        <v>0</v>
      </c>
      <c r="X83" s="92">
        <f t="shared" si="2"/>
        <v>0</v>
      </c>
      <c r="Y83" s="92">
        <f t="shared" si="2"/>
        <v>0</v>
      </c>
      <c r="Z83" s="92">
        <f t="shared" si="2"/>
        <v>0</v>
      </c>
      <c r="AA83" s="92">
        <f t="shared" si="2"/>
        <v>0</v>
      </c>
      <c r="AB83" s="92">
        <f t="shared" si="2"/>
        <v>0</v>
      </c>
      <c r="AC83" s="92">
        <f t="shared" si="2"/>
        <v>0</v>
      </c>
      <c r="AD83" s="92">
        <f t="shared" si="2"/>
        <v>0</v>
      </c>
      <c r="AE83" s="92">
        <f t="shared" si="2"/>
        <v>0</v>
      </c>
      <c r="AF83" s="92">
        <f t="shared" si="2"/>
        <v>0</v>
      </c>
      <c r="AG83" s="92">
        <f t="shared" si="2"/>
        <v>0</v>
      </c>
      <c r="AH83" s="92">
        <f t="shared" si="2"/>
        <v>0</v>
      </c>
      <c r="AI83" s="92">
        <f t="shared" si="2"/>
        <v>0</v>
      </c>
      <c r="AJ83" s="92">
        <f t="shared" si="2"/>
        <v>0</v>
      </c>
      <c r="AK83" s="92">
        <f t="shared" si="2"/>
        <v>0</v>
      </c>
      <c r="AL83" s="92">
        <f t="shared" si="2"/>
        <v>0</v>
      </c>
      <c r="AM83" s="92">
        <f t="shared" si="2"/>
        <v>0</v>
      </c>
      <c r="AN83" s="92">
        <f t="shared" si="2"/>
        <v>0</v>
      </c>
      <c r="AO83" s="92">
        <f t="shared" si="2"/>
        <v>0</v>
      </c>
      <c r="AP83" s="92">
        <f t="shared" si="2"/>
        <v>0</v>
      </c>
      <c r="BH83" s="3"/>
    </row>
    <row r="84" spans="5:60" x14ac:dyDescent="0.25">
      <c r="E84" s="32"/>
      <c r="F84" t="s">
        <v>229</v>
      </c>
      <c r="G84" t="s">
        <v>208</v>
      </c>
      <c r="J84" s="92">
        <f t="shared" ref="J84:AP84" si="3">J$56 * J36 * J72 / hours_in_year / $H47</f>
        <v>0</v>
      </c>
      <c r="K84" s="92">
        <f t="shared" si="3"/>
        <v>0</v>
      </c>
      <c r="L84" s="92">
        <f t="shared" si="3"/>
        <v>0</v>
      </c>
      <c r="M84" s="92">
        <f t="shared" si="3"/>
        <v>0</v>
      </c>
      <c r="N84" s="92">
        <f t="shared" si="3"/>
        <v>0</v>
      </c>
      <c r="O84" s="92">
        <f t="shared" si="3"/>
        <v>0</v>
      </c>
      <c r="P84" s="92">
        <f t="shared" si="3"/>
        <v>0</v>
      </c>
      <c r="Q84" s="92">
        <f t="shared" si="3"/>
        <v>0</v>
      </c>
      <c r="R84" s="92">
        <f t="shared" si="3"/>
        <v>0</v>
      </c>
      <c r="S84" s="92">
        <f t="shared" si="3"/>
        <v>0</v>
      </c>
      <c r="T84" s="92">
        <f t="shared" si="3"/>
        <v>0</v>
      </c>
      <c r="U84" s="92">
        <f t="shared" si="3"/>
        <v>0</v>
      </c>
      <c r="V84" s="92">
        <f t="shared" si="3"/>
        <v>0</v>
      </c>
      <c r="W84" s="92">
        <f t="shared" si="3"/>
        <v>0</v>
      </c>
      <c r="X84" s="92">
        <f t="shared" si="3"/>
        <v>0</v>
      </c>
      <c r="Y84" s="92">
        <f t="shared" si="3"/>
        <v>0</v>
      </c>
      <c r="Z84" s="92">
        <f t="shared" si="3"/>
        <v>0</v>
      </c>
      <c r="AA84" s="92">
        <f t="shared" si="3"/>
        <v>0</v>
      </c>
      <c r="AB84" s="92">
        <f t="shared" si="3"/>
        <v>0</v>
      </c>
      <c r="AC84" s="92">
        <f t="shared" si="3"/>
        <v>0</v>
      </c>
      <c r="AD84" s="92">
        <f t="shared" si="3"/>
        <v>0</v>
      </c>
      <c r="AE84" s="92">
        <f t="shared" si="3"/>
        <v>0</v>
      </c>
      <c r="AF84" s="92">
        <f t="shared" si="3"/>
        <v>0</v>
      </c>
      <c r="AG84" s="92">
        <f t="shared" si="3"/>
        <v>0</v>
      </c>
      <c r="AH84" s="92">
        <f t="shared" si="3"/>
        <v>0</v>
      </c>
      <c r="AI84" s="92">
        <f t="shared" si="3"/>
        <v>0</v>
      </c>
      <c r="AJ84" s="92">
        <f t="shared" si="3"/>
        <v>0</v>
      </c>
      <c r="AK84" s="92">
        <f t="shared" si="3"/>
        <v>0</v>
      </c>
      <c r="AL84" s="92">
        <f t="shared" si="3"/>
        <v>0</v>
      </c>
      <c r="AM84" s="92">
        <f t="shared" si="3"/>
        <v>0</v>
      </c>
      <c r="AN84" s="92">
        <f t="shared" si="3"/>
        <v>0</v>
      </c>
      <c r="AO84" s="92">
        <f t="shared" si="3"/>
        <v>0</v>
      </c>
      <c r="AP84" s="92">
        <f t="shared" si="3"/>
        <v>0</v>
      </c>
      <c r="BH84" s="3"/>
    </row>
    <row r="85" spans="5:60" x14ac:dyDescent="0.25">
      <c r="E85" s="32"/>
      <c r="F85" t="s">
        <v>230</v>
      </c>
      <c r="G85" t="s">
        <v>208</v>
      </c>
      <c r="J85" s="92">
        <f t="shared" ref="J85:AP85" si="4">J$56 * J37 * J73 / hours_in_year / $H48</f>
        <v>489.45048978133565</v>
      </c>
      <c r="K85" s="92">
        <f t="shared" si="4"/>
        <v>57.829105844645653</v>
      </c>
      <c r="L85" s="92">
        <f t="shared" si="4"/>
        <v>35.086650712891078</v>
      </c>
      <c r="M85" s="92">
        <f t="shared" si="4"/>
        <v>178.856875456571</v>
      </c>
      <c r="N85" s="92">
        <f t="shared" si="4"/>
        <v>35.244296141456736</v>
      </c>
      <c r="O85" s="92">
        <f t="shared" si="4"/>
        <v>2.1190521264677979</v>
      </c>
      <c r="P85" s="92">
        <f t="shared" si="4"/>
        <v>6.0101460109306126</v>
      </c>
      <c r="Q85" s="92">
        <f t="shared" si="4"/>
        <v>0</v>
      </c>
      <c r="R85" s="92">
        <f t="shared" si="4"/>
        <v>0.11841698585028124</v>
      </c>
      <c r="S85" s="92">
        <f t="shared" si="4"/>
        <v>4.672678008403066E-2</v>
      </c>
      <c r="T85" s="92">
        <f t="shared" si="4"/>
        <v>7.4111429835017395</v>
      </c>
      <c r="U85" s="92">
        <f t="shared" si="4"/>
        <v>126.30803545108036</v>
      </c>
      <c r="V85" s="92">
        <f t="shared" si="4"/>
        <v>8.2021608544238482</v>
      </c>
      <c r="W85" s="92">
        <f t="shared" si="4"/>
        <v>59.360098654741925</v>
      </c>
      <c r="X85" s="92">
        <f t="shared" si="4"/>
        <v>1.6702416868138223</v>
      </c>
      <c r="Y85" s="92">
        <f t="shared" si="4"/>
        <v>2.1398808029123249</v>
      </c>
      <c r="Z85" s="92">
        <f t="shared" si="4"/>
        <v>0.68287680663753358</v>
      </c>
      <c r="AA85" s="92">
        <f t="shared" si="4"/>
        <v>5.2834608826170847E-3</v>
      </c>
      <c r="AB85" s="92">
        <f t="shared" si="4"/>
        <v>6.1670845518313921</v>
      </c>
      <c r="AC85" s="92">
        <f t="shared" si="4"/>
        <v>-0.78611806349487712</v>
      </c>
      <c r="AD85" s="92">
        <f t="shared" si="4"/>
        <v>0</v>
      </c>
      <c r="AE85" s="92">
        <f t="shared" si="4"/>
        <v>-44.04450415683111</v>
      </c>
      <c r="AF85" s="92">
        <f t="shared" si="4"/>
        <v>0</v>
      </c>
      <c r="AG85" s="92">
        <f t="shared" si="4"/>
        <v>-3.2427136940818517</v>
      </c>
      <c r="AH85" s="92">
        <f t="shared" si="4"/>
        <v>0</v>
      </c>
      <c r="AI85" s="92">
        <f t="shared" si="4"/>
        <v>-0.41765599039521334</v>
      </c>
      <c r="AJ85" s="92">
        <f t="shared" si="4"/>
        <v>0</v>
      </c>
      <c r="AK85" s="92">
        <f t="shared" si="4"/>
        <v>0</v>
      </c>
      <c r="AL85" s="92">
        <f t="shared" si="4"/>
        <v>0</v>
      </c>
      <c r="AM85" s="92">
        <f t="shared" si="4"/>
        <v>-75.968761046346074</v>
      </c>
      <c r="AN85" s="92">
        <f t="shared" si="4"/>
        <v>0</v>
      </c>
      <c r="AO85" s="92">
        <f t="shared" si="4"/>
        <v>-55.667566376924256</v>
      </c>
      <c r="AP85" s="92">
        <f t="shared" si="4"/>
        <v>0</v>
      </c>
      <c r="BH85" s="3"/>
    </row>
    <row r="86" spans="5:60" x14ac:dyDescent="0.25">
      <c r="E86" s="32"/>
      <c r="F86" t="s">
        <v>231</v>
      </c>
      <c r="G86" t="s">
        <v>208</v>
      </c>
      <c r="J86" s="92">
        <f t="shared" ref="J86:AP86" si="5">J$56 * J38 * J74 / hours_in_year / $H49</f>
        <v>484.2029699103856</v>
      </c>
      <c r="K86" s="92">
        <f t="shared" si="5"/>
        <v>57.209105684517866</v>
      </c>
      <c r="L86" s="92">
        <f t="shared" si="5"/>
        <v>34.71047804442928</v>
      </c>
      <c r="M86" s="92">
        <f t="shared" si="5"/>
        <v>176.93930661639334</v>
      </c>
      <c r="N86" s="92">
        <f t="shared" si="5"/>
        <v>34.86643331732806</v>
      </c>
      <c r="O86" s="92">
        <f t="shared" si="5"/>
        <v>2.0963332440202871</v>
      </c>
      <c r="P86" s="92">
        <f t="shared" si="5"/>
        <v>5.9457097476555276</v>
      </c>
      <c r="Q86" s="92">
        <f t="shared" si="5"/>
        <v>0</v>
      </c>
      <c r="R86" s="92">
        <f t="shared" si="5"/>
        <v>0.11714740802927431</v>
      </c>
      <c r="S86" s="92">
        <f t="shared" si="5"/>
        <v>4.6225810706911417E-2</v>
      </c>
      <c r="T86" s="92">
        <f t="shared" si="5"/>
        <v>7.3316862848482112</v>
      </c>
      <c r="U86" s="92">
        <f t="shared" si="5"/>
        <v>124.95385573376856</v>
      </c>
      <c r="V86" s="92">
        <f t="shared" si="5"/>
        <v>8.1142234573491283</v>
      </c>
      <c r="W86" s="92">
        <f t="shared" si="5"/>
        <v>58.72368434167938</v>
      </c>
      <c r="X86" s="92">
        <f t="shared" si="5"/>
        <v>1.6523346121988591</v>
      </c>
      <c r="Y86" s="92">
        <f t="shared" si="5"/>
        <v>2.1169386110682353</v>
      </c>
      <c r="Z86" s="92">
        <f t="shared" si="5"/>
        <v>0.67555551533830072</v>
      </c>
      <c r="AA86" s="92">
        <f t="shared" si="5"/>
        <v>5.2268155905032558E-3</v>
      </c>
      <c r="AB86" s="92">
        <f t="shared" si="5"/>
        <v>6.1009657116070786</v>
      </c>
      <c r="AC86" s="92">
        <f t="shared" si="5"/>
        <v>-0.777689897122125</v>
      </c>
      <c r="AD86" s="92">
        <f t="shared" si="5"/>
        <v>0</v>
      </c>
      <c r="AE86" s="92">
        <f t="shared" si="5"/>
        <v>-43.572292123960601</v>
      </c>
      <c r="AF86" s="92">
        <f t="shared" si="5"/>
        <v>0</v>
      </c>
      <c r="AG86" s="92">
        <f t="shared" si="5"/>
        <v>-3.2079477577905253</v>
      </c>
      <c r="AH86" s="92">
        <f t="shared" si="5"/>
        <v>0</v>
      </c>
      <c r="AI86" s="92">
        <f t="shared" si="5"/>
        <v>-0.4131781971258689</v>
      </c>
      <c r="AJ86" s="92">
        <f t="shared" si="5"/>
        <v>0</v>
      </c>
      <c r="AK86" s="92">
        <f t="shared" si="5"/>
        <v>0</v>
      </c>
      <c r="AL86" s="92">
        <f t="shared" si="5"/>
        <v>0</v>
      </c>
      <c r="AM86" s="92">
        <f t="shared" si="5"/>
        <v>-75.154281152086995</v>
      </c>
      <c r="AN86" s="92">
        <f t="shared" si="5"/>
        <v>0</v>
      </c>
      <c r="AO86" s="92">
        <f t="shared" si="5"/>
        <v>-55.070740616547873</v>
      </c>
      <c r="AP86" s="92">
        <f t="shared" si="5"/>
        <v>0</v>
      </c>
      <c r="BH86" s="3"/>
    </row>
    <row r="87" spans="5:60" x14ac:dyDescent="0.25">
      <c r="E87" s="32"/>
      <c r="F87" t="s">
        <v>232</v>
      </c>
      <c r="G87" t="s">
        <v>208</v>
      </c>
      <c r="J87" s="92">
        <f t="shared" ref="J87:AP87" si="6">J$56 * J39 * J75 / hours_in_year / $H50</f>
        <v>0</v>
      </c>
      <c r="K87" s="92">
        <f t="shared" si="6"/>
        <v>0</v>
      </c>
      <c r="L87" s="92">
        <f t="shared" si="6"/>
        <v>0</v>
      </c>
      <c r="M87" s="92">
        <f t="shared" si="6"/>
        <v>0</v>
      </c>
      <c r="N87" s="92">
        <f t="shared" si="6"/>
        <v>0</v>
      </c>
      <c r="O87" s="92">
        <f t="shared" si="6"/>
        <v>0</v>
      </c>
      <c r="P87" s="92">
        <f t="shared" si="6"/>
        <v>0</v>
      </c>
      <c r="Q87" s="92">
        <f t="shared" si="6"/>
        <v>0</v>
      </c>
      <c r="R87" s="92">
        <f t="shared" si="6"/>
        <v>0</v>
      </c>
      <c r="S87" s="92">
        <f t="shared" si="6"/>
        <v>0</v>
      </c>
      <c r="T87" s="92">
        <f t="shared" si="6"/>
        <v>0</v>
      </c>
      <c r="U87" s="92">
        <f t="shared" si="6"/>
        <v>0</v>
      </c>
      <c r="V87" s="92">
        <f t="shared" si="6"/>
        <v>0</v>
      </c>
      <c r="W87" s="92">
        <f t="shared" si="6"/>
        <v>0</v>
      </c>
      <c r="X87" s="92">
        <f t="shared" si="6"/>
        <v>0</v>
      </c>
      <c r="Y87" s="92">
        <f t="shared" si="6"/>
        <v>0</v>
      </c>
      <c r="Z87" s="92">
        <f t="shared" si="6"/>
        <v>0</v>
      </c>
      <c r="AA87" s="92">
        <f t="shared" si="6"/>
        <v>0</v>
      </c>
      <c r="AB87" s="92">
        <f t="shared" si="6"/>
        <v>0</v>
      </c>
      <c r="AC87" s="92">
        <f t="shared" si="6"/>
        <v>0</v>
      </c>
      <c r="AD87" s="92">
        <f t="shared" si="6"/>
        <v>0</v>
      </c>
      <c r="AE87" s="92">
        <f t="shared" si="6"/>
        <v>0</v>
      </c>
      <c r="AF87" s="92">
        <f t="shared" si="6"/>
        <v>0</v>
      </c>
      <c r="AG87" s="92">
        <f t="shared" si="6"/>
        <v>0</v>
      </c>
      <c r="AH87" s="92">
        <f t="shared" si="6"/>
        <v>0</v>
      </c>
      <c r="AI87" s="92">
        <f t="shared" si="6"/>
        <v>0</v>
      </c>
      <c r="AJ87" s="92">
        <f t="shared" si="6"/>
        <v>0</v>
      </c>
      <c r="AK87" s="92">
        <f t="shared" si="6"/>
        <v>0</v>
      </c>
      <c r="AL87" s="92">
        <f t="shared" si="6"/>
        <v>0</v>
      </c>
      <c r="AM87" s="92">
        <f t="shared" si="6"/>
        <v>0</v>
      </c>
      <c r="AN87" s="92">
        <f t="shared" si="6"/>
        <v>0</v>
      </c>
      <c r="AO87" s="92">
        <f t="shared" si="6"/>
        <v>0</v>
      </c>
      <c r="AP87" s="92">
        <f t="shared" si="6"/>
        <v>0</v>
      </c>
      <c r="BH87" s="3"/>
    </row>
    <row r="88" spans="5:60" x14ac:dyDescent="0.25">
      <c r="E88" s="32"/>
      <c r="F88" t="s">
        <v>233</v>
      </c>
      <c r="G88" t="s">
        <v>208</v>
      </c>
      <c r="J88" s="92">
        <f t="shared" ref="J88:AP88" si="7">J$56 * J40 * J76 / hours_in_year / $H51</f>
        <v>479.99250930246927</v>
      </c>
      <c r="K88" s="92">
        <f t="shared" si="7"/>
        <v>56.711635200304677</v>
      </c>
      <c r="L88" s="92">
        <f t="shared" si="7"/>
        <v>34.40864780056468</v>
      </c>
      <c r="M88" s="92">
        <f t="shared" si="7"/>
        <v>175.40070395016383</v>
      </c>
      <c r="N88" s="92">
        <f t="shared" si="7"/>
        <v>34.563246940655645</v>
      </c>
      <c r="O88" s="92">
        <f t="shared" si="7"/>
        <v>2.0781042592896761</v>
      </c>
      <c r="P88" s="92">
        <f t="shared" si="7"/>
        <v>5.8940079237628717</v>
      </c>
      <c r="Q88" s="92">
        <f t="shared" si="7"/>
        <v>0</v>
      </c>
      <c r="R88" s="92">
        <f t="shared" si="7"/>
        <v>0.11612873491597629</v>
      </c>
      <c r="S88" s="92">
        <f t="shared" si="7"/>
        <v>4.5823847135546977E-2</v>
      </c>
      <c r="T88" s="92">
        <f t="shared" si="7"/>
        <v>7.2679324910669232</v>
      </c>
      <c r="U88" s="92">
        <f t="shared" si="7"/>
        <v>123.86730046651842</v>
      </c>
      <c r="V88" s="92">
        <f t="shared" si="7"/>
        <v>8.0436649925026149</v>
      </c>
      <c r="W88" s="92">
        <f t="shared" si="7"/>
        <v>58.21304360827348</v>
      </c>
      <c r="X88" s="92">
        <f t="shared" si="7"/>
        <v>1.6379664851362605</v>
      </c>
      <c r="Y88" s="92">
        <f t="shared" si="7"/>
        <v>2.0985304492328596</v>
      </c>
      <c r="Z88" s="92">
        <f t="shared" si="7"/>
        <v>0.66968111955275034</v>
      </c>
      <c r="AA88" s="92">
        <f t="shared" si="7"/>
        <v>5.1813650201510538E-3</v>
      </c>
      <c r="AB88" s="92">
        <f t="shared" si="7"/>
        <v>6.0479138358539739</v>
      </c>
      <c r="AC88" s="92">
        <f t="shared" si="7"/>
        <v>-0.77092737627758479</v>
      </c>
      <c r="AD88" s="92">
        <f t="shared" si="7"/>
        <v>0</v>
      </c>
      <c r="AE88" s="92">
        <f t="shared" si="7"/>
        <v>-43.193402627230512</v>
      </c>
      <c r="AF88" s="92">
        <f t="shared" si="7"/>
        <v>0</v>
      </c>
      <c r="AG88" s="92">
        <f t="shared" si="7"/>
        <v>-3.1800525598966951</v>
      </c>
      <c r="AH88" s="92">
        <f t="shared" si="7"/>
        <v>0</v>
      </c>
      <c r="AI88" s="92">
        <f t="shared" si="7"/>
        <v>-0.40958534323781792</v>
      </c>
      <c r="AJ88" s="92">
        <f t="shared" si="7"/>
        <v>0</v>
      </c>
      <c r="AK88" s="92">
        <f t="shared" si="7"/>
        <v>0</v>
      </c>
      <c r="AL88" s="92">
        <f t="shared" si="7"/>
        <v>0</v>
      </c>
      <c r="AM88" s="92">
        <f t="shared" si="7"/>
        <v>0</v>
      </c>
      <c r="AN88" s="92">
        <f t="shared" si="7"/>
        <v>0</v>
      </c>
      <c r="AO88" s="92">
        <f t="shared" si="7"/>
        <v>0</v>
      </c>
      <c r="AP88" s="92">
        <f t="shared" si="7"/>
        <v>0</v>
      </c>
      <c r="BH88" s="3"/>
    </row>
    <row r="89" spans="5:60" x14ac:dyDescent="0.25">
      <c r="E89" s="32"/>
      <c r="F89" t="s">
        <v>234</v>
      </c>
      <c r="G89" t="s">
        <v>208</v>
      </c>
      <c r="J89" s="92">
        <f t="shared" ref="J89:AP89" si="8">J$56 * J41 * J77 / hours_in_year / $H52</f>
        <v>470.0021259489647</v>
      </c>
      <c r="K89" s="92">
        <f t="shared" si="8"/>
        <v>55.531260579295491</v>
      </c>
      <c r="L89" s="92">
        <f t="shared" si="8"/>
        <v>33.692479161385471</v>
      </c>
      <c r="M89" s="92">
        <f t="shared" si="8"/>
        <v>171.74997974306487</v>
      </c>
      <c r="N89" s="92">
        <f t="shared" si="8"/>
        <v>33.843860533186934</v>
      </c>
      <c r="O89" s="92">
        <f t="shared" si="8"/>
        <v>2.0348513797207328</v>
      </c>
      <c r="P89" s="92">
        <f t="shared" si="8"/>
        <v>5.7713322621519128</v>
      </c>
      <c r="Q89" s="92">
        <f t="shared" si="8"/>
        <v>0</v>
      </c>
      <c r="R89" s="92">
        <f t="shared" si="8"/>
        <v>0</v>
      </c>
      <c r="S89" s="92">
        <f t="shared" si="8"/>
        <v>4.4870086835658581E-2</v>
      </c>
      <c r="T89" s="92">
        <f t="shared" si="8"/>
        <v>7.1166604808460407</v>
      </c>
      <c r="U89" s="92">
        <f t="shared" si="8"/>
        <v>121.28917311527583</v>
      </c>
      <c r="V89" s="92">
        <f t="shared" si="8"/>
        <v>7.8762471780891259</v>
      </c>
      <c r="W89" s="92">
        <f t="shared" si="8"/>
        <v>0</v>
      </c>
      <c r="X89" s="92">
        <f t="shared" si="8"/>
        <v>1.6038744674702266</v>
      </c>
      <c r="Y89" s="92">
        <f t="shared" si="8"/>
        <v>2.0548524266376629</v>
      </c>
      <c r="Z89" s="92">
        <f t="shared" si="8"/>
        <v>0.65574262889034685</v>
      </c>
      <c r="AA89" s="92">
        <f t="shared" si="8"/>
        <v>5.0735220395991872E-3</v>
      </c>
      <c r="AB89" s="92">
        <f t="shared" si="8"/>
        <v>5.9220348345400788</v>
      </c>
      <c r="AC89" s="92">
        <f t="shared" si="8"/>
        <v>-0.75488158415070983</v>
      </c>
      <c r="AD89" s="92">
        <f t="shared" si="8"/>
        <v>0</v>
      </c>
      <c r="AE89" s="92">
        <f t="shared" si="8"/>
        <v>-42.294391408877559</v>
      </c>
      <c r="AF89" s="92">
        <f t="shared" si="8"/>
        <v>0</v>
      </c>
      <c r="AG89" s="92">
        <f t="shared" si="8"/>
        <v>-3.1138641433236325</v>
      </c>
      <c r="AH89" s="92">
        <f t="shared" si="8"/>
        <v>0</v>
      </c>
      <c r="AI89" s="92">
        <f t="shared" si="8"/>
        <v>0</v>
      </c>
      <c r="AJ89" s="92">
        <f t="shared" si="8"/>
        <v>0</v>
      </c>
      <c r="AK89" s="92">
        <f t="shared" si="8"/>
        <v>0</v>
      </c>
      <c r="AL89" s="92">
        <f t="shared" si="8"/>
        <v>0</v>
      </c>
      <c r="AM89" s="92">
        <f t="shared" si="8"/>
        <v>0</v>
      </c>
      <c r="AN89" s="92">
        <f t="shared" si="8"/>
        <v>0</v>
      </c>
      <c r="AO89" s="92">
        <f t="shared" si="8"/>
        <v>0</v>
      </c>
      <c r="AP89" s="92">
        <f t="shared" si="8"/>
        <v>0</v>
      </c>
      <c r="BH89" s="3"/>
    </row>
    <row r="90" spans="5:60" x14ac:dyDescent="0.25">
      <c r="E90" s="32"/>
      <c r="F90" s="37" t="s">
        <v>235</v>
      </c>
      <c r="G90" s="37" t="s">
        <v>208</v>
      </c>
      <c r="H90" s="37"/>
      <c r="I90" s="37"/>
      <c r="J90" s="82">
        <f t="shared" ref="J90:AP90" si="9">J$56 * J42 * J78 / hours_in_year / $H53</f>
        <v>455.77270378720698</v>
      </c>
      <c r="K90" s="82">
        <f t="shared" si="9"/>
        <v>53.85003892872966</v>
      </c>
      <c r="L90" s="82">
        <f t="shared" si="9"/>
        <v>32.672431627141684</v>
      </c>
      <c r="M90" s="82">
        <f t="shared" si="9"/>
        <v>166.55020971414638</v>
      </c>
      <c r="N90" s="82">
        <f t="shared" si="9"/>
        <v>32.819229893191363</v>
      </c>
      <c r="O90" s="82">
        <f t="shared" si="9"/>
        <v>1.9732457874906555</v>
      </c>
      <c r="P90" s="82">
        <f t="shared" si="9"/>
        <v>5.5966038542152026</v>
      </c>
      <c r="Q90" s="82">
        <f t="shared" si="9"/>
        <v>0</v>
      </c>
      <c r="R90" s="82">
        <f t="shared" si="9"/>
        <v>0</v>
      </c>
      <c r="S90" s="82">
        <f t="shared" si="9"/>
        <v>4.351163466540469E-2</v>
      </c>
      <c r="T90" s="82">
        <f t="shared" si="9"/>
        <v>6.901201952526848</v>
      </c>
      <c r="U90" s="82">
        <f t="shared" si="9"/>
        <v>117.61711558059315</v>
      </c>
      <c r="V90" s="82">
        <f t="shared" si="9"/>
        <v>0</v>
      </c>
      <c r="W90" s="82">
        <f t="shared" si="9"/>
        <v>0</v>
      </c>
      <c r="X90" s="82">
        <f t="shared" si="9"/>
        <v>1.555316800106449</v>
      </c>
      <c r="Y90" s="82">
        <f t="shared" si="9"/>
        <v>1.9926412981247794</v>
      </c>
      <c r="Z90" s="82">
        <f t="shared" si="9"/>
        <v>0.63588987040100597</v>
      </c>
      <c r="AA90" s="82">
        <f t="shared" si="9"/>
        <v>4.919919996198477E-3</v>
      </c>
      <c r="AB90" s="82">
        <f t="shared" si="9"/>
        <v>5.7427438716595072</v>
      </c>
      <c r="AC90" s="82">
        <f t="shared" si="9"/>
        <v>0</v>
      </c>
      <c r="AD90" s="82">
        <f t="shared" si="9"/>
        <v>0</v>
      </c>
      <c r="AE90" s="82">
        <f t="shared" si="9"/>
        <v>0</v>
      </c>
      <c r="AF90" s="82">
        <f t="shared" si="9"/>
        <v>0</v>
      </c>
      <c r="AG90" s="82">
        <f t="shared" si="9"/>
        <v>0</v>
      </c>
      <c r="AH90" s="82">
        <f t="shared" si="9"/>
        <v>0</v>
      </c>
      <c r="AI90" s="82">
        <f t="shared" si="9"/>
        <v>0</v>
      </c>
      <c r="AJ90" s="82">
        <f t="shared" si="9"/>
        <v>0</v>
      </c>
      <c r="AK90" s="82">
        <f t="shared" si="9"/>
        <v>0</v>
      </c>
      <c r="AL90" s="82">
        <f t="shared" si="9"/>
        <v>0</v>
      </c>
      <c r="AM90" s="82">
        <f t="shared" si="9"/>
        <v>0</v>
      </c>
      <c r="AN90" s="82">
        <f t="shared" si="9"/>
        <v>0</v>
      </c>
      <c r="AO90" s="82">
        <f t="shared" si="9"/>
        <v>0</v>
      </c>
      <c r="AP90" s="82">
        <f t="shared" si="9"/>
        <v>0</v>
      </c>
      <c r="BH90" s="3"/>
    </row>
    <row r="91" spans="5:60" x14ac:dyDescent="0.25">
      <c r="E91" s="3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c r="BH91" s="3"/>
    </row>
    <row r="92" spans="5:60" x14ac:dyDescent="0.25">
      <c r="E92" s="32" t="s">
        <v>622</v>
      </c>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c r="BH92" s="3"/>
    </row>
    <row r="93" spans="5:60" x14ac:dyDescent="0.25">
      <c r="E93" s="32"/>
      <c r="F93" s="23" t="s">
        <v>227</v>
      </c>
      <c r="G93" s="23" t="s">
        <v>342</v>
      </c>
      <c r="H93" s="23"/>
      <c r="I93" s="23"/>
      <c r="J93" s="127">
        <f>'Pseudo-load coefficients'!J520</f>
        <v>0</v>
      </c>
      <c r="K93" s="127">
        <f>'Pseudo-load coefficients'!K520</f>
        <v>0.63929108082131025</v>
      </c>
      <c r="L93" s="127">
        <f>'Pseudo-load coefficients'!L520</f>
        <v>0</v>
      </c>
      <c r="M93" s="127">
        <f>'Pseudo-load coefficients'!M520</f>
        <v>0</v>
      </c>
      <c r="N93" s="127">
        <f>'Pseudo-load coefficients'!N520</f>
        <v>0.53217688692969822</v>
      </c>
      <c r="O93" s="127">
        <f>'Pseudo-load coefficients'!O520</f>
        <v>0</v>
      </c>
      <c r="P93" s="127">
        <f>'Pseudo-load coefficients'!P520</f>
        <v>0.50200210014915581</v>
      </c>
      <c r="Q93" s="127">
        <f>'Pseudo-load coefficients'!Q520</f>
        <v>0.40859244482232721</v>
      </c>
      <c r="R93" s="127">
        <f>'Pseudo-load coefficients'!R520</f>
        <v>0.56362240705136524</v>
      </c>
      <c r="S93" s="127">
        <f>'Pseudo-load coefficients'!S520</f>
        <v>1.0393471442838491</v>
      </c>
      <c r="T93" s="127">
        <f>'Pseudo-load coefficients'!T520</f>
        <v>1.134703866010494</v>
      </c>
      <c r="U93" s="127">
        <f>'Pseudo-load coefficients'!U520</f>
        <v>0.90088724405512599</v>
      </c>
      <c r="V93" s="127">
        <f>'Pseudo-load coefficients'!V520</f>
        <v>0.89429973717441791</v>
      </c>
      <c r="W93" s="127">
        <f>'Pseudo-load coefficients'!W520</f>
        <v>0.84901052552182599</v>
      </c>
      <c r="X93" s="127">
        <f>'Pseudo-load coefficients'!X520</f>
        <v>0</v>
      </c>
      <c r="Y93" s="127">
        <f>'Pseudo-load coefficients'!Y520</f>
        <v>0</v>
      </c>
      <c r="Z93" s="127">
        <f>'Pseudo-load coefficients'!Z520</f>
        <v>0</v>
      </c>
      <c r="AA93" s="127">
        <f>'Pseudo-load coefficients'!AA520</f>
        <v>0</v>
      </c>
      <c r="AB93" s="127">
        <f>'Pseudo-load coefficients'!AB520</f>
        <v>0.87476501925688155</v>
      </c>
      <c r="AC93" s="127">
        <f>'Pseudo-load coefficients'!AC520</f>
        <v>0</v>
      </c>
      <c r="AD93" s="127">
        <f>'Pseudo-load coefficients'!AD520</f>
        <v>0</v>
      </c>
      <c r="AE93" s="127">
        <f>'Pseudo-load coefficients'!AE520</f>
        <v>0</v>
      </c>
      <c r="AF93" s="127">
        <f>'Pseudo-load coefficients'!AF520</f>
        <v>0</v>
      </c>
      <c r="AG93" s="127">
        <f>'Pseudo-load coefficients'!AG520</f>
        <v>0.75700783148798267</v>
      </c>
      <c r="AH93" s="127">
        <f>'Pseudo-load coefficients'!AH520</f>
        <v>0.75700783148798267</v>
      </c>
      <c r="AI93" s="127">
        <f>'Pseudo-load coefficients'!AI520</f>
        <v>0</v>
      </c>
      <c r="AJ93" s="127">
        <f>'Pseudo-load coefficients'!AJ520</f>
        <v>0</v>
      </c>
      <c r="AK93" s="127">
        <f>'Pseudo-load coefficients'!AK520</f>
        <v>0.75700783148798267</v>
      </c>
      <c r="AL93" s="127">
        <f>'Pseudo-load coefficients'!AL520</f>
        <v>0.75700783148798267</v>
      </c>
      <c r="AM93" s="127">
        <f>'Pseudo-load coefficients'!AM520</f>
        <v>0</v>
      </c>
      <c r="AN93" s="127">
        <f>'Pseudo-load coefficients'!AN520</f>
        <v>0</v>
      </c>
      <c r="AO93" s="127">
        <f>'Pseudo-load coefficients'!AO520</f>
        <v>0.75700783148798267</v>
      </c>
      <c r="AP93" s="127">
        <f>'Pseudo-load coefficients'!AP520</f>
        <v>0.75700783148798267</v>
      </c>
      <c r="BH93" s="3"/>
    </row>
    <row r="94" spans="5:60" x14ac:dyDescent="0.25">
      <c r="E94" s="32"/>
      <c r="F94" t="s">
        <v>228</v>
      </c>
      <c r="G94" t="s">
        <v>342</v>
      </c>
      <c r="J94" s="123">
        <f>'Pseudo-load coefficients'!J521</f>
        <v>0</v>
      </c>
      <c r="K94" s="123">
        <f>'Pseudo-load coefficients'!K521</f>
        <v>0</v>
      </c>
      <c r="L94" s="123">
        <f>'Pseudo-load coefficients'!L521</f>
        <v>0</v>
      </c>
      <c r="M94" s="123">
        <f>'Pseudo-load coefficients'!M521</f>
        <v>0</v>
      </c>
      <c r="N94" s="123">
        <f>'Pseudo-load coefficients'!N521</f>
        <v>0</v>
      </c>
      <c r="O94" s="123">
        <f>'Pseudo-load coefficients'!O521</f>
        <v>0</v>
      </c>
      <c r="P94" s="123">
        <f>'Pseudo-load coefficients'!P521</f>
        <v>0</v>
      </c>
      <c r="Q94" s="123">
        <f>'Pseudo-load coefficients'!Q521</f>
        <v>0</v>
      </c>
      <c r="R94" s="123">
        <f>'Pseudo-load coefficients'!R521</f>
        <v>0</v>
      </c>
      <c r="S94" s="123">
        <f>'Pseudo-load coefficients'!S521</f>
        <v>0</v>
      </c>
      <c r="T94" s="123">
        <f>'Pseudo-load coefficients'!T521</f>
        <v>0</v>
      </c>
      <c r="U94" s="123">
        <f>'Pseudo-load coefficients'!U521</f>
        <v>0</v>
      </c>
      <c r="V94" s="123">
        <f>'Pseudo-load coefficients'!V521</f>
        <v>0</v>
      </c>
      <c r="W94" s="123">
        <f>'Pseudo-load coefficients'!W521</f>
        <v>0</v>
      </c>
      <c r="X94" s="123">
        <f>'Pseudo-load coefficients'!X521</f>
        <v>0</v>
      </c>
      <c r="Y94" s="123">
        <f>'Pseudo-load coefficients'!Y521</f>
        <v>0</v>
      </c>
      <c r="Z94" s="123">
        <f>'Pseudo-load coefficients'!Z521</f>
        <v>0</v>
      </c>
      <c r="AA94" s="123">
        <f>'Pseudo-load coefficients'!AA521</f>
        <v>0</v>
      </c>
      <c r="AB94" s="123">
        <f>'Pseudo-load coefficients'!AB521</f>
        <v>0</v>
      </c>
      <c r="AC94" s="123">
        <f>'Pseudo-load coefficients'!AC521</f>
        <v>0</v>
      </c>
      <c r="AD94" s="123">
        <f>'Pseudo-load coefficients'!AD521</f>
        <v>0</v>
      </c>
      <c r="AE94" s="123">
        <f>'Pseudo-load coefficients'!AE521</f>
        <v>0</v>
      </c>
      <c r="AF94" s="123">
        <f>'Pseudo-load coefficients'!AF521</f>
        <v>0</v>
      </c>
      <c r="AG94" s="123">
        <f>'Pseudo-load coefficients'!AG521</f>
        <v>0</v>
      </c>
      <c r="AH94" s="123">
        <f>'Pseudo-load coefficients'!AH521</f>
        <v>0</v>
      </c>
      <c r="AI94" s="123">
        <f>'Pseudo-load coefficients'!AI521</f>
        <v>0</v>
      </c>
      <c r="AJ94" s="123">
        <f>'Pseudo-load coefficients'!AJ521</f>
        <v>0</v>
      </c>
      <c r="AK94" s="123">
        <f>'Pseudo-load coefficients'!AK521</f>
        <v>0</v>
      </c>
      <c r="AL94" s="123">
        <f>'Pseudo-load coefficients'!AL521</f>
        <v>0</v>
      </c>
      <c r="AM94" s="123">
        <f>'Pseudo-load coefficients'!AM521</f>
        <v>0</v>
      </c>
      <c r="AN94" s="123">
        <f>'Pseudo-load coefficients'!AN521</f>
        <v>0</v>
      </c>
      <c r="AO94" s="123">
        <f>'Pseudo-load coefficients'!AO521</f>
        <v>0</v>
      </c>
      <c r="AP94" s="123">
        <f>'Pseudo-load coefficients'!AP521</f>
        <v>0</v>
      </c>
      <c r="BH94" s="3"/>
    </row>
    <row r="95" spans="5:60" x14ac:dyDescent="0.25">
      <c r="E95" s="32"/>
      <c r="F95" t="s">
        <v>229</v>
      </c>
      <c r="G95" t="s">
        <v>342</v>
      </c>
      <c r="J95" s="123">
        <f>'Pseudo-load coefficients'!J522</f>
        <v>0</v>
      </c>
      <c r="K95" s="123">
        <f>'Pseudo-load coefficients'!K522</f>
        <v>0</v>
      </c>
      <c r="L95" s="123">
        <f>'Pseudo-load coefficients'!L522</f>
        <v>0</v>
      </c>
      <c r="M95" s="123">
        <f>'Pseudo-load coefficients'!M522</f>
        <v>0</v>
      </c>
      <c r="N95" s="123">
        <f>'Pseudo-load coefficients'!N522</f>
        <v>0</v>
      </c>
      <c r="O95" s="123">
        <f>'Pseudo-load coefficients'!O522</f>
        <v>0</v>
      </c>
      <c r="P95" s="123">
        <f>'Pseudo-load coefficients'!P522</f>
        <v>0</v>
      </c>
      <c r="Q95" s="123">
        <f>'Pseudo-load coefficients'!Q522</f>
        <v>0</v>
      </c>
      <c r="R95" s="123">
        <f>'Pseudo-load coefficients'!R522</f>
        <v>0</v>
      </c>
      <c r="S95" s="123">
        <f>'Pseudo-load coefficients'!S522</f>
        <v>0</v>
      </c>
      <c r="T95" s="123">
        <f>'Pseudo-load coefficients'!T522</f>
        <v>0</v>
      </c>
      <c r="U95" s="123">
        <f>'Pseudo-load coefficients'!U522</f>
        <v>0</v>
      </c>
      <c r="V95" s="123">
        <f>'Pseudo-load coefficients'!V522</f>
        <v>0</v>
      </c>
      <c r="W95" s="123">
        <f>'Pseudo-load coefficients'!W522</f>
        <v>0</v>
      </c>
      <c r="X95" s="123">
        <f>'Pseudo-load coefficients'!X522</f>
        <v>0</v>
      </c>
      <c r="Y95" s="123">
        <f>'Pseudo-load coefficients'!Y522</f>
        <v>0</v>
      </c>
      <c r="Z95" s="123">
        <f>'Pseudo-load coefficients'!Z522</f>
        <v>0</v>
      </c>
      <c r="AA95" s="123">
        <f>'Pseudo-load coefficients'!AA522</f>
        <v>0</v>
      </c>
      <c r="AB95" s="123">
        <f>'Pseudo-load coefficients'!AB522</f>
        <v>0</v>
      </c>
      <c r="AC95" s="123">
        <f>'Pseudo-load coefficients'!AC522</f>
        <v>0</v>
      </c>
      <c r="AD95" s="123">
        <f>'Pseudo-load coefficients'!AD522</f>
        <v>0</v>
      </c>
      <c r="AE95" s="123">
        <f>'Pseudo-load coefficients'!AE522</f>
        <v>0</v>
      </c>
      <c r="AF95" s="123">
        <f>'Pseudo-load coefficients'!AF522</f>
        <v>0</v>
      </c>
      <c r="AG95" s="123">
        <f>'Pseudo-load coefficients'!AG522</f>
        <v>0</v>
      </c>
      <c r="AH95" s="123">
        <f>'Pseudo-load coefficients'!AH522</f>
        <v>0</v>
      </c>
      <c r="AI95" s="123">
        <f>'Pseudo-load coefficients'!AI522</f>
        <v>0</v>
      </c>
      <c r="AJ95" s="123">
        <f>'Pseudo-load coefficients'!AJ522</f>
        <v>0</v>
      </c>
      <c r="AK95" s="123">
        <f>'Pseudo-load coefficients'!AK522</f>
        <v>0</v>
      </c>
      <c r="AL95" s="123">
        <f>'Pseudo-load coefficients'!AL522</f>
        <v>0</v>
      </c>
      <c r="AM95" s="123">
        <f>'Pseudo-load coefficients'!AM522</f>
        <v>0</v>
      </c>
      <c r="AN95" s="123">
        <f>'Pseudo-load coefficients'!AN522</f>
        <v>0</v>
      </c>
      <c r="AO95" s="123">
        <f>'Pseudo-load coefficients'!AO522</f>
        <v>0</v>
      </c>
      <c r="AP95" s="123">
        <f>'Pseudo-load coefficients'!AP522</f>
        <v>0</v>
      </c>
      <c r="BH95" s="3"/>
    </row>
    <row r="96" spans="5:60" x14ac:dyDescent="0.25">
      <c r="E96" s="32"/>
      <c r="F96" t="s">
        <v>230</v>
      </c>
      <c r="G96" t="s">
        <v>342</v>
      </c>
      <c r="J96" s="123">
        <f>'Pseudo-load coefficients'!J523</f>
        <v>0</v>
      </c>
      <c r="K96" s="123">
        <f>'Pseudo-load coefficients'!K523</f>
        <v>0.69297119319265954</v>
      </c>
      <c r="L96" s="123">
        <f>'Pseudo-load coefficients'!L523</f>
        <v>0</v>
      </c>
      <c r="M96" s="123">
        <f>'Pseudo-load coefficients'!M523</f>
        <v>0</v>
      </c>
      <c r="N96" s="123">
        <f>'Pseudo-load coefficients'!N523</f>
        <v>0.59285671536095186</v>
      </c>
      <c r="O96" s="123">
        <f>'Pseudo-load coefficients'!O523</f>
        <v>0</v>
      </c>
      <c r="P96" s="123">
        <f>'Pseudo-load coefficients'!P523</f>
        <v>0.55778854727449012</v>
      </c>
      <c r="Q96" s="123">
        <f>'Pseudo-load coefficients'!Q523</f>
        <v>0.45399847163400642</v>
      </c>
      <c r="R96" s="123">
        <f>'Pseudo-load coefficients'!R523</f>
        <v>0.62639185018679178</v>
      </c>
      <c r="S96" s="123">
        <f>'Pseudo-load coefficients'!S523</f>
        <v>1.134992123964369</v>
      </c>
      <c r="T96" s="123">
        <f>'Pseudo-load coefficients'!T523</f>
        <v>1.2406540950079161</v>
      </c>
      <c r="U96" s="123">
        <f>'Pseudo-load coefficients'!U523</f>
        <v>0.98534542318529406</v>
      </c>
      <c r="V96" s="123">
        <f>'Pseudo-load coefficients'!V523</f>
        <v>0.97814033753451957</v>
      </c>
      <c r="W96" s="123">
        <f>'Pseudo-load coefficients'!W523</f>
        <v>0.92860526228949714</v>
      </c>
      <c r="X96" s="123">
        <f>'Pseudo-load coefficients'!X523</f>
        <v>0</v>
      </c>
      <c r="Y96" s="123">
        <f>'Pseudo-load coefficients'!Y523</f>
        <v>0</v>
      </c>
      <c r="Z96" s="123">
        <f>'Pseudo-load coefficients'!Z523</f>
        <v>0</v>
      </c>
      <c r="AA96" s="123">
        <f>'Pseudo-load coefficients'!AA523</f>
        <v>0</v>
      </c>
      <c r="AB96" s="123">
        <f>'Pseudo-load coefficients'!AB523</f>
        <v>0.95428911191659793</v>
      </c>
      <c r="AC96" s="123">
        <f>'Pseudo-load coefficients'!AC523</f>
        <v>0</v>
      </c>
      <c r="AD96" s="123">
        <f>'Pseudo-load coefficients'!AD523</f>
        <v>0</v>
      </c>
      <c r="AE96" s="123">
        <f>'Pseudo-load coefficients'!AE523</f>
        <v>0</v>
      </c>
      <c r="AF96" s="123">
        <f>'Pseudo-load coefficients'!AF523</f>
        <v>0</v>
      </c>
      <c r="AG96" s="123">
        <f>'Pseudo-load coefficients'!AG523</f>
        <v>0.82797731568998101</v>
      </c>
      <c r="AH96" s="123">
        <f>'Pseudo-load coefficients'!AH523</f>
        <v>0.82797731568998101</v>
      </c>
      <c r="AI96" s="123">
        <f>'Pseudo-load coefficients'!AI523</f>
        <v>0</v>
      </c>
      <c r="AJ96" s="123">
        <f>'Pseudo-load coefficients'!AJ523</f>
        <v>0</v>
      </c>
      <c r="AK96" s="123">
        <f>'Pseudo-load coefficients'!AK523</f>
        <v>0.82797731568998101</v>
      </c>
      <c r="AL96" s="123">
        <f>'Pseudo-load coefficients'!AL523</f>
        <v>0.82797731568998101</v>
      </c>
      <c r="AM96" s="123">
        <f>'Pseudo-load coefficients'!AM523</f>
        <v>0</v>
      </c>
      <c r="AN96" s="123">
        <f>'Pseudo-load coefficients'!AN523</f>
        <v>0</v>
      </c>
      <c r="AO96" s="123">
        <f>'Pseudo-load coefficients'!AO523</f>
        <v>0.82797731568998101</v>
      </c>
      <c r="AP96" s="123">
        <f>'Pseudo-load coefficients'!AP523</f>
        <v>0.82797731568998101</v>
      </c>
      <c r="BH96" s="3"/>
    </row>
    <row r="97" spans="5:60" x14ac:dyDescent="0.25">
      <c r="E97" s="32"/>
      <c r="F97" t="s">
        <v>231</v>
      </c>
      <c r="G97" t="s">
        <v>342</v>
      </c>
      <c r="J97" s="123">
        <f>'Pseudo-load coefficients'!J524</f>
        <v>0</v>
      </c>
      <c r="K97" s="123">
        <f>'Pseudo-load coefficients'!K524</f>
        <v>0.69297119319265954</v>
      </c>
      <c r="L97" s="123">
        <f>'Pseudo-load coefficients'!L524</f>
        <v>0</v>
      </c>
      <c r="M97" s="123">
        <f>'Pseudo-load coefficients'!M524</f>
        <v>0</v>
      </c>
      <c r="N97" s="123">
        <f>'Pseudo-load coefficients'!N524</f>
        <v>0.59285671536095186</v>
      </c>
      <c r="O97" s="123">
        <f>'Pseudo-load coefficients'!O524</f>
        <v>0</v>
      </c>
      <c r="P97" s="123">
        <f>'Pseudo-load coefficients'!P524</f>
        <v>0.55778854727449012</v>
      </c>
      <c r="Q97" s="123">
        <f>'Pseudo-load coefficients'!Q524</f>
        <v>0.45399847163400642</v>
      </c>
      <c r="R97" s="123">
        <f>'Pseudo-load coefficients'!R524</f>
        <v>0.62639185018679178</v>
      </c>
      <c r="S97" s="123">
        <f>'Pseudo-load coefficients'!S524</f>
        <v>1.134992123964369</v>
      </c>
      <c r="T97" s="123">
        <f>'Pseudo-load coefficients'!T524</f>
        <v>1.2406540950079161</v>
      </c>
      <c r="U97" s="123">
        <f>'Pseudo-load coefficients'!U524</f>
        <v>0.98534542318529406</v>
      </c>
      <c r="V97" s="123">
        <f>'Pseudo-load coefficients'!V524</f>
        <v>0.97814033753451957</v>
      </c>
      <c r="W97" s="123">
        <f>'Pseudo-load coefficients'!W524</f>
        <v>0.92860526228949714</v>
      </c>
      <c r="X97" s="123">
        <f>'Pseudo-load coefficients'!X524</f>
        <v>0</v>
      </c>
      <c r="Y97" s="123">
        <f>'Pseudo-load coefficients'!Y524</f>
        <v>0</v>
      </c>
      <c r="Z97" s="123">
        <f>'Pseudo-load coefficients'!Z524</f>
        <v>0</v>
      </c>
      <c r="AA97" s="123">
        <f>'Pseudo-load coefficients'!AA524</f>
        <v>0</v>
      </c>
      <c r="AB97" s="123">
        <f>'Pseudo-load coefficients'!AB524</f>
        <v>0.95428911191659793</v>
      </c>
      <c r="AC97" s="123">
        <f>'Pseudo-load coefficients'!AC524</f>
        <v>0</v>
      </c>
      <c r="AD97" s="123">
        <f>'Pseudo-load coefficients'!AD524</f>
        <v>0</v>
      </c>
      <c r="AE97" s="123">
        <f>'Pseudo-load coefficients'!AE524</f>
        <v>0</v>
      </c>
      <c r="AF97" s="123">
        <f>'Pseudo-load coefficients'!AF524</f>
        <v>0</v>
      </c>
      <c r="AG97" s="123">
        <f>'Pseudo-load coefficients'!AG524</f>
        <v>0.82797731568998101</v>
      </c>
      <c r="AH97" s="123">
        <f>'Pseudo-load coefficients'!AH524</f>
        <v>0.82797731568998101</v>
      </c>
      <c r="AI97" s="123">
        <f>'Pseudo-load coefficients'!AI524</f>
        <v>0</v>
      </c>
      <c r="AJ97" s="123">
        <f>'Pseudo-load coefficients'!AJ524</f>
        <v>0</v>
      </c>
      <c r="AK97" s="123">
        <f>'Pseudo-load coefficients'!AK524</f>
        <v>0.82797731568998101</v>
      </c>
      <c r="AL97" s="123">
        <f>'Pseudo-load coefficients'!AL524</f>
        <v>0.82797731568998101</v>
      </c>
      <c r="AM97" s="123">
        <f>'Pseudo-load coefficients'!AM524</f>
        <v>0</v>
      </c>
      <c r="AN97" s="123">
        <f>'Pseudo-load coefficients'!AN524</f>
        <v>0</v>
      </c>
      <c r="AO97" s="123">
        <f>'Pseudo-load coefficients'!AO524</f>
        <v>0.82797731568998101</v>
      </c>
      <c r="AP97" s="123">
        <f>'Pseudo-load coefficients'!AP524</f>
        <v>0.82797731568998101</v>
      </c>
      <c r="BH97" s="3"/>
    </row>
    <row r="98" spans="5:60" x14ac:dyDescent="0.25">
      <c r="E98" s="32"/>
      <c r="F98" t="s">
        <v>232</v>
      </c>
      <c r="G98" t="s">
        <v>342</v>
      </c>
      <c r="J98" s="123">
        <f>'Pseudo-load coefficients'!J525</f>
        <v>0</v>
      </c>
      <c r="K98" s="123">
        <f>'Pseudo-load coefficients'!K525</f>
        <v>0</v>
      </c>
      <c r="L98" s="123">
        <f>'Pseudo-load coefficients'!L525</f>
        <v>0</v>
      </c>
      <c r="M98" s="123">
        <f>'Pseudo-load coefficients'!M525</f>
        <v>0</v>
      </c>
      <c r="N98" s="123">
        <f>'Pseudo-load coefficients'!N525</f>
        <v>0</v>
      </c>
      <c r="O98" s="123">
        <f>'Pseudo-load coefficients'!O525</f>
        <v>0</v>
      </c>
      <c r="P98" s="123">
        <f>'Pseudo-load coefficients'!P525</f>
        <v>0</v>
      </c>
      <c r="Q98" s="123">
        <f>'Pseudo-load coefficients'!Q525</f>
        <v>0</v>
      </c>
      <c r="R98" s="123">
        <f>'Pseudo-load coefficients'!R525</f>
        <v>0</v>
      </c>
      <c r="S98" s="123">
        <f>'Pseudo-load coefficients'!S525</f>
        <v>0</v>
      </c>
      <c r="T98" s="123">
        <f>'Pseudo-load coefficients'!T525</f>
        <v>0</v>
      </c>
      <c r="U98" s="123">
        <f>'Pseudo-load coefficients'!U525</f>
        <v>0</v>
      </c>
      <c r="V98" s="123">
        <f>'Pseudo-load coefficients'!V525</f>
        <v>0</v>
      </c>
      <c r="W98" s="123">
        <f>'Pseudo-load coefficients'!W525</f>
        <v>0</v>
      </c>
      <c r="X98" s="123">
        <f>'Pseudo-load coefficients'!X525</f>
        <v>0</v>
      </c>
      <c r="Y98" s="123">
        <f>'Pseudo-load coefficients'!Y525</f>
        <v>0</v>
      </c>
      <c r="Z98" s="123">
        <f>'Pseudo-load coefficients'!Z525</f>
        <v>0</v>
      </c>
      <c r="AA98" s="123">
        <f>'Pseudo-load coefficients'!AA525</f>
        <v>0</v>
      </c>
      <c r="AB98" s="123">
        <f>'Pseudo-load coefficients'!AB525</f>
        <v>0</v>
      </c>
      <c r="AC98" s="123">
        <f>'Pseudo-load coefficients'!AC525</f>
        <v>0</v>
      </c>
      <c r="AD98" s="123">
        <f>'Pseudo-load coefficients'!AD525</f>
        <v>0</v>
      </c>
      <c r="AE98" s="123">
        <f>'Pseudo-load coefficients'!AE525</f>
        <v>0</v>
      </c>
      <c r="AF98" s="123">
        <f>'Pseudo-load coefficients'!AF525</f>
        <v>0</v>
      </c>
      <c r="AG98" s="123">
        <f>'Pseudo-load coefficients'!AG525</f>
        <v>0</v>
      </c>
      <c r="AH98" s="123">
        <f>'Pseudo-load coefficients'!AH525</f>
        <v>0</v>
      </c>
      <c r="AI98" s="123">
        <f>'Pseudo-load coefficients'!AI525</f>
        <v>0</v>
      </c>
      <c r="AJ98" s="123">
        <f>'Pseudo-load coefficients'!AJ525</f>
        <v>0</v>
      </c>
      <c r="AK98" s="123">
        <f>'Pseudo-load coefficients'!AK525</f>
        <v>0</v>
      </c>
      <c r="AL98" s="123">
        <f>'Pseudo-load coefficients'!AL525</f>
        <v>0</v>
      </c>
      <c r="AM98" s="123">
        <f>'Pseudo-load coefficients'!AM525</f>
        <v>0</v>
      </c>
      <c r="AN98" s="123">
        <f>'Pseudo-load coefficients'!AN525</f>
        <v>0</v>
      </c>
      <c r="AO98" s="123">
        <f>'Pseudo-load coefficients'!AO525</f>
        <v>0</v>
      </c>
      <c r="AP98" s="123">
        <f>'Pseudo-load coefficients'!AP525</f>
        <v>0</v>
      </c>
      <c r="BH98" s="3"/>
    </row>
    <row r="99" spans="5:60" x14ac:dyDescent="0.25">
      <c r="E99" s="32"/>
      <c r="F99" t="s">
        <v>233</v>
      </c>
      <c r="G99" t="s">
        <v>342</v>
      </c>
      <c r="J99" s="123">
        <f>'Pseudo-load coefficients'!J526</f>
        <v>0</v>
      </c>
      <c r="K99" s="123">
        <f>'Pseudo-load coefficients'!K526</f>
        <v>0.69297119319265954</v>
      </c>
      <c r="L99" s="123">
        <f>'Pseudo-load coefficients'!L526</f>
        <v>0</v>
      </c>
      <c r="M99" s="123">
        <f>'Pseudo-load coefficients'!M526</f>
        <v>0</v>
      </c>
      <c r="N99" s="123">
        <f>'Pseudo-load coefficients'!N526</f>
        <v>0.59285671536095186</v>
      </c>
      <c r="O99" s="123">
        <f>'Pseudo-load coefficients'!O526</f>
        <v>0</v>
      </c>
      <c r="P99" s="123">
        <f>'Pseudo-load coefficients'!P526</f>
        <v>0.55778854727449012</v>
      </c>
      <c r="Q99" s="123">
        <f>'Pseudo-load coefficients'!Q526</f>
        <v>0.45399847163400642</v>
      </c>
      <c r="R99" s="123">
        <f>'Pseudo-load coefficients'!R526</f>
        <v>0.62639185018679178</v>
      </c>
      <c r="S99" s="123">
        <f>'Pseudo-load coefficients'!S526</f>
        <v>1.134992123964369</v>
      </c>
      <c r="T99" s="123">
        <f>'Pseudo-load coefficients'!T526</f>
        <v>1.2406540950079161</v>
      </c>
      <c r="U99" s="123">
        <f>'Pseudo-load coefficients'!U526</f>
        <v>0.98534542318529406</v>
      </c>
      <c r="V99" s="123">
        <f>'Pseudo-load coefficients'!V526</f>
        <v>0.97814033753451957</v>
      </c>
      <c r="W99" s="123">
        <f>'Pseudo-load coefficients'!W526</f>
        <v>0.92860526228949714</v>
      </c>
      <c r="X99" s="123">
        <f>'Pseudo-load coefficients'!X526</f>
        <v>0</v>
      </c>
      <c r="Y99" s="123">
        <f>'Pseudo-load coefficients'!Y526</f>
        <v>0</v>
      </c>
      <c r="Z99" s="123">
        <f>'Pseudo-load coefficients'!Z526</f>
        <v>0</v>
      </c>
      <c r="AA99" s="123">
        <f>'Pseudo-load coefficients'!AA526</f>
        <v>0</v>
      </c>
      <c r="AB99" s="123">
        <f>'Pseudo-load coefficients'!AB526</f>
        <v>0.95428911191659793</v>
      </c>
      <c r="AC99" s="123">
        <f>'Pseudo-load coefficients'!AC526</f>
        <v>0</v>
      </c>
      <c r="AD99" s="123">
        <f>'Pseudo-load coefficients'!AD526</f>
        <v>0</v>
      </c>
      <c r="AE99" s="123">
        <f>'Pseudo-load coefficients'!AE526</f>
        <v>0</v>
      </c>
      <c r="AF99" s="123">
        <f>'Pseudo-load coefficients'!AF526</f>
        <v>0</v>
      </c>
      <c r="AG99" s="123">
        <f>'Pseudo-load coefficients'!AG526</f>
        <v>0.82797731568998101</v>
      </c>
      <c r="AH99" s="123">
        <f>'Pseudo-load coefficients'!AH526</f>
        <v>0.82797731568998101</v>
      </c>
      <c r="AI99" s="123">
        <f>'Pseudo-load coefficients'!AI526</f>
        <v>0</v>
      </c>
      <c r="AJ99" s="123">
        <f>'Pseudo-load coefficients'!AJ526</f>
        <v>0</v>
      </c>
      <c r="AK99" s="123">
        <f>'Pseudo-load coefficients'!AK526</f>
        <v>0.82797731568998101</v>
      </c>
      <c r="AL99" s="123">
        <f>'Pseudo-load coefficients'!AL526</f>
        <v>0.82797731568998101</v>
      </c>
      <c r="AM99" s="123">
        <f>'Pseudo-load coefficients'!AM526</f>
        <v>0</v>
      </c>
      <c r="AN99" s="123">
        <f>'Pseudo-load coefficients'!AN526</f>
        <v>0</v>
      </c>
      <c r="AO99" s="123">
        <f>'Pseudo-load coefficients'!AO526</f>
        <v>0.82797731568998101</v>
      </c>
      <c r="AP99" s="123">
        <f>'Pseudo-load coefficients'!AP526</f>
        <v>0.82797731568998101</v>
      </c>
      <c r="BH99" s="3"/>
    </row>
    <row r="100" spans="5:60" x14ac:dyDescent="0.25">
      <c r="E100" s="32"/>
      <c r="F100" t="s">
        <v>234</v>
      </c>
      <c r="G100" t="s">
        <v>342</v>
      </c>
      <c r="J100" s="123">
        <f>'Pseudo-load coefficients'!J527</f>
        <v>0</v>
      </c>
      <c r="K100" s="123">
        <f>'Pseudo-load coefficients'!K527</f>
        <v>0.69297119319265954</v>
      </c>
      <c r="L100" s="123">
        <f>'Pseudo-load coefficients'!L527</f>
        <v>0</v>
      </c>
      <c r="M100" s="123">
        <f>'Pseudo-load coefficients'!M527</f>
        <v>0</v>
      </c>
      <c r="N100" s="123">
        <f>'Pseudo-load coefficients'!N527</f>
        <v>0.59285671536095186</v>
      </c>
      <c r="O100" s="123">
        <f>'Pseudo-load coefficients'!O527</f>
        <v>0</v>
      </c>
      <c r="P100" s="123">
        <f>'Pseudo-load coefficients'!P527</f>
        <v>0.55778854727449012</v>
      </c>
      <c r="Q100" s="123">
        <f>'Pseudo-load coefficients'!Q527</f>
        <v>0.45399847163400642</v>
      </c>
      <c r="R100" s="123">
        <f>'Pseudo-load coefficients'!R527</f>
        <v>0.62639185018679178</v>
      </c>
      <c r="S100" s="123">
        <f>'Pseudo-load coefficients'!S527</f>
        <v>1.134992123964369</v>
      </c>
      <c r="T100" s="123">
        <f>'Pseudo-load coefficients'!T527</f>
        <v>1.2406540950079161</v>
      </c>
      <c r="U100" s="123">
        <f>'Pseudo-load coefficients'!U527</f>
        <v>0.98534542318529406</v>
      </c>
      <c r="V100" s="123">
        <f>'Pseudo-load coefficients'!V527</f>
        <v>0.97814033753451957</v>
      </c>
      <c r="W100" s="123">
        <f>'Pseudo-load coefficients'!W527</f>
        <v>0.92860526228949714</v>
      </c>
      <c r="X100" s="123">
        <f>'Pseudo-load coefficients'!X527</f>
        <v>0</v>
      </c>
      <c r="Y100" s="123">
        <f>'Pseudo-load coefficients'!Y527</f>
        <v>0</v>
      </c>
      <c r="Z100" s="123">
        <f>'Pseudo-load coefficients'!Z527</f>
        <v>0</v>
      </c>
      <c r="AA100" s="123">
        <f>'Pseudo-load coefficients'!AA527</f>
        <v>0</v>
      </c>
      <c r="AB100" s="123">
        <f>'Pseudo-load coefficients'!AB527</f>
        <v>0.95428911191659793</v>
      </c>
      <c r="AC100" s="123">
        <f>'Pseudo-load coefficients'!AC527</f>
        <v>0</v>
      </c>
      <c r="AD100" s="123">
        <f>'Pseudo-load coefficients'!AD527</f>
        <v>0</v>
      </c>
      <c r="AE100" s="123">
        <f>'Pseudo-load coefficients'!AE527</f>
        <v>0</v>
      </c>
      <c r="AF100" s="123">
        <f>'Pseudo-load coefficients'!AF527</f>
        <v>0</v>
      </c>
      <c r="AG100" s="123">
        <f>'Pseudo-load coefficients'!AG527</f>
        <v>0.82797731568998101</v>
      </c>
      <c r="AH100" s="123">
        <f>'Pseudo-load coefficients'!AH527</f>
        <v>0.82797731568998101</v>
      </c>
      <c r="AI100" s="123">
        <f>'Pseudo-load coefficients'!AI527</f>
        <v>0</v>
      </c>
      <c r="AJ100" s="123">
        <f>'Pseudo-load coefficients'!AJ527</f>
        <v>0</v>
      </c>
      <c r="AK100" s="123">
        <f>'Pseudo-load coefficients'!AK527</f>
        <v>0.82797731568998101</v>
      </c>
      <c r="AL100" s="123">
        <f>'Pseudo-load coefficients'!AL527</f>
        <v>0.82797731568998101</v>
      </c>
      <c r="AM100" s="123">
        <f>'Pseudo-load coefficients'!AM527</f>
        <v>0</v>
      </c>
      <c r="AN100" s="123">
        <f>'Pseudo-load coefficients'!AN527</f>
        <v>0</v>
      </c>
      <c r="AO100" s="123">
        <f>'Pseudo-load coefficients'!AO527</f>
        <v>0.82797731568998101</v>
      </c>
      <c r="AP100" s="123">
        <f>'Pseudo-load coefficients'!AP527</f>
        <v>0.82797731568998101</v>
      </c>
      <c r="BH100" s="3"/>
    </row>
    <row r="101" spans="5:60" x14ac:dyDescent="0.25">
      <c r="E101" s="32"/>
      <c r="F101" s="37" t="s">
        <v>235</v>
      </c>
      <c r="G101" s="37" t="s">
        <v>342</v>
      </c>
      <c r="H101" s="37"/>
      <c r="I101" s="37"/>
      <c r="J101" s="128">
        <f>'Pseudo-load coefficients'!J528</f>
        <v>0</v>
      </c>
      <c r="K101" s="128">
        <f>'Pseudo-load coefficients'!K528</f>
        <v>0.69297119319265954</v>
      </c>
      <c r="L101" s="128">
        <f>'Pseudo-load coefficients'!L528</f>
        <v>0</v>
      </c>
      <c r="M101" s="128">
        <f>'Pseudo-load coefficients'!M528</f>
        <v>0</v>
      </c>
      <c r="N101" s="128">
        <f>'Pseudo-load coefficients'!N528</f>
        <v>0.59285671536095186</v>
      </c>
      <c r="O101" s="128">
        <f>'Pseudo-load coefficients'!O528</f>
        <v>0</v>
      </c>
      <c r="P101" s="128">
        <f>'Pseudo-load coefficients'!P528</f>
        <v>0.55778854727449012</v>
      </c>
      <c r="Q101" s="128">
        <f>'Pseudo-load coefficients'!Q528</f>
        <v>0.45399847163400642</v>
      </c>
      <c r="R101" s="128">
        <f>'Pseudo-load coefficients'!R528</f>
        <v>0.62639185018679178</v>
      </c>
      <c r="S101" s="128">
        <f>'Pseudo-load coefficients'!S528</f>
        <v>1.134992123964369</v>
      </c>
      <c r="T101" s="128">
        <f>'Pseudo-load coefficients'!T528</f>
        <v>1.2406540950079161</v>
      </c>
      <c r="U101" s="128">
        <f>'Pseudo-load coefficients'!U528</f>
        <v>0.98534542318529406</v>
      </c>
      <c r="V101" s="128">
        <f>'Pseudo-load coefficients'!V528</f>
        <v>0.97814033753451957</v>
      </c>
      <c r="W101" s="128">
        <f>'Pseudo-load coefficients'!W528</f>
        <v>0.92860526228949714</v>
      </c>
      <c r="X101" s="128">
        <f>'Pseudo-load coefficients'!X528</f>
        <v>0</v>
      </c>
      <c r="Y101" s="128">
        <f>'Pseudo-load coefficients'!Y528</f>
        <v>0</v>
      </c>
      <c r="Z101" s="128">
        <f>'Pseudo-load coefficients'!Z528</f>
        <v>0</v>
      </c>
      <c r="AA101" s="128">
        <f>'Pseudo-load coefficients'!AA528</f>
        <v>0</v>
      </c>
      <c r="AB101" s="128">
        <f>'Pseudo-load coefficients'!AB528</f>
        <v>0.95428911191659793</v>
      </c>
      <c r="AC101" s="128">
        <f>'Pseudo-load coefficients'!AC528</f>
        <v>0</v>
      </c>
      <c r="AD101" s="128">
        <f>'Pseudo-load coefficients'!AD528</f>
        <v>0</v>
      </c>
      <c r="AE101" s="128">
        <f>'Pseudo-load coefficients'!AE528</f>
        <v>0</v>
      </c>
      <c r="AF101" s="128">
        <f>'Pseudo-load coefficients'!AF528</f>
        <v>0</v>
      </c>
      <c r="AG101" s="128">
        <f>'Pseudo-load coefficients'!AG528</f>
        <v>0.82797731568998101</v>
      </c>
      <c r="AH101" s="128">
        <f>'Pseudo-load coefficients'!AH528</f>
        <v>0.82797731568998101</v>
      </c>
      <c r="AI101" s="128">
        <f>'Pseudo-load coefficients'!AI528</f>
        <v>0</v>
      </c>
      <c r="AJ101" s="128">
        <f>'Pseudo-load coefficients'!AJ528</f>
        <v>0</v>
      </c>
      <c r="AK101" s="128">
        <f>'Pseudo-load coefficients'!AK528</f>
        <v>0.82797731568998101</v>
      </c>
      <c r="AL101" s="128">
        <f>'Pseudo-load coefficients'!AL528</f>
        <v>0.82797731568998101</v>
      </c>
      <c r="AM101" s="128">
        <f>'Pseudo-load coefficients'!AM528</f>
        <v>0</v>
      </c>
      <c r="AN101" s="128">
        <f>'Pseudo-load coefficients'!AN528</f>
        <v>0</v>
      </c>
      <c r="AO101" s="128">
        <f>'Pseudo-load coefficients'!AO528</f>
        <v>0.82797731568998101</v>
      </c>
      <c r="AP101" s="128">
        <f>'Pseudo-load coefficients'!AP528</f>
        <v>0.82797731568998101</v>
      </c>
      <c r="BH101" s="3"/>
    </row>
    <row r="102" spans="5:60" x14ac:dyDescent="0.25">
      <c r="E102" s="32"/>
      <c r="J102" s="92"/>
      <c r="K102" s="92"/>
      <c r="L102" s="92"/>
      <c r="M102" s="92"/>
      <c r="N102" s="92"/>
      <c r="O102" s="92"/>
      <c r="P102" s="92"/>
      <c r="Q102" s="92"/>
      <c r="R102" s="92"/>
      <c r="S102" s="92"/>
      <c r="T102" s="92"/>
      <c r="U102" s="92"/>
      <c r="V102" s="92"/>
      <c r="W102" s="92"/>
      <c r="X102" s="92"/>
      <c r="Y102" s="92"/>
      <c r="Z102" s="92"/>
      <c r="AA102" s="92"/>
      <c r="AB102" s="92"/>
      <c r="AC102" s="92"/>
      <c r="AD102" s="92"/>
      <c r="AE102" s="92"/>
      <c r="AF102" s="92"/>
      <c r="AG102" s="92"/>
      <c r="AH102" s="92"/>
      <c r="AI102" s="92"/>
      <c r="AJ102" s="92"/>
      <c r="AK102" s="92"/>
      <c r="AL102" s="92"/>
      <c r="AM102" s="92"/>
      <c r="AN102" s="92"/>
      <c r="AO102" s="92"/>
      <c r="AP102" s="92"/>
      <c r="BH102" s="3"/>
    </row>
    <row r="103" spans="5:60" x14ac:dyDescent="0.25">
      <c r="E103" s="32" t="s">
        <v>623</v>
      </c>
      <c r="J103" s="92"/>
      <c r="K103" s="92"/>
      <c r="L103" s="92"/>
      <c r="M103" s="92"/>
      <c r="N103" s="92"/>
      <c r="O103" s="92"/>
      <c r="P103" s="92"/>
      <c r="Q103" s="92"/>
      <c r="R103" s="92"/>
      <c r="S103" s="92"/>
      <c r="T103" s="92"/>
      <c r="U103" s="92"/>
      <c r="V103" s="92"/>
      <c r="W103" s="92"/>
      <c r="X103" s="92"/>
      <c r="Y103" s="92"/>
      <c r="Z103" s="92"/>
      <c r="AA103" s="92"/>
      <c r="AB103" s="92"/>
      <c r="AC103" s="92"/>
      <c r="AD103" s="92"/>
      <c r="AE103" s="92"/>
      <c r="AF103" s="92"/>
      <c r="AG103" s="92"/>
      <c r="AH103" s="92"/>
      <c r="AI103" s="92"/>
      <c r="AJ103" s="92"/>
      <c r="AK103" s="92"/>
      <c r="AL103" s="92"/>
      <c r="AM103" s="92"/>
      <c r="AN103" s="92"/>
      <c r="AO103" s="92"/>
      <c r="AP103" s="92"/>
      <c r="BH103" s="3"/>
    </row>
    <row r="104" spans="5:60" x14ac:dyDescent="0.25">
      <c r="E104" s="29" t="s">
        <v>624</v>
      </c>
      <c r="J104" s="92"/>
      <c r="K104" s="92"/>
      <c r="L104" s="92"/>
      <c r="M104" s="92"/>
      <c r="N104" s="92"/>
      <c r="O104" s="92"/>
      <c r="P104" s="92"/>
      <c r="Q104" s="92"/>
      <c r="R104" s="92"/>
      <c r="S104" s="92"/>
      <c r="T104" s="92"/>
      <c r="U104" s="92"/>
      <c r="V104" s="92"/>
      <c r="W104" s="92"/>
      <c r="X104" s="92"/>
      <c r="Y104" s="92"/>
      <c r="Z104" s="92"/>
      <c r="AA104" s="92"/>
      <c r="AB104" s="92"/>
      <c r="AC104" s="92"/>
      <c r="AD104" s="92"/>
      <c r="AE104" s="92"/>
      <c r="AF104" s="92"/>
      <c r="AG104" s="92"/>
      <c r="AH104" s="92"/>
      <c r="AI104" s="92"/>
      <c r="AJ104" s="92"/>
      <c r="AK104" s="92"/>
      <c r="AL104" s="92"/>
      <c r="AM104" s="92"/>
      <c r="AN104" s="92"/>
      <c r="AO104" s="92"/>
      <c r="AP104" s="92"/>
      <c r="BH104" s="3"/>
    </row>
    <row r="105" spans="5:60" x14ac:dyDescent="0.25">
      <c r="E105" s="32"/>
      <c r="F105" s="23" t="s">
        <v>227</v>
      </c>
      <c r="G105" s="23" t="s">
        <v>208</v>
      </c>
      <c r="H105" s="23"/>
      <c r="I105" s="23"/>
      <c r="J105" s="163">
        <f t="shared" ref="J105:AP105" si="10">J$57 * J34 * J93 / hours_in_year / $H45</f>
        <v>0</v>
      </c>
      <c r="K105" s="163">
        <f t="shared" si="10"/>
        <v>16.250552839485781</v>
      </c>
      <c r="L105" s="163">
        <f t="shared" si="10"/>
        <v>0</v>
      </c>
      <c r="M105" s="163">
        <f t="shared" si="10"/>
        <v>0</v>
      </c>
      <c r="N105" s="163">
        <f t="shared" si="10"/>
        <v>5.4490919775549678</v>
      </c>
      <c r="O105" s="163">
        <f t="shared" si="10"/>
        <v>0</v>
      </c>
      <c r="P105" s="163">
        <f t="shared" si="10"/>
        <v>0.62727865310358544</v>
      </c>
      <c r="Q105" s="163">
        <f t="shared" si="10"/>
        <v>0</v>
      </c>
      <c r="R105" s="163">
        <f t="shared" si="10"/>
        <v>1.7967803637995355E-2</v>
      </c>
      <c r="S105" s="163">
        <f t="shared" si="10"/>
        <v>1.7682919432321757E-2</v>
      </c>
      <c r="T105" s="163">
        <f t="shared" si="10"/>
        <v>5.515961102428923</v>
      </c>
      <c r="U105" s="163">
        <f t="shared" si="10"/>
        <v>91.241958794013186</v>
      </c>
      <c r="V105" s="163">
        <f t="shared" si="10"/>
        <v>6.009684685058593</v>
      </c>
      <c r="W105" s="163">
        <f t="shared" si="10"/>
        <v>43.020817405345142</v>
      </c>
      <c r="X105" s="163">
        <f t="shared" si="10"/>
        <v>0</v>
      </c>
      <c r="Y105" s="163">
        <f t="shared" si="10"/>
        <v>0</v>
      </c>
      <c r="Z105" s="163">
        <f t="shared" si="10"/>
        <v>0</v>
      </c>
      <c r="AA105" s="163">
        <f t="shared" si="10"/>
        <v>0</v>
      </c>
      <c r="AB105" s="163">
        <f t="shared" si="10"/>
        <v>1.7232621639685928</v>
      </c>
      <c r="AC105" s="163">
        <f t="shared" si="10"/>
        <v>0</v>
      </c>
      <c r="AD105" s="163">
        <f t="shared" si="10"/>
        <v>0</v>
      </c>
      <c r="AE105" s="163">
        <f t="shared" si="10"/>
        <v>0</v>
      </c>
      <c r="AF105" s="163">
        <f t="shared" si="10"/>
        <v>0</v>
      </c>
      <c r="AG105" s="163">
        <f t="shared" si="10"/>
        <v>-2.1127295899445286</v>
      </c>
      <c r="AH105" s="163">
        <f t="shared" si="10"/>
        <v>0</v>
      </c>
      <c r="AI105" s="163">
        <f t="shared" si="10"/>
        <v>0</v>
      </c>
      <c r="AJ105" s="163">
        <f t="shared" si="10"/>
        <v>0</v>
      </c>
      <c r="AK105" s="163">
        <f t="shared" si="10"/>
        <v>0</v>
      </c>
      <c r="AL105" s="163">
        <f t="shared" si="10"/>
        <v>0</v>
      </c>
      <c r="AM105" s="163">
        <f t="shared" si="10"/>
        <v>0</v>
      </c>
      <c r="AN105" s="163">
        <f t="shared" si="10"/>
        <v>0</v>
      </c>
      <c r="AO105" s="163">
        <f t="shared" si="10"/>
        <v>-34.44048013617553</v>
      </c>
      <c r="AP105" s="163">
        <f t="shared" si="10"/>
        <v>0</v>
      </c>
      <c r="BH105" s="3"/>
    </row>
    <row r="106" spans="5:60" x14ac:dyDescent="0.25">
      <c r="E106" s="32"/>
      <c r="F106" t="s">
        <v>228</v>
      </c>
      <c r="G106" t="s">
        <v>208</v>
      </c>
      <c r="J106" s="92">
        <f t="shared" ref="J106:AP106" si="11">J$57 * J35 * J94 / hours_in_year / $H46</f>
        <v>0</v>
      </c>
      <c r="K106" s="92">
        <f t="shared" si="11"/>
        <v>0</v>
      </c>
      <c r="L106" s="92">
        <f t="shared" si="11"/>
        <v>0</v>
      </c>
      <c r="M106" s="92">
        <f t="shared" si="11"/>
        <v>0</v>
      </c>
      <c r="N106" s="92">
        <f t="shared" si="11"/>
        <v>0</v>
      </c>
      <c r="O106" s="92">
        <f t="shared" si="11"/>
        <v>0</v>
      </c>
      <c r="P106" s="92">
        <f t="shared" si="11"/>
        <v>0</v>
      </c>
      <c r="Q106" s="92">
        <f t="shared" si="11"/>
        <v>0</v>
      </c>
      <c r="R106" s="92">
        <f t="shared" si="11"/>
        <v>0</v>
      </c>
      <c r="S106" s="92">
        <f t="shared" si="11"/>
        <v>0</v>
      </c>
      <c r="T106" s="92">
        <f t="shared" si="11"/>
        <v>0</v>
      </c>
      <c r="U106" s="92">
        <f t="shared" si="11"/>
        <v>0</v>
      </c>
      <c r="V106" s="92">
        <f t="shared" si="11"/>
        <v>0</v>
      </c>
      <c r="W106" s="92">
        <f t="shared" si="11"/>
        <v>0</v>
      </c>
      <c r="X106" s="92">
        <f t="shared" si="11"/>
        <v>0</v>
      </c>
      <c r="Y106" s="92">
        <f t="shared" si="11"/>
        <v>0</v>
      </c>
      <c r="Z106" s="92">
        <f t="shared" si="11"/>
        <v>0</v>
      </c>
      <c r="AA106" s="92">
        <f t="shared" si="11"/>
        <v>0</v>
      </c>
      <c r="AB106" s="92">
        <f t="shared" si="11"/>
        <v>0</v>
      </c>
      <c r="AC106" s="92">
        <f t="shared" si="11"/>
        <v>0</v>
      </c>
      <c r="AD106" s="92">
        <f t="shared" si="11"/>
        <v>0</v>
      </c>
      <c r="AE106" s="92">
        <f t="shared" si="11"/>
        <v>0</v>
      </c>
      <c r="AF106" s="92">
        <f t="shared" si="11"/>
        <v>0</v>
      </c>
      <c r="AG106" s="92">
        <f t="shared" si="11"/>
        <v>0</v>
      </c>
      <c r="AH106" s="92">
        <f t="shared" si="11"/>
        <v>0</v>
      </c>
      <c r="AI106" s="92">
        <f t="shared" si="11"/>
        <v>0</v>
      </c>
      <c r="AJ106" s="92">
        <f t="shared" si="11"/>
        <v>0</v>
      </c>
      <c r="AK106" s="92">
        <f t="shared" si="11"/>
        <v>0</v>
      </c>
      <c r="AL106" s="92">
        <f t="shared" si="11"/>
        <v>0</v>
      </c>
      <c r="AM106" s="92">
        <f t="shared" si="11"/>
        <v>0</v>
      </c>
      <c r="AN106" s="92">
        <f t="shared" si="11"/>
        <v>0</v>
      </c>
      <c r="AO106" s="92">
        <f t="shared" si="11"/>
        <v>0</v>
      </c>
      <c r="AP106" s="92">
        <f t="shared" si="11"/>
        <v>0</v>
      </c>
      <c r="BH106" s="3"/>
    </row>
    <row r="107" spans="5:60" x14ac:dyDescent="0.25">
      <c r="E107" s="32"/>
      <c r="F107" t="s">
        <v>229</v>
      </c>
      <c r="G107" t="s">
        <v>208</v>
      </c>
      <c r="J107" s="92">
        <f t="shared" ref="J107:AP107" si="12">J$57 * J36 * J95 / hours_in_year / $H47</f>
        <v>0</v>
      </c>
      <c r="K107" s="92">
        <f t="shared" si="12"/>
        <v>0</v>
      </c>
      <c r="L107" s="92">
        <f t="shared" si="12"/>
        <v>0</v>
      </c>
      <c r="M107" s="92">
        <f t="shared" si="12"/>
        <v>0</v>
      </c>
      <c r="N107" s="92">
        <f t="shared" si="12"/>
        <v>0</v>
      </c>
      <c r="O107" s="92">
        <f t="shared" si="12"/>
        <v>0</v>
      </c>
      <c r="P107" s="92">
        <f t="shared" si="12"/>
        <v>0</v>
      </c>
      <c r="Q107" s="92">
        <f t="shared" si="12"/>
        <v>0</v>
      </c>
      <c r="R107" s="92">
        <f t="shared" si="12"/>
        <v>0</v>
      </c>
      <c r="S107" s="92">
        <f t="shared" si="12"/>
        <v>0</v>
      </c>
      <c r="T107" s="92">
        <f t="shared" si="12"/>
        <v>0</v>
      </c>
      <c r="U107" s="92">
        <f t="shared" si="12"/>
        <v>0</v>
      </c>
      <c r="V107" s="92">
        <f t="shared" si="12"/>
        <v>0</v>
      </c>
      <c r="W107" s="92">
        <f t="shared" si="12"/>
        <v>0</v>
      </c>
      <c r="X107" s="92">
        <f t="shared" si="12"/>
        <v>0</v>
      </c>
      <c r="Y107" s="92">
        <f t="shared" si="12"/>
        <v>0</v>
      </c>
      <c r="Z107" s="92">
        <f t="shared" si="12"/>
        <v>0</v>
      </c>
      <c r="AA107" s="92">
        <f t="shared" si="12"/>
        <v>0</v>
      </c>
      <c r="AB107" s="92">
        <f t="shared" si="12"/>
        <v>0</v>
      </c>
      <c r="AC107" s="92">
        <f t="shared" si="12"/>
        <v>0</v>
      </c>
      <c r="AD107" s="92">
        <f t="shared" si="12"/>
        <v>0</v>
      </c>
      <c r="AE107" s="92">
        <f t="shared" si="12"/>
        <v>0</v>
      </c>
      <c r="AF107" s="92">
        <f t="shared" si="12"/>
        <v>0</v>
      </c>
      <c r="AG107" s="92">
        <f t="shared" si="12"/>
        <v>0</v>
      </c>
      <c r="AH107" s="92">
        <f t="shared" si="12"/>
        <v>0</v>
      </c>
      <c r="AI107" s="92">
        <f t="shared" si="12"/>
        <v>0</v>
      </c>
      <c r="AJ107" s="92">
        <f t="shared" si="12"/>
        <v>0</v>
      </c>
      <c r="AK107" s="92">
        <f t="shared" si="12"/>
        <v>0</v>
      </c>
      <c r="AL107" s="92">
        <f t="shared" si="12"/>
        <v>0</v>
      </c>
      <c r="AM107" s="92">
        <f t="shared" si="12"/>
        <v>0</v>
      </c>
      <c r="AN107" s="92">
        <f t="shared" si="12"/>
        <v>0</v>
      </c>
      <c r="AO107" s="92">
        <f t="shared" si="12"/>
        <v>0</v>
      </c>
      <c r="AP107" s="92">
        <f t="shared" si="12"/>
        <v>0</v>
      </c>
      <c r="BH107" s="3"/>
    </row>
    <row r="108" spans="5:60" x14ac:dyDescent="0.25">
      <c r="E108" s="32"/>
      <c r="F108" t="s">
        <v>230</v>
      </c>
      <c r="G108" t="s">
        <v>208</v>
      </c>
      <c r="J108" s="92">
        <f t="shared" ref="J108:AP108" si="13">J$57 * J37 * J96 / hours_in_year / $H48</f>
        <v>0</v>
      </c>
      <c r="K108" s="92">
        <f t="shared" si="13"/>
        <v>17.354760869586176</v>
      </c>
      <c r="L108" s="92">
        <f t="shared" si="13"/>
        <v>0</v>
      </c>
      <c r="M108" s="92">
        <f t="shared" si="13"/>
        <v>0</v>
      </c>
      <c r="N108" s="92">
        <f t="shared" si="13"/>
        <v>5.9806974252747622</v>
      </c>
      <c r="O108" s="92">
        <f t="shared" si="13"/>
        <v>0</v>
      </c>
      <c r="P108" s="92">
        <f t="shared" si="13"/>
        <v>0.68668652459062463</v>
      </c>
      <c r="Q108" s="92">
        <f t="shared" si="13"/>
        <v>0</v>
      </c>
      <c r="R108" s="92">
        <f t="shared" si="13"/>
        <v>1.9673734161057187E-2</v>
      </c>
      <c r="S108" s="92">
        <f t="shared" si="13"/>
        <v>1.9024802048037963E-2</v>
      </c>
      <c r="T108" s="92">
        <f t="shared" si="13"/>
        <v>5.9418725408821871</v>
      </c>
      <c r="U108" s="92">
        <f t="shared" si="13"/>
        <v>98.321076286652158</v>
      </c>
      <c r="V108" s="92">
        <f t="shared" si="13"/>
        <v>6.4759533244165874</v>
      </c>
      <c r="W108" s="92">
        <f t="shared" si="13"/>
        <v>46.358639445415022</v>
      </c>
      <c r="X108" s="92">
        <f t="shared" si="13"/>
        <v>0</v>
      </c>
      <c r="Y108" s="92">
        <f t="shared" si="13"/>
        <v>0</v>
      </c>
      <c r="Z108" s="92">
        <f t="shared" si="13"/>
        <v>0</v>
      </c>
      <c r="AA108" s="92">
        <f t="shared" si="13"/>
        <v>0</v>
      </c>
      <c r="AB108" s="92">
        <f t="shared" si="13"/>
        <v>1.8521402568404044</v>
      </c>
      <c r="AC108" s="92">
        <f t="shared" si="13"/>
        <v>0</v>
      </c>
      <c r="AD108" s="92">
        <f t="shared" si="13"/>
        <v>0</v>
      </c>
      <c r="AE108" s="92">
        <f t="shared" si="13"/>
        <v>0</v>
      </c>
      <c r="AF108" s="92">
        <f t="shared" si="13"/>
        <v>0</v>
      </c>
      <c r="AG108" s="92">
        <f t="shared" si="13"/>
        <v>-2.2766482650264317</v>
      </c>
      <c r="AH108" s="92">
        <f t="shared" si="13"/>
        <v>0</v>
      </c>
      <c r="AI108" s="92">
        <f t="shared" si="13"/>
        <v>0</v>
      </c>
      <c r="AJ108" s="92">
        <f t="shared" si="13"/>
        <v>0</v>
      </c>
      <c r="AK108" s="92">
        <f t="shared" si="13"/>
        <v>0</v>
      </c>
      <c r="AL108" s="92">
        <f t="shared" si="13"/>
        <v>0</v>
      </c>
      <c r="AM108" s="92">
        <f t="shared" si="13"/>
        <v>0</v>
      </c>
      <c r="AN108" s="92">
        <f t="shared" si="13"/>
        <v>0</v>
      </c>
      <c r="AO108" s="92">
        <f t="shared" si="13"/>
        <v>-37.112586353637425</v>
      </c>
      <c r="AP108" s="92">
        <f t="shared" si="13"/>
        <v>0</v>
      </c>
      <c r="BH108" s="3"/>
    </row>
    <row r="109" spans="5:60" x14ac:dyDescent="0.25">
      <c r="E109" s="32"/>
      <c r="F109" t="s">
        <v>231</v>
      </c>
      <c r="G109" t="s">
        <v>208</v>
      </c>
      <c r="J109" s="92">
        <f t="shared" ref="J109:AP109" si="14">J$57 * J38 * J97 / hours_in_year / $H49</f>
        <v>0</v>
      </c>
      <c r="K109" s="92">
        <f t="shared" si="14"/>
        <v>17.16869618190055</v>
      </c>
      <c r="L109" s="92">
        <f t="shared" si="14"/>
        <v>0</v>
      </c>
      <c r="M109" s="92">
        <f t="shared" si="14"/>
        <v>0</v>
      </c>
      <c r="N109" s="92">
        <f t="shared" si="14"/>
        <v>5.916576887576884</v>
      </c>
      <c r="O109" s="92">
        <f t="shared" si="14"/>
        <v>0</v>
      </c>
      <c r="P109" s="92">
        <f t="shared" si="14"/>
        <v>0.6793243883620701</v>
      </c>
      <c r="Q109" s="92">
        <f t="shared" si="14"/>
        <v>0</v>
      </c>
      <c r="R109" s="92">
        <f t="shared" si="14"/>
        <v>1.9462807186620898E-2</v>
      </c>
      <c r="S109" s="92">
        <f t="shared" si="14"/>
        <v>1.8820832435437165E-2</v>
      </c>
      <c r="T109" s="92">
        <f t="shared" si="14"/>
        <v>5.8781682543814995</v>
      </c>
      <c r="U109" s="92">
        <f t="shared" si="14"/>
        <v>97.266951687087641</v>
      </c>
      <c r="V109" s="92">
        <f t="shared" si="14"/>
        <v>6.4065230256167993</v>
      </c>
      <c r="W109" s="92">
        <f t="shared" si="14"/>
        <v>45.861616995220515</v>
      </c>
      <c r="X109" s="92">
        <f t="shared" si="14"/>
        <v>0</v>
      </c>
      <c r="Y109" s="92">
        <f t="shared" si="14"/>
        <v>0</v>
      </c>
      <c r="Z109" s="92">
        <f t="shared" si="14"/>
        <v>0</v>
      </c>
      <c r="AA109" s="92">
        <f t="shared" si="14"/>
        <v>0</v>
      </c>
      <c r="AB109" s="92">
        <f t="shared" si="14"/>
        <v>1.8322830026247663</v>
      </c>
      <c r="AC109" s="92">
        <f t="shared" si="14"/>
        <v>0</v>
      </c>
      <c r="AD109" s="92">
        <f t="shared" si="14"/>
        <v>0</v>
      </c>
      <c r="AE109" s="92">
        <f t="shared" si="14"/>
        <v>0</v>
      </c>
      <c r="AF109" s="92">
        <f t="shared" si="14"/>
        <v>0</v>
      </c>
      <c r="AG109" s="92">
        <f t="shared" si="14"/>
        <v>-2.2522397553624054</v>
      </c>
      <c r="AH109" s="92">
        <f t="shared" si="14"/>
        <v>0</v>
      </c>
      <c r="AI109" s="92">
        <f t="shared" si="14"/>
        <v>0</v>
      </c>
      <c r="AJ109" s="92">
        <f t="shared" si="14"/>
        <v>0</v>
      </c>
      <c r="AK109" s="92">
        <f t="shared" si="14"/>
        <v>0</v>
      </c>
      <c r="AL109" s="92">
        <f t="shared" si="14"/>
        <v>0</v>
      </c>
      <c r="AM109" s="92">
        <f t="shared" si="14"/>
        <v>0</v>
      </c>
      <c r="AN109" s="92">
        <f t="shared" si="14"/>
        <v>0</v>
      </c>
      <c r="AO109" s="92">
        <f t="shared" si="14"/>
        <v>-36.714693127623768</v>
      </c>
      <c r="AP109" s="92">
        <f t="shared" si="14"/>
        <v>0</v>
      </c>
      <c r="BH109" s="3"/>
    </row>
    <row r="110" spans="5:60" x14ac:dyDescent="0.25">
      <c r="E110" s="32"/>
      <c r="F110" t="s">
        <v>232</v>
      </c>
      <c r="G110" t="s">
        <v>208</v>
      </c>
      <c r="J110" s="92">
        <f t="shared" ref="J110:AP110" si="15">J$57 * J39 * J98 / hours_in_year / $H50</f>
        <v>0</v>
      </c>
      <c r="K110" s="92">
        <f t="shared" si="15"/>
        <v>0</v>
      </c>
      <c r="L110" s="92">
        <f t="shared" si="15"/>
        <v>0</v>
      </c>
      <c r="M110" s="92">
        <f t="shared" si="15"/>
        <v>0</v>
      </c>
      <c r="N110" s="92">
        <f t="shared" si="15"/>
        <v>0</v>
      </c>
      <c r="O110" s="92">
        <f t="shared" si="15"/>
        <v>0</v>
      </c>
      <c r="P110" s="92">
        <f t="shared" si="15"/>
        <v>0</v>
      </c>
      <c r="Q110" s="92">
        <f t="shared" si="15"/>
        <v>0</v>
      </c>
      <c r="R110" s="92">
        <f t="shared" si="15"/>
        <v>0</v>
      </c>
      <c r="S110" s="92">
        <f t="shared" si="15"/>
        <v>0</v>
      </c>
      <c r="T110" s="92">
        <f t="shared" si="15"/>
        <v>0</v>
      </c>
      <c r="U110" s="92">
        <f t="shared" si="15"/>
        <v>0</v>
      </c>
      <c r="V110" s="92">
        <f t="shared" si="15"/>
        <v>0</v>
      </c>
      <c r="W110" s="92">
        <f t="shared" si="15"/>
        <v>0</v>
      </c>
      <c r="X110" s="92">
        <f t="shared" si="15"/>
        <v>0</v>
      </c>
      <c r="Y110" s="92">
        <f t="shared" si="15"/>
        <v>0</v>
      </c>
      <c r="Z110" s="92">
        <f t="shared" si="15"/>
        <v>0</v>
      </c>
      <c r="AA110" s="92">
        <f t="shared" si="15"/>
        <v>0</v>
      </c>
      <c r="AB110" s="92">
        <f t="shared" si="15"/>
        <v>0</v>
      </c>
      <c r="AC110" s="92">
        <f t="shared" si="15"/>
        <v>0</v>
      </c>
      <c r="AD110" s="92">
        <f t="shared" si="15"/>
        <v>0</v>
      </c>
      <c r="AE110" s="92">
        <f t="shared" si="15"/>
        <v>0</v>
      </c>
      <c r="AF110" s="92">
        <f t="shared" si="15"/>
        <v>0</v>
      </c>
      <c r="AG110" s="92">
        <f t="shared" si="15"/>
        <v>0</v>
      </c>
      <c r="AH110" s="92">
        <f t="shared" si="15"/>
        <v>0</v>
      </c>
      <c r="AI110" s="92">
        <f t="shared" si="15"/>
        <v>0</v>
      </c>
      <c r="AJ110" s="92">
        <f t="shared" si="15"/>
        <v>0</v>
      </c>
      <c r="AK110" s="92">
        <f t="shared" si="15"/>
        <v>0</v>
      </c>
      <c r="AL110" s="92">
        <f t="shared" si="15"/>
        <v>0</v>
      </c>
      <c r="AM110" s="92">
        <f t="shared" si="15"/>
        <v>0</v>
      </c>
      <c r="AN110" s="92">
        <f t="shared" si="15"/>
        <v>0</v>
      </c>
      <c r="AO110" s="92">
        <f t="shared" si="15"/>
        <v>0</v>
      </c>
      <c r="AP110" s="92">
        <f t="shared" si="15"/>
        <v>0</v>
      </c>
      <c r="BH110" s="3"/>
    </row>
    <row r="111" spans="5:60" x14ac:dyDescent="0.25">
      <c r="E111" s="32"/>
      <c r="F111" t="s">
        <v>233</v>
      </c>
      <c r="G111" t="s">
        <v>208</v>
      </c>
      <c r="J111" s="92">
        <f t="shared" ref="J111:AP111" si="16">J$57 * J40 * J99 / hours_in_year / $H51</f>
        <v>0</v>
      </c>
      <c r="K111" s="92">
        <f t="shared" si="16"/>
        <v>17.019403171623157</v>
      </c>
      <c r="L111" s="92">
        <f t="shared" si="16"/>
        <v>0</v>
      </c>
      <c r="M111" s="92">
        <f t="shared" si="16"/>
        <v>0</v>
      </c>
      <c r="N111" s="92">
        <f t="shared" si="16"/>
        <v>5.865128392902303</v>
      </c>
      <c r="O111" s="92">
        <f t="shared" si="16"/>
        <v>0</v>
      </c>
      <c r="P111" s="92">
        <f t="shared" si="16"/>
        <v>0.67341721976761737</v>
      </c>
      <c r="Q111" s="92">
        <f t="shared" si="16"/>
        <v>0</v>
      </c>
      <c r="R111" s="92">
        <f t="shared" si="16"/>
        <v>1.9293565384998112E-2</v>
      </c>
      <c r="S111" s="92">
        <f t="shared" si="16"/>
        <v>1.8657173022955102E-2</v>
      </c>
      <c r="T111" s="92">
        <f t="shared" si="16"/>
        <v>5.8270537478216617</v>
      </c>
      <c r="U111" s="92">
        <f t="shared" si="16"/>
        <v>96.42115210719993</v>
      </c>
      <c r="V111" s="92">
        <f t="shared" si="16"/>
        <v>6.3508141297418712</v>
      </c>
      <c r="W111" s="92">
        <f t="shared" si="16"/>
        <v>45.46282032569686</v>
      </c>
      <c r="X111" s="92">
        <f t="shared" si="16"/>
        <v>0</v>
      </c>
      <c r="Y111" s="92">
        <f t="shared" si="16"/>
        <v>0</v>
      </c>
      <c r="Z111" s="92">
        <f t="shared" si="16"/>
        <v>0</v>
      </c>
      <c r="AA111" s="92">
        <f t="shared" si="16"/>
        <v>0</v>
      </c>
      <c r="AB111" s="92">
        <f t="shared" si="16"/>
        <v>1.8163501069497685</v>
      </c>
      <c r="AC111" s="92">
        <f t="shared" si="16"/>
        <v>0</v>
      </c>
      <c r="AD111" s="92">
        <f t="shared" si="16"/>
        <v>0</v>
      </c>
      <c r="AE111" s="92">
        <f t="shared" si="16"/>
        <v>0</v>
      </c>
      <c r="AF111" s="92">
        <f t="shared" si="16"/>
        <v>0</v>
      </c>
      <c r="AG111" s="92">
        <f t="shared" si="16"/>
        <v>-2.2326550618375149</v>
      </c>
      <c r="AH111" s="92">
        <f t="shared" si="16"/>
        <v>0</v>
      </c>
      <c r="AI111" s="92">
        <f t="shared" si="16"/>
        <v>0</v>
      </c>
      <c r="AJ111" s="92">
        <f t="shared" si="16"/>
        <v>0</v>
      </c>
      <c r="AK111" s="92">
        <f t="shared" si="16"/>
        <v>0</v>
      </c>
      <c r="AL111" s="92">
        <f t="shared" si="16"/>
        <v>0</v>
      </c>
      <c r="AM111" s="92">
        <f t="shared" si="16"/>
        <v>0</v>
      </c>
      <c r="AN111" s="92">
        <f t="shared" si="16"/>
        <v>0</v>
      </c>
      <c r="AO111" s="92">
        <f t="shared" si="16"/>
        <v>0</v>
      </c>
      <c r="AP111" s="92">
        <f t="shared" si="16"/>
        <v>0</v>
      </c>
      <c r="BH111" s="3"/>
    </row>
    <row r="112" spans="5:60" x14ac:dyDescent="0.25">
      <c r="E112" s="32"/>
      <c r="F112" t="s">
        <v>234</v>
      </c>
      <c r="G112" t="s">
        <v>208</v>
      </c>
      <c r="J112" s="92">
        <f t="shared" ref="J112:AP112" si="17">J$57 * J41 * J100 / hours_in_year / $H52</f>
        <v>0</v>
      </c>
      <c r="K112" s="92">
        <f t="shared" si="17"/>
        <v>16.665167722450299</v>
      </c>
      <c r="L112" s="92">
        <f t="shared" si="17"/>
        <v>0</v>
      </c>
      <c r="M112" s="92">
        <f t="shared" si="17"/>
        <v>0</v>
      </c>
      <c r="N112" s="92">
        <f t="shared" si="17"/>
        <v>5.7430538189724532</v>
      </c>
      <c r="O112" s="92">
        <f t="shared" si="17"/>
        <v>0</v>
      </c>
      <c r="P112" s="92">
        <f t="shared" si="17"/>
        <v>0.65940096732212294</v>
      </c>
      <c r="Q112" s="92">
        <f t="shared" si="17"/>
        <v>0</v>
      </c>
      <c r="R112" s="92">
        <f t="shared" si="17"/>
        <v>0</v>
      </c>
      <c r="S112" s="92">
        <f t="shared" si="17"/>
        <v>1.8268849648778174E-2</v>
      </c>
      <c r="T112" s="92">
        <f t="shared" si="17"/>
        <v>5.7057716452179941</v>
      </c>
      <c r="U112" s="92">
        <f t="shared" si="17"/>
        <v>94.414278553407684</v>
      </c>
      <c r="V112" s="92">
        <f t="shared" si="17"/>
        <v>6.2186306757642731</v>
      </c>
      <c r="W112" s="92">
        <f t="shared" si="17"/>
        <v>0</v>
      </c>
      <c r="X112" s="92">
        <f t="shared" si="17"/>
        <v>0</v>
      </c>
      <c r="Y112" s="92">
        <f t="shared" si="17"/>
        <v>0</v>
      </c>
      <c r="Z112" s="92">
        <f t="shared" si="17"/>
        <v>0</v>
      </c>
      <c r="AA112" s="92">
        <f t="shared" si="17"/>
        <v>0</v>
      </c>
      <c r="AB112" s="92">
        <f t="shared" si="17"/>
        <v>1.7785452797474082</v>
      </c>
      <c r="AC112" s="92">
        <f t="shared" si="17"/>
        <v>0</v>
      </c>
      <c r="AD112" s="92">
        <f t="shared" si="17"/>
        <v>0</v>
      </c>
      <c r="AE112" s="92">
        <f t="shared" si="17"/>
        <v>0</v>
      </c>
      <c r="AF112" s="92">
        <f t="shared" si="17"/>
        <v>0</v>
      </c>
      <c r="AG112" s="92">
        <f t="shared" si="17"/>
        <v>-2.1861854200584938</v>
      </c>
      <c r="AH112" s="92">
        <f t="shared" si="17"/>
        <v>0</v>
      </c>
      <c r="AI112" s="92">
        <f t="shared" si="17"/>
        <v>0</v>
      </c>
      <c r="AJ112" s="92">
        <f t="shared" si="17"/>
        <v>0</v>
      </c>
      <c r="AK112" s="92">
        <f t="shared" si="17"/>
        <v>0</v>
      </c>
      <c r="AL112" s="92">
        <f t="shared" si="17"/>
        <v>0</v>
      </c>
      <c r="AM112" s="92">
        <f t="shared" si="17"/>
        <v>0</v>
      </c>
      <c r="AN112" s="92">
        <f t="shared" si="17"/>
        <v>0</v>
      </c>
      <c r="AO112" s="92">
        <f t="shared" si="17"/>
        <v>0</v>
      </c>
      <c r="AP112" s="92">
        <f t="shared" si="17"/>
        <v>0</v>
      </c>
      <c r="BH112" s="3"/>
    </row>
    <row r="113" spans="5:60" x14ac:dyDescent="0.25">
      <c r="E113" s="32"/>
      <c r="F113" s="37" t="s">
        <v>235</v>
      </c>
      <c r="G113" s="37" t="s">
        <v>208</v>
      </c>
      <c r="H113" s="37"/>
      <c r="I113" s="37"/>
      <c r="J113" s="82">
        <f t="shared" ref="J113:AP113" si="18">J$57 * J42 * J101 / hours_in_year / $H53</f>
        <v>0</v>
      </c>
      <c r="K113" s="82">
        <f t="shared" si="18"/>
        <v>16.160625947366942</v>
      </c>
      <c r="L113" s="82">
        <f t="shared" si="18"/>
        <v>0</v>
      </c>
      <c r="M113" s="82">
        <f t="shared" si="18"/>
        <v>0</v>
      </c>
      <c r="N113" s="82">
        <f t="shared" si="18"/>
        <v>5.569181547388883</v>
      </c>
      <c r="O113" s="82">
        <f t="shared" si="18"/>
        <v>0</v>
      </c>
      <c r="P113" s="82">
        <f t="shared" si="18"/>
        <v>0.63943745179769163</v>
      </c>
      <c r="Q113" s="82">
        <f t="shared" si="18"/>
        <v>0</v>
      </c>
      <c r="R113" s="82">
        <f t="shared" si="18"/>
        <v>0</v>
      </c>
      <c r="S113" s="82">
        <f t="shared" si="18"/>
        <v>1.7715756035558285E-2</v>
      </c>
      <c r="T113" s="82">
        <f t="shared" si="18"/>
        <v>5.5330280999957973</v>
      </c>
      <c r="U113" s="82">
        <f t="shared" si="18"/>
        <v>91.55586461555221</v>
      </c>
      <c r="V113" s="82">
        <f t="shared" si="18"/>
        <v>0</v>
      </c>
      <c r="W113" s="82">
        <f t="shared" si="18"/>
        <v>0</v>
      </c>
      <c r="X113" s="82">
        <f t="shared" si="18"/>
        <v>0</v>
      </c>
      <c r="Y113" s="82">
        <f t="shared" si="18"/>
        <v>0</v>
      </c>
      <c r="Z113" s="82">
        <f t="shared" si="18"/>
        <v>0</v>
      </c>
      <c r="AA113" s="82">
        <f t="shared" si="18"/>
        <v>0</v>
      </c>
      <c r="AB113" s="82">
        <f t="shared" si="18"/>
        <v>1.7246994134798257</v>
      </c>
      <c r="AC113" s="82">
        <f t="shared" si="18"/>
        <v>0</v>
      </c>
      <c r="AD113" s="82">
        <f t="shared" si="18"/>
        <v>0</v>
      </c>
      <c r="AE113" s="82">
        <f t="shared" si="18"/>
        <v>0</v>
      </c>
      <c r="AF113" s="82">
        <f t="shared" si="18"/>
        <v>0</v>
      </c>
      <c r="AG113" s="82">
        <f t="shared" si="18"/>
        <v>0</v>
      </c>
      <c r="AH113" s="82">
        <f t="shared" si="18"/>
        <v>0</v>
      </c>
      <c r="AI113" s="82">
        <f t="shared" si="18"/>
        <v>0</v>
      </c>
      <c r="AJ113" s="82">
        <f t="shared" si="18"/>
        <v>0</v>
      </c>
      <c r="AK113" s="82">
        <f t="shared" si="18"/>
        <v>0</v>
      </c>
      <c r="AL113" s="82">
        <f t="shared" si="18"/>
        <v>0</v>
      </c>
      <c r="AM113" s="82">
        <f t="shared" si="18"/>
        <v>0</v>
      </c>
      <c r="AN113" s="82">
        <f t="shared" si="18"/>
        <v>0</v>
      </c>
      <c r="AO113" s="82">
        <f t="shared" si="18"/>
        <v>0</v>
      </c>
      <c r="AP113" s="82">
        <f t="shared" si="18"/>
        <v>0</v>
      </c>
      <c r="BH113" s="3"/>
    </row>
    <row r="114" spans="5:60" x14ac:dyDescent="0.25">
      <c r="E114" s="32"/>
      <c r="J114" s="92"/>
      <c r="K114" s="92"/>
      <c r="L114" s="92"/>
      <c r="M114" s="92"/>
      <c r="N114" s="92"/>
      <c r="O114" s="92"/>
      <c r="P114" s="92"/>
      <c r="Q114" s="92"/>
      <c r="R114" s="92"/>
      <c r="S114" s="92"/>
      <c r="T114" s="92"/>
      <c r="U114" s="92"/>
      <c r="V114" s="92"/>
      <c r="W114" s="92"/>
      <c r="X114" s="92"/>
      <c r="Y114" s="92"/>
      <c r="Z114" s="92"/>
      <c r="AA114" s="92"/>
      <c r="AB114" s="92"/>
      <c r="AC114" s="92"/>
      <c r="AD114" s="92"/>
      <c r="AE114" s="92"/>
      <c r="AF114" s="92"/>
      <c r="AG114" s="92"/>
      <c r="AH114" s="92"/>
      <c r="AI114" s="92"/>
      <c r="AJ114" s="92"/>
      <c r="AK114" s="92"/>
      <c r="AL114" s="92"/>
      <c r="AM114" s="92"/>
      <c r="AN114" s="92"/>
      <c r="AO114" s="92"/>
      <c r="AP114" s="92"/>
      <c r="BH114" s="3"/>
    </row>
    <row r="115" spans="5:60" x14ac:dyDescent="0.25">
      <c r="E115" s="32" t="s">
        <v>625</v>
      </c>
      <c r="J115" s="92"/>
      <c r="K115" s="92"/>
      <c r="L115" s="92"/>
      <c r="M115" s="92"/>
      <c r="N115" s="92"/>
      <c r="O115" s="92"/>
      <c r="P115" s="92"/>
      <c r="Q115" s="92"/>
      <c r="R115" s="92"/>
      <c r="S115" s="92"/>
      <c r="T115" s="92"/>
      <c r="U115" s="92"/>
      <c r="V115" s="92"/>
      <c r="W115" s="92"/>
      <c r="X115" s="92"/>
      <c r="Y115" s="92"/>
      <c r="Z115" s="92"/>
      <c r="AA115" s="92"/>
      <c r="AB115" s="92"/>
      <c r="AC115" s="92"/>
      <c r="AD115" s="92"/>
      <c r="AE115" s="92"/>
      <c r="AF115" s="92"/>
      <c r="AG115" s="92"/>
      <c r="AH115" s="92"/>
      <c r="AI115" s="92"/>
      <c r="AJ115" s="92"/>
      <c r="AK115" s="92"/>
      <c r="AL115" s="92"/>
      <c r="AM115" s="92"/>
      <c r="AN115" s="92"/>
      <c r="AO115" s="92"/>
      <c r="AP115" s="92"/>
      <c r="BH115" s="3"/>
    </row>
    <row r="116" spans="5:60" x14ac:dyDescent="0.25">
      <c r="E116" s="32"/>
      <c r="F116" s="23" t="s">
        <v>227</v>
      </c>
      <c r="G116" s="23" t="s">
        <v>342</v>
      </c>
      <c r="H116" s="23"/>
      <c r="I116" s="23"/>
      <c r="J116" s="127">
        <f>'Pseudo-load coefficients'!J531</f>
        <v>0</v>
      </c>
      <c r="K116" s="127">
        <f>'Pseudo-load coefficients'!K531</f>
        <v>0</v>
      </c>
      <c r="L116" s="127">
        <f>'Pseudo-load coefficients'!L531</f>
        <v>0</v>
      </c>
      <c r="M116" s="127">
        <f>'Pseudo-load coefficients'!M531</f>
        <v>0</v>
      </c>
      <c r="N116" s="127">
        <f>'Pseudo-load coefficients'!N531</f>
        <v>0</v>
      </c>
      <c r="O116" s="127">
        <f>'Pseudo-load coefficients'!O531</f>
        <v>0</v>
      </c>
      <c r="P116" s="127">
        <f>'Pseudo-load coefficients'!P531</f>
        <v>0</v>
      </c>
      <c r="Q116" s="127">
        <f>'Pseudo-load coefficients'!Q531</f>
        <v>0</v>
      </c>
      <c r="R116" s="127">
        <f>'Pseudo-load coefficients'!R531</f>
        <v>0</v>
      </c>
      <c r="S116" s="127">
        <f>'Pseudo-load coefficients'!S531</f>
        <v>0.47838633364392702</v>
      </c>
      <c r="T116" s="127">
        <f>'Pseudo-load coefficients'!T531</f>
        <v>0.52227672459366681</v>
      </c>
      <c r="U116" s="127">
        <f>'Pseudo-load coefficients'!U531</f>
        <v>0.41465659292023166</v>
      </c>
      <c r="V116" s="127">
        <f>'Pseudo-load coefficients'!V531</f>
        <v>0.41162452295030122</v>
      </c>
      <c r="W116" s="127">
        <f>'Pseudo-load coefficients'!W531</f>
        <v>0.39077899502898689</v>
      </c>
      <c r="X116" s="127">
        <f>'Pseudo-load coefficients'!X531</f>
        <v>0</v>
      </c>
      <c r="Y116" s="127">
        <f>'Pseudo-load coefficients'!Y531</f>
        <v>0</v>
      </c>
      <c r="Z116" s="127">
        <f>'Pseudo-load coefficients'!Z531</f>
        <v>0</v>
      </c>
      <c r="AA116" s="127">
        <f>'Pseudo-load coefficients'!AA531</f>
        <v>0</v>
      </c>
      <c r="AB116" s="127">
        <f>'Pseudo-load coefficients'!AB531</f>
        <v>0.33457705970609664</v>
      </c>
      <c r="AC116" s="127">
        <f>'Pseudo-load coefficients'!AC531</f>
        <v>0</v>
      </c>
      <c r="AD116" s="127">
        <f>'Pseudo-load coefficients'!AD531</f>
        <v>0</v>
      </c>
      <c r="AE116" s="127">
        <f>'Pseudo-load coefficients'!AE531</f>
        <v>0</v>
      </c>
      <c r="AF116" s="127">
        <f>'Pseudo-load coefficients'!AF531</f>
        <v>0</v>
      </c>
      <c r="AG116" s="127">
        <f>'Pseudo-load coefficients'!AG531</f>
        <v>0.34843238184370617</v>
      </c>
      <c r="AH116" s="127">
        <f>'Pseudo-load coefficients'!AH531</f>
        <v>0.34843238184370617</v>
      </c>
      <c r="AI116" s="127">
        <f>'Pseudo-load coefficients'!AI531</f>
        <v>0</v>
      </c>
      <c r="AJ116" s="127">
        <f>'Pseudo-load coefficients'!AJ531</f>
        <v>0</v>
      </c>
      <c r="AK116" s="127">
        <f>'Pseudo-load coefficients'!AK531</f>
        <v>0.34843238184370617</v>
      </c>
      <c r="AL116" s="127">
        <f>'Pseudo-load coefficients'!AL531</f>
        <v>0.34843238184370617</v>
      </c>
      <c r="AM116" s="127">
        <f>'Pseudo-load coefficients'!AM531</f>
        <v>0</v>
      </c>
      <c r="AN116" s="127">
        <f>'Pseudo-load coefficients'!AN531</f>
        <v>0</v>
      </c>
      <c r="AO116" s="127">
        <f>'Pseudo-load coefficients'!AO531</f>
        <v>0.34843238184370617</v>
      </c>
      <c r="AP116" s="127">
        <f>'Pseudo-load coefficients'!AP531</f>
        <v>0.34843238184370617</v>
      </c>
      <c r="BH116" s="3"/>
    </row>
    <row r="117" spans="5:60" x14ac:dyDescent="0.25">
      <c r="E117" s="32"/>
      <c r="F117" t="s">
        <v>228</v>
      </c>
      <c r="G117" t="s">
        <v>342</v>
      </c>
      <c r="J117" s="123">
        <f>'Pseudo-load coefficients'!J532</f>
        <v>0</v>
      </c>
      <c r="K117" s="123">
        <f>'Pseudo-load coefficients'!K532</f>
        <v>0</v>
      </c>
      <c r="L117" s="123">
        <f>'Pseudo-load coefficients'!L532</f>
        <v>0</v>
      </c>
      <c r="M117" s="123">
        <f>'Pseudo-load coefficients'!M532</f>
        <v>0</v>
      </c>
      <c r="N117" s="123">
        <f>'Pseudo-load coefficients'!N532</f>
        <v>0</v>
      </c>
      <c r="O117" s="123">
        <f>'Pseudo-load coefficients'!O532</f>
        <v>0</v>
      </c>
      <c r="P117" s="123">
        <f>'Pseudo-load coefficients'!P532</f>
        <v>0</v>
      </c>
      <c r="Q117" s="123">
        <f>'Pseudo-load coefficients'!Q532</f>
        <v>0</v>
      </c>
      <c r="R117" s="123">
        <f>'Pseudo-load coefficients'!R532</f>
        <v>0</v>
      </c>
      <c r="S117" s="123">
        <f>'Pseudo-load coefficients'!S532</f>
        <v>0</v>
      </c>
      <c r="T117" s="123">
        <f>'Pseudo-load coefficients'!T532</f>
        <v>0</v>
      </c>
      <c r="U117" s="123">
        <f>'Pseudo-load coefficients'!U532</f>
        <v>0</v>
      </c>
      <c r="V117" s="123">
        <f>'Pseudo-load coefficients'!V532</f>
        <v>0</v>
      </c>
      <c r="W117" s="123">
        <f>'Pseudo-load coefficients'!W532</f>
        <v>0</v>
      </c>
      <c r="X117" s="123">
        <f>'Pseudo-load coefficients'!X532</f>
        <v>0</v>
      </c>
      <c r="Y117" s="123">
        <f>'Pseudo-load coefficients'!Y532</f>
        <v>0</v>
      </c>
      <c r="Z117" s="123">
        <f>'Pseudo-load coefficients'!Z532</f>
        <v>0</v>
      </c>
      <c r="AA117" s="123">
        <f>'Pseudo-load coefficients'!AA532</f>
        <v>0</v>
      </c>
      <c r="AB117" s="123">
        <f>'Pseudo-load coefficients'!AB532</f>
        <v>0</v>
      </c>
      <c r="AC117" s="123">
        <f>'Pseudo-load coefficients'!AC532</f>
        <v>0</v>
      </c>
      <c r="AD117" s="123">
        <f>'Pseudo-load coefficients'!AD532</f>
        <v>0</v>
      </c>
      <c r="AE117" s="123">
        <f>'Pseudo-load coefficients'!AE532</f>
        <v>0</v>
      </c>
      <c r="AF117" s="123">
        <f>'Pseudo-load coefficients'!AF532</f>
        <v>0</v>
      </c>
      <c r="AG117" s="123">
        <f>'Pseudo-load coefficients'!AG532</f>
        <v>0</v>
      </c>
      <c r="AH117" s="123">
        <f>'Pseudo-load coefficients'!AH532</f>
        <v>0</v>
      </c>
      <c r="AI117" s="123">
        <f>'Pseudo-load coefficients'!AI532</f>
        <v>0</v>
      </c>
      <c r="AJ117" s="123">
        <f>'Pseudo-load coefficients'!AJ532</f>
        <v>0</v>
      </c>
      <c r="AK117" s="123">
        <f>'Pseudo-load coefficients'!AK532</f>
        <v>0</v>
      </c>
      <c r="AL117" s="123">
        <f>'Pseudo-load coefficients'!AL532</f>
        <v>0</v>
      </c>
      <c r="AM117" s="123">
        <f>'Pseudo-load coefficients'!AM532</f>
        <v>0</v>
      </c>
      <c r="AN117" s="123">
        <f>'Pseudo-load coefficients'!AN532</f>
        <v>0</v>
      </c>
      <c r="AO117" s="123">
        <f>'Pseudo-load coefficients'!AO532</f>
        <v>0</v>
      </c>
      <c r="AP117" s="123">
        <f>'Pseudo-load coefficients'!AP532</f>
        <v>0</v>
      </c>
      <c r="BH117" s="3"/>
    </row>
    <row r="118" spans="5:60" x14ac:dyDescent="0.25">
      <c r="E118" s="32"/>
      <c r="F118" t="s">
        <v>229</v>
      </c>
      <c r="G118" t="s">
        <v>342</v>
      </c>
      <c r="J118" s="123">
        <f>'Pseudo-load coefficients'!J533</f>
        <v>0</v>
      </c>
      <c r="K118" s="123">
        <f>'Pseudo-load coefficients'!K533</f>
        <v>0</v>
      </c>
      <c r="L118" s="123">
        <f>'Pseudo-load coefficients'!L533</f>
        <v>0</v>
      </c>
      <c r="M118" s="123">
        <f>'Pseudo-load coefficients'!M533</f>
        <v>0</v>
      </c>
      <c r="N118" s="123">
        <f>'Pseudo-load coefficients'!N533</f>
        <v>0</v>
      </c>
      <c r="O118" s="123">
        <f>'Pseudo-load coefficients'!O533</f>
        <v>0</v>
      </c>
      <c r="P118" s="123">
        <f>'Pseudo-load coefficients'!P533</f>
        <v>0</v>
      </c>
      <c r="Q118" s="123">
        <f>'Pseudo-load coefficients'!Q533</f>
        <v>0</v>
      </c>
      <c r="R118" s="123">
        <f>'Pseudo-load coefficients'!R533</f>
        <v>0</v>
      </c>
      <c r="S118" s="123">
        <f>'Pseudo-load coefficients'!S533</f>
        <v>0</v>
      </c>
      <c r="T118" s="123">
        <f>'Pseudo-load coefficients'!T533</f>
        <v>0</v>
      </c>
      <c r="U118" s="123">
        <f>'Pseudo-load coefficients'!U533</f>
        <v>0</v>
      </c>
      <c r="V118" s="123">
        <f>'Pseudo-load coefficients'!V533</f>
        <v>0</v>
      </c>
      <c r="W118" s="123">
        <f>'Pseudo-load coefficients'!W533</f>
        <v>0</v>
      </c>
      <c r="X118" s="123">
        <f>'Pseudo-load coefficients'!X533</f>
        <v>0</v>
      </c>
      <c r="Y118" s="123">
        <f>'Pseudo-load coefficients'!Y533</f>
        <v>0</v>
      </c>
      <c r="Z118" s="123">
        <f>'Pseudo-load coefficients'!Z533</f>
        <v>0</v>
      </c>
      <c r="AA118" s="123">
        <f>'Pseudo-load coefficients'!AA533</f>
        <v>0</v>
      </c>
      <c r="AB118" s="123">
        <f>'Pseudo-load coefficients'!AB533</f>
        <v>0</v>
      </c>
      <c r="AC118" s="123">
        <f>'Pseudo-load coefficients'!AC533</f>
        <v>0</v>
      </c>
      <c r="AD118" s="123">
        <f>'Pseudo-load coefficients'!AD533</f>
        <v>0</v>
      </c>
      <c r="AE118" s="123">
        <f>'Pseudo-load coefficients'!AE533</f>
        <v>0</v>
      </c>
      <c r="AF118" s="123">
        <f>'Pseudo-load coefficients'!AF533</f>
        <v>0</v>
      </c>
      <c r="AG118" s="123">
        <f>'Pseudo-load coefficients'!AG533</f>
        <v>0</v>
      </c>
      <c r="AH118" s="123">
        <f>'Pseudo-load coefficients'!AH533</f>
        <v>0</v>
      </c>
      <c r="AI118" s="123">
        <f>'Pseudo-load coefficients'!AI533</f>
        <v>0</v>
      </c>
      <c r="AJ118" s="123">
        <f>'Pseudo-load coefficients'!AJ533</f>
        <v>0</v>
      </c>
      <c r="AK118" s="123">
        <f>'Pseudo-load coefficients'!AK533</f>
        <v>0</v>
      </c>
      <c r="AL118" s="123">
        <f>'Pseudo-load coefficients'!AL533</f>
        <v>0</v>
      </c>
      <c r="AM118" s="123">
        <f>'Pseudo-load coefficients'!AM533</f>
        <v>0</v>
      </c>
      <c r="AN118" s="123">
        <f>'Pseudo-load coefficients'!AN533</f>
        <v>0</v>
      </c>
      <c r="AO118" s="123">
        <f>'Pseudo-load coefficients'!AO533</f>
        <v>0</v>
      </c>
      <c r="AP118" s="123">
        <f>'Pseudo-load coefficients'!AP533</f>
        <v>0</v>
      </c>
      <c r="BH118" s="3"/>
    </row>
    <row r="119" spans="5:60" x14ac:dyDescent="0.25">
      <c r="E119" s="32"/>
      <c r="F119" t="s">
        <v>230</v>
      </c>
      <c r="G119" t="s">
        <v>342</v>
      </c>
      <c r="J119" s="123">
        <f>'Pseudo-load coefficients'!J534</f>
        <v>0</v>
      </c>
      <c r="K119" s="123">
        <f>'Pseudo-load coefficients'!K534</f>
        <v>0</v>
      </c>
      <c r="L119" s="123">
        <f>'Pseudo-load coefficients'!L534</f>
        <v>0</v>
      </c>
      <c r="M119" s="123">
        <f>'Pseudo-load coefficients'!M534</f>
        <v>0</v>
      </c>
      <c r="N119" s="123">
        <f>'Pseudo-load coefficients'!N534</f>
        <v>0</v>
      </c>
      <c r="O119" s="123">
        <f>'Pseudo-load coefficients'!O534</f>
        <v>0</v>
      </c>
      <c r="P119" s="123">
        <f>'Pseudo-load coefficients'!P534</f>
        <v>0</v>
      </c>
      <c r="Q119" s="123">
        <f>'Pseudo-load coefficients'!Q534</f>
        <v>0</v>
      </c>
      <c r="R119" s="123">
        <f>'Pseudo-load coefficients'!R534</f>
        <v>0</v>
      </c>
      <c r="S119" s="123">
        <f>'Pseudo-load coefficients'!S534</f>
        <v>0.53382338970359733</v>
      </c>
      <c r="T119" s="123">
        <f>'Pseudo-load coefficients'!T534</f>
        <v>0.58351962138158964</v>
      </c>
      <c r="U119" s="123">
        <f>'Pseudo-load coefficients'!U534</f>
        <v>0.46343972149908247</v>
      </c>
      <c r="V119" s="123">
        <f>'Pseudo-load coefficients'!V534</f>
        <v>0.46005093741504249</v>
      </c>
      <c r="W119" s="123">
        <f>'Pseudo-load coefficients'!W534</f>
        <v>0.43675299444416182</v>
      </c>
      <c r="X119" s="123">
        <f>'Pseudo-load coefficients'!X534</f>
        <v>0</v>
      </c>
      <c r="Y119" s="123">
        <f>'Pseudo-load coefficients'!Y534</f>
        <v>0</v>
      </c>
      <c r="Z119" s="123">
        <f>'Pseudo-load coefficients'!Z534</f>
        <v>0</v>
      </c>
      <c r="AA119" s="123">
        <f>'Pseudo-load coefficients'!AA534</f>
        <v>0</v>
      </c>
      <c r="AB119" s="123">
        <f>'Pseudo-load coefficients'!AB534</f>
        <v>0.37393906673034333</v>
      </c>
      <c r="AC119" s="123">
        <f>'Pseudo-load coefficients'!AC534</f>
        <v>0</v>
      </c>
      <c r="AD119" s="123">
        <f>'Pseudo-load coefficients'!AD534</f>
        <v>0</v>
      </c>
      <c r="AE119" s="123">
        <f>'Pseudo-load coefficients'!AE534</f>
        <v>0</v>
      </c>
      <c r="AF119" s="123">
        <f>'Pseudo-load coefficients'!AF534</f>
        <v>0</v>
      </c>
      <c r="AG119" s="123">
        <f>'Pseudo-load coefficients'!AG534</f>
        <v>0.38942442676649514</v>
      </c>
      <c r="AH119" s="123">
        <f>'Pseudo-load coefficients'!AH534</f>
        <v>0.38942442676649514</v>
      </c>
      <c r="AI119" s="123">
        <f>'Pseudo-load coefficients'!AI534</f>
        <v>0</v>
      </c>
      <c r="AJ119" s="123">
        <f>'Pseudo-load coefficients'!AJ534</f>
        <v>0</v>
      </c>
      <c r="AK119" s="123">
        <f>'Pseudo-load coefficients'!AK534</f>
        <v>0.38942442676649514</v>
      </c>
      <c r="AL119" s="123">
        <f>'Pseudo-load coefficients'!AL534</f>
        <v>0.38942442676649514</v>
      </c>
      <c r="AM119" s="123">
        <f>'Pseudo-load coefficients'!AM534</f>
        <v>0</v>
      </c>
      <c r="AN119" s="123">
        <f>'Pseudo-load coefficients'!AN534</f>
        <v>0</v>
      </c>
      <c r="AO119" s="123">
        <f>'Pseudo-load coefficients'!AO534</f>
        <v>0.38942442676649514</v>
      </c>
      <c r="AP119" s="123">
        <f>'Pseudo-load coefficients'!AP534</f>
        <v>0.38942442676649514</v>
      </c>
      <c r="BH119" s="3"/>
    </row>
    <row r="120" spans="5:60" x14ac:dyDescent="0.25">
      <c r="E120" s="32"/>
      <c r="F120" t="s">
        <v>231</v>
      </c>
      <c r="G120" t="s">
        <v>342</v>
      </c>
      <c r="J120" s="123">
        <f>'Pseudo-load coefficients'!J535</f>
        <v>0</v>
      </c>
      <c r="K120" s="123">
        <f>'Pseudo-load coefficients'!K535</f>
        <v>0</v>
      </c>
      <c r="L120" s="123">
        <f>'Pseudo-load coefficients'!L535</f>
        <v>0</v>
      </c>
      <c r="M120" s="123">
        <f>'Pseudo-load coefficients'!M535</f>
        <v>0</v>
      </c>
      <c r="N120" s="123">
        <f>'Pseudo-load coefficients'!N535</f>
        <v>0</v>
      </c>
      <c r="O120" s="123">
        <f>'Pseudo-load coefficients'!O535</f>
        <v>0</v>
      </c>
      <c r="P120" s="123">
        <f>'Pseudo-load coefficients'!P535</f>
        <v>0</v>
      </c>
      <c r="Q120" s="123">
        <f>'Pseudo-load coefficients'!Q535</f>
        <v>0</v>
      </c>
      <c r="R120" s="123">
        <f>'Pseudo-load coefficients'!R535</f>
        <v>0</v>
      </c>
      <c r="S120" s="123">
        <f>'Pseudo-load coefficients'!S535</f>
        <v>0.53382338970359733</v>
      </c>
      <c r="T120" s="123">
        <f>'Pseudo-load coefficients'!T535</f>
        <v>0.58351962138158964</v>
      </c>
      <c r="U120" s="123">
        <f>'Pseudo-load coefficients'!U535</f>
        <v>0.46343972149908247</v>
      </c>
      <c r="V120" s="123">
        <f>'Pseudo-load coefficients'!V535</f>
        <v>0.46005093741504249</v>
      </c>
      <c r="W120" s="123">
        <f>'Pseudo-load coefficients'!W535</f>
        <v>0.43675299444416182</v>
      </c>
      <c r="X120" s="123">
        <f>'Pseudo-load coefficients'!X535</f>
        <v>0</v>
      </c>
      <c r="Y120" s="123">
        <f>'Pseudo-load coefficients'!Y535</f>
        <v>0</v>
      </c>
      <c r="Z120" s="123">
        <f>'Pseudo-load coefficients'!Z535</f>
        <v>0</v>
      </c>
      <c r="AA120" s="123">
        <f>'Pseudo-load coefficients'!AA535</f>
        <v>0</v>
      </c>
      <c r="AB120" s="123">
        <f>'Pseudo-load coefficients'!AB535</f>
        <v>0.37393906673034333</v>
      </c>
      <c r="AC120" s="123">
        <f>'Pseudo-load coefficients'!AC535</f>
        <v>0</v>
      </c>
      <c r="AD120" s="123">
        <f>'Pseudo-load coefficients'!AD535</f>
        <v>0</v>
      </c>
      <c r="AE120" s="123">
        <f>'Pseudo-load coefficients'!AE535</f>
        <v>0</v>
      </c>
      <c r="AF120" s="123">
        <f>'Pseudo-load coefficients'!AF535</f>
        <v>0</v>
      </c>
      <c r="AG120" s="123">
        <f>'Pseudo-load coefficients'!AG535</f>
        <v>0.38942442676649514</v>
      </c>
      <c r="AH120" s="123">
        <f>'Pseudo-load coefficients'!AH535</f>
        <v>0.38942442676649514</v>
      </c>
      <c r="AI120" s="123">
        <f>'Pseudo-load coefficients'!AI535</f>
        <v>0</v>
      </c>
      <c r="AJ120" s="123">
        <f>'Pseudo-load coefficients'!AJ535</f>
        <v>0</v>
      </c>
      <c r="AK120" s="123">
        <f>'Pseudo-load coefficients'!AK535</f>
        <v>0.38942442676649514</v>
      </c>
      <c r="AL120" s="123">
        <f>'Pseudo-load coefficients'!AL535</f>
        <v>0.38942442676649514</v>
      </c>
      <c r="AM120" s="123">
        <f>'Pseudo-load coefficients'!AM535</f>
        <v>0</v>
      </c>
      <c r="AN120" s="123">
        <f>'Pseudo-load coefficients'!AN535</f>
        <v>0</v>
      </c>
      <c r="AO120" s="123">
        <f>'Pseudo-load coefficients'!AO535</f>
        <v>0.38942442676649514</v>
      </c>
      <c r="AP120" s="123">
        <f>'Pseudo-load coefficients'!AP535</f>
        <v>0.38942442676649514</v>
      </c>
      <c r="BH120" s="3"/>
    </row>
    <row r="121" spans="5:60" x14ac:dyDescent="0.25">
      <c r="E121" s="32"/>
      <c r="F121" t="s">
        <v>232</v>
      </c>
      <c r="G121" t="s">
        <v>342</v>
      </c>
      <c r="J121" s="123">
        <f>'Pseudo-load coefficients'!J536</f>
        <v>0</v>
      </c>
      <c r="K121" s="123">
        <f>'Pseudo-load coefficients'!K536</f>
        <v>0</v>
      </c>
      <c r="L121" s="123">
        <f>'Pseudo-load coefficients'!L536</f>
        <v>0</v>
      </c>
      <c r="M121" s="123">
        <f>'Pseudo-load coefficients'!M536</f>
        <v>0</v>
      </c>
      <c r="N121" s="123">
        <f>'Pseudo-load coefficients'!N536</f>
        <v>0</v>
      </c>
      <c r="O121" s="123">
        <f>'Pseudo-load coefficients'!O536</f>
        <v>0</v>
      </c>
      <c r="P121" s="123">
        <f>'Pseudo-load coefficients'!P536</f>
        <v>0</v>
      </c>
      <c r="Q121" s="123">
        <f>'Pseudo-load coefficients'!Q536</f>
        <v>0</v>
      </c>
      <c r="R121" s="123">
        <f>'Pseudo-load coefficients'!R536</f>
        <v>0</v>
      </c>
      <c r="S121" s="123">
        <f>'Pseudo-load coefficients'!S536</f>
        <v>0</v>
      </c>
      <c r="T121" s="123">
        <f>'Pseudo-load coefficients'!T536</f>
        <v>0</v>
      </c>
      <c r="U121" s="123">
        <f>'Pseudo-load coefficients'!U536</f>
        <v>0</v>
      </c>
      <c r="V121" s="123">
        <f>'Pseudo-load coefficients'!V536</f>
        <v>0</v>
      </c>
      <c r="W121" s="123">
        <f>'Pseudo-load coefficients'!W536</f>
        <v>0</v>
      </c>
      <c r="X121" s="123">
        <f>'Pseudo-load coefficients'!X536</f>
        <v>0</v>
      </c>
      <c r="Y121" s="123">
        <f>'Pseudo-load coefficients'!Y536</f>
        <v>0</v>
      </c>
      <c r="Z121" s="123">
        <f>'Pseudo-load coefficients'!Z536</f>
        <v>0</v>
      </c>
      <c r="AA121" s="123">
        <f>'Pseudo-load coefficients'!AA536</f>
        <v>0</v>
      </c>
      <c r="AB121" s="123">
        <f>'Pseudo-load coefficients'!AB536</f>
        <v>0</v>
      </c>
      <c r="AC121" s="123">
        <f>'Pseudo-load coefficients'!AC536</f>
        <v>0</v>
      </c>
      <c r="AD121" s="123">
        <f>'Pseudo-load coefficients'!AD536</f>
        <v>0</v>
      </c>
      <c r="AE121" s="123">
        <f>'Pseudo-load coefficients'!AE536</f>
        <v>0</v>
      </c>
      <c r="AF121" s="123">
        <f>'Pseudo-load coefficients'!AF536</f>
        <v>0</v>
      </c>
      <c r="AG121" s="123">
        <f>'Pseudo-load coefficients'!AG536</f>
        <v>0</v>
      </c>
      <c r="AH121" s="123">
        <f>'Pseudo-load coefficients'!AH536</f>
        <v>0</v>
      </c>
      <c r="AI121" s="123">
        <f>'Pseudo-load coefficients'!AI536</f>
        <v>0</v>
      </c>
      <c r="AJ121" s="123">
        <f>'Pseudo-load coefficients'!AJ536</f>
        <v>0</v>
      </c>
      <c r="AK121" s="123">
        <f>'Pseudo-load coefficients'!AK536</f>
        <v>0</v>
      </c>
      <c r="AL121" s="123">
        <f>'Pseudo-load coefficients'!AL536</f>
        <v>0</v>
      </c>
      <c r="AM121" s="123">
        <f>'Pseudo-load coefficients'!AM536</f>
        <v>0</v>
      </c>
      <c r="AN121" s="123">
        <f>'Pseudo-load coefficients'!AN536</f>
        <v>0</v>
      </c>
      <c r="AO121" s="123">
        <f>'Pseudo-load coefficients'!AO536</f>
        <v>0</v>
      </c>
      <c r="AP121" s="123">
        <f>'Pseudo-load coefficients'!AP536</f>
        <v>0</v>
      </c>
      <c r="BH121" s="3"/>
    </row>
    <row r="122" spans="5:60" x14ac:dyDescent="0.25">
      <c r="E122" s="32"/>
      <c r="F122" t="s">
        <v>233</v>
      </c>
      <c r="G122" t="s">
        <v>342</v>
      </c>
      <c r="J122" s="123">
        <f>'Pseudo-load coefficients'!J537</f>
        <v>0</v>
      </c>
      <c r="K122" s="123">
        <f>'Pseudo-load coefficients'!K537</f>
        <v>0</v>
      </c>
      <c r="L122" s="123">
        <f>'Pseudo-load coefficients'!L537</f>
        <v>0</v>
      </c>
      <c r="M122" s="123">
        <f>'Pseudo-load coefficients'!M537</f>
        <v>0</v>
      </c>
      <c r="N122" s="123">
        <f>'Pseudo-load coefficients'!N537</f>
        <v>0</v>
      </c>
      <c r="O122" s="123">
        <f>'Pseudo-load coefficients'!O537</f>
        <v>0</v>
      </c>
      <c r="P122" s="123">
        <f>'Pseudo-load coefficients'!P537</f>
        <v>0</v>
      </c>
      <c r="Q122" s="123">
        <f>'Pseudo-load coefficients'!Q537</f>
        <v>0</v>
      </c>
      <c r="R122" s="123">
        <f>'Pseudo-load coefficients'!R537</f>
        <v>0</v>
      </c>
      <c r="S122" s="123">
        <f>'Pseudo-load coefficients'!S537</f>
        <v>0.53382338970359733</v>
      </c>
      <c r="T122" s="123">
        <f>'Pseudo-load coefficients'!T537</f>
        <v>0.58351962138158964</v>
      </c>
      <c r="U122" s="123">
        <f>'Pseudo-load coefficients'!U537</f>
        <v>0.46343972149908247</v>
      </c>
      <c r="V122" s="123">
        <f>'Pseudo-load coefficients'!V537</f>
        <v>0.46005093741504249</v>
      </c>
      <c r="W122" s="123">
        <f>'Pseudo-load coefficients'!W537</f>
        <v>0.43675299444416182</v>
      </c>
      <c r="X122" s="123">
        <f>'Pseudo-load coefficients'!X537</f>
        <v>0</v>
      </c>
      <c r="Y122" s="123">
        <f>'Pseudo-load coefficients'!Y537</f>
        <v>0</v>
      </c>
      <c r="Z122" s="123">
        <f>'Pseudo-load coefficients'!Z537</f>
        <v>0</v>
      </c>
      <c r="AA122" s="123">
        <f>'Pseudo-load coefficients'!AA537</f>
        <v>0</v>
      </c>
      <c r="AB122" s="123">
        <f>'Pseudo-load coefficients'!AB537</f>
        <v>0.37393906673034333</v>
      </c>
      <c r="AC122" s="123">
        <f>'Pseudo-load coefficients'!AC537</f>
        <v>0</v>
      </c>
      <c r="AD122" s="123">
        <f>'Pseudo-load coefficients'!AD537</f>
        <v>0</v>
      </c>
      <c r="AE122" s="123">
        <f>'Pseudo-load coefficients'!AE537</f>
        <v>0</v>
      </c>
      <c r="AF122" s="123">
        <f>'Pseudo-load coefficients'!AF537</f>
        <v>0</v>
      </c>
      <c r="AG122" s="123">
        <f>'Pseudo-load coefficients'!AG537</f>
        <v>0.38942442676649514</v>
      </c>
      <c r="AH122" s="123">
        <f>'Pseudo-load coefficients'!AH537</f>
        <v>0.38942442676649514</v>
      </c>
      <c r="AI122" s="123">
        <f>'Pseudo-load coefficients'!AI537</f>
        <v>0</v>
      </c>
      <c r="AJ122" s="123">
        <f>'Pseudo-load coefficients'!AJ537</f>
        <v>0</v>
      </c>
      <c r="AK122" s="123">
        <f>'Pseudo-load coefficients'!AK537</f>
        <v>0.38942442676649514</v>
      </c>
      <c r="AL122" s="123">
        <f>'Pseudo-load coefficients'!AL537</f>
        <v>0.38942442676649514</v>
      </c>
      <c r="AM122" s="123">
        <f>'Pseudo-load coefficients'!AM537</f>
        <v>0</v>
      </c>
      <c r="AN122" s="123">
        <f>'Pseudo-load coefficients'!AN537</f>
        <v>0</v>
      </c>
      <c r="AO122" s="123">
        <f>'Pseudo-load coefficients'!AO537</f>
        <v>0.38942442676649514</v>
      </c>
      <c r="AP122" s="123">
        <f>'Pseudo-load coefficients'!AP537</f>
        <v>0.38942442676649514</v>
      </c>
      <c r="BH122" s="3"/>
    </row>
    <row r="123" spans="5:60" x14ac:dyDescent="0.25">
      <c r="E123" s="32"/>
      <c r="F123" t="s">
        <v>234</v>
      </c>
      <c r="G123" t="s">
        <v>342</v>
      </c>
      <c r="J123" s="123">
        <f>'Pseudo-load coefficients'!J538</f>
        <v>0</v>
      </c>
      <c r="K123" s="123">
        <f>'Pseudo-load coefficients'!K538</f>
        <v>0</v>
      </c>
      <c r="L123" s="123">
        <f>'Pseudo-load coefficients'!L538</f>
        <v>0</v>
      </c>
      <c r="M123" s="123">
        <f>'Pseudo-load coefficients'!M538</f>
        <v>0</v>
      </c>
      <c r="N123" s="123">
        <f>'Pseudo-load coefficients'!N538</f>
        <v>0</v>
      </c>
      <c r="O123" s="123">
        <f>'Pseudo-load coefficients'!O538</f>
        <v>0</v>
      </c>
      <c r="P123" s="123">
        <f>'Pseudo-load coefficients'!P538</f>
        <v>0</v>
      </c>
      <c r="Q123" s="123">
        <f>'Pseudo-load coefficients'!Q538</f>
        <v>0</v>
      </c>
      <c r="R123" s="123">
        <f>'Pseudo-load coefficients'!R538</f>
        <v>0</v>
      </c>
      <c r="S123" s="123">
        <f>'Pseudo-load coefficients'!S538</f>
        <v>0.53382338970359733</v>
      </c>
      <c r="T123" s="123">
        <f>'Pseudo-load coefficients'!T538</f>
        <v>0.58351962138158964</v>
      </c>
      <c r="U123" s="123">
        <f>'Pseudo-load coefficients'!U538</f>
        <v>0.46343972149908247</v>
      </c>
      <c r="V123" s="123">
        <f>'Pseudo-load coefficients'!V538</f>
        <v>0.46005093741504249</v>
      </c>
      <c r="W123" s="123">
        <f>'Pseudo-load coefficients'!W538</f>
        <v>0.43675299444416182</v>
      </c>
      <c r="X123" s="123">
        <f>'Pseudo-load coefficients'!X538</f>
        <v>0</v>
      </c>
      <c r="Y123" s="123">
        <f>'Pseudo-load coefficients'!Y538</f>
        <v>0</v>
      </c>
      <c r="Z123" s="123">
        <f>'Pseudo-load coefficients'!Z538</f>
        <v>0</v>
      </c>
      <c r="AA123" s="123">
        <f>'Pseudo-load coefficients'!AA538</f>
        <v>0</v>
      </c>
      <c r="AB123" s="123">
        <f>'Pseudo-load coefficients'!AB538</f>
        <v>0.37393906673034333</v>
      </c>
      <c r="AC123" s="123">
        <f>'Pseudo-load coefficients'!AC538</f>
        <v>0</v>
      </c>
      <c r="AD123" s="123">
        <f>'Pseudo-load coefficients'!AD538</f>
        <v>0</v>
      </c>
      <c r="AE123" s="123">
        <f>'Pseudo-load coefficients'!AE538</f>
        <v>0</v>
      </c>
      <c r="AF123" s="123">
        <f>'Pseudo-load coefficients'!AF538</f>
        <v>0</v>
      </c>
      <c r="AG123" s="123">
        <f>'Pseudo-load coefficients'!AG538</f>
        <v>0.38942442676649514</v>
      </c>
      <c r="AH123" s="123">
        <f>'Pseudo-load coefficients'!AH538</f>
        <v>0.38942442676649514</v>
      </c>
      <c r="AI123" s="123">
        <f>'Pseudo-load coefficients'!AI538</f>
        <v>0</v>
      </c>
      <c r="AJ123" s="123">
        <f>'Pseudo-load coefficients'!AJ538</f>
        <v>0</v>
      </c>
      <c r="AK123" s="123">
        <f>'Pseudo-load coefficients'!AK538</f>
        <v>0.38942442676649514</v>
      </c>
      <c r="AL123" s="123">
        <f>'Pseudo-load coefficients'!AL538</f>
        <v>0.38942442676649514</v>
      </c>
      <c r="AM123" s="123">
        <f>'Pseudo-load coefficients'!AM538</f>
        <v>0</v>
      </c>
      <c r="AN123" s="123">
        <f>'Pseudo-load coefficients'!AN538</f>
        <v>0</v>
      </c>
      <c r="AO123" s="123">
        <f>'Pseudo-load coefficients'!AO538</f>
        <v>0.38942442676649514</v>
      </c>
      <c r="AP123" s="123">
        <f>'Pseudo-load coefficients'!AP538</f>
        <v>0.38942442676649514</v>
      </c>
      <c r="BH123" s="3"/>
    </row>
    <row r="124" spans="5:60" x14ac:dyDescent="0.25">
      <c r="E124" s="32"/>
      <c r="F124" s="37" t="s">
        <v>235</v>
      </c>
      <c r="G124" s="37" t="s">
        <v>342</v>
      </c>
      <c r="H124" s="37"/>
      <c r="I124" s="37"/>
      <c r="J124" s="128">
        <f>'Pseudo-load coefficients'!J539</f>
        <v>0</v>
      </c>
      <c r="K124" s="128">
        <f>'Pseudo-load coefficients'!K539</f>
        <v>0</v>
      </c>
      <c r="L124" s="128">
        <f>'Pseudo-load coefficients'!L539</f>
        <v>0</v>
      </c>
      <c r="M124" s="128">
        <f>'Pseudo-load coefficients'!M539</f>
        <v>0</v>
      </c>
      <c r="N124" s="128">
        <f>'Pseudo-load coefficients'!N539</f>
        <v>0</v>
      </c>
      <c r="O124" s="128">
        <f>'Pseudo-load coefficients'!O539</f>
        <v>0</v>
      </c>
      <c r="P124" s="128">
        <f>'Pseudo-load coefficients'!P539</f>
        <v>0</v>
      </c>
      <c r="Q124" s="128">
        <f>'Pseudo-load coefficients'!Q539</f>
        <v>0</v>
      </c>
      <c r="R124" s="128">
        <f>'Pseudo-load coefficients'!R539</f>
        <v>0</v>
      </c>
      <c r="S124" s="128">
        <f>'Pseudo-load coefficients'!S539</f>
        <v>0.53382338970359733</v>
      </c>
      <c r="T124" s="128">
        <f>'Pseudo-load coefficients'!T539</f>
        <v>0.58351962138158964</v>
      </c>
      <c r="U124" s="128">
        <f>'Pseudo-load coefficients'!U539</f>
        <v>0.46343972149908247</v>
      </c>
      <c r="V124" s="128">
        <f>'Pseudo-load coefficients'!V539</f>
        <v>0.46005093741504249</v>
      </c>
      <c r="W124" s="128">
        <f>'Pseudo-load coefficients'!W539</f>
        <v>0.43675299444416182</v>
      </c>
      <c r="X124" s="128">
        <f>'Pseudo-load coefficients'!X539</f>
        <v>0</v>
      </c>
      <c r="Y124" s="128">
        <f>'Pseudo-load coefficients'!Y539</f>
        <v>0</v>
      </c>
      <c r="Z124" s="128">
        <f>'Pseudo-load coefficients'!Z539</f>
        <v>0</v>
      </c>
      <c r="AA124" s="128">
        <f>'Pseudo-load coefficients'!AA539</f>
        <v>0</v>
      </c>
      <c r="AB124" s="128">
        <f>'Pseudo-load coefficients'!AB539</f>
        <v>0.37393906673034333</v>
      </c>
      <c r="AC124" s="128">
        <f>'Pseudo-load coefficients'!AC539</f>
        <v>0</v>
      </c>
      <c r="AD124" s="128">
        <f>'Pseudo-load coefficients'!AD539</f>
        <v>0</v>
      </c>
      <c r="AE124" s="128">
        <f>'Pseudo-load coefficients'!AE539</f>
        <v>0</v>
      </c>
      <c r="AF124" s="128">
        <f>'Pseudo-load coefficients'!AF539</f>
        <v>0</v>
      </c>
      <c r="AG124" s="128">
        <f>'Pseudo-load coefficients'!AG539</f>
        <v>0.38942442676649514</v>
      </c>
      <c r="AH124" s="128">
        <f>'Pseudo-load coefficients'!AH539</f>
        <v>0.38942442676649514</v>
      </c>
      <c r="AI124" s="128">
        <f>'Pseudo-load coefficients'!AI539</f>
        <v>0</v>
      </c>
      <c r="AJ124" s="128">
        <f>'Pseudo-load coefficients'!AJ539</f>
        <v>0</v>
      </c>
      <c r="AK124" s="128">
        <f>'Pseudo-load coefficients'!AK539</f>
        <v>0.38942442676649514</v>
      </c>
      <c r="AL124" s="128">
        <f>'Pseudo-load coefficients'!AL539</f>
        <v>0.38942442676649514</v>
      </c>
      <c r="AM124" s="128">
        <f>'Pseudo-load coefficients'!AM539</f>
        <v>0</v>
      </c>
      <c r="AN124" s="128">
        <f>'Pseudo-load coefficients'!AN539</f>
        <v>0</v>
      </c>
      <c r="AO124" s="128">
        <f>'Pseudo-load coefficients'!AO539</f>
        <v>0.38942442676649514</v>
      </c>
      <c r="AP124" s="128">
        <f>'Pseudo-load coefficients'!AP539</f>
        <v>0.38942442676649514</v>
      </c>
      <c r="BH124" s="3"/>
    </row>
    <row r="125" spans="5:60" x14ac:dyDescent="0.25">
      <c r="E125" s="32"/>
      <c r="J125" s="92"/>
      <c r="K125" s="92"/>
      <c r="L125" s="92"/>
      <c r="M125" s="92"/>
      <c r="N125" s="92"/>
      <c r="O125" s="92"/>
      <c r="P125" s="92"/>
      <c r="Q125" s="92"/>
      <c r="R125" s="92"/>
      <c r="S125" s="92"/>
      <c r="T125" s="92"/>
      <c r="U125" s="92"/>
      <c r="V125" s="92"/>
      <c r="W125" s="92"/>
      <c r="X125" s="92"/>
      <c r="Y125" s="92"/>
      <c r="Z125" s="92"/>
      <c r="AA125" s="92"/>
      <c r="AB125" s="92"/>
      <c r="AC125" s="92"/>
      <c r="AD125" s="92"/>
      <c r="AE125" s="92"/>
      <c r="AF125" s="92"/>
      <c r="AG125" s="92"/>
      <c r="AH125" s="92"/>
      <c r="AI125" s="92"/>
      <c r="AJ125" s="92"/>
      <c r="AK125" s="92"/>
      <c r="AL125" s="92"/>
      <c r="AM125" s="92"/>
      <c r="AN125" s="92"/>
      <c r="AO125" s="92"/>
      <c r="AP125" s="92"/>
      <c r="BH125" s="3"/>
    </row>
    <row r="126" spans="5:60" x14ac:dyDescent="0.25">
      <c r="E126" s="32" t="s">
        <v>626</v>
      </c>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c r="BH126" s="3"/>
    </row>
    <row r="127" spans="5:60" x14ac:dyDescent="0.25">
      <c r="E127" s="29" t="s">
        <v>627</v>
      </c>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c r="BH127" s="3"/>
    </row>
    <row r="128" spans="5:60" x14ac:dyDescent="0.25">
      <c r="E128" s="32"/>
      <c r="F128" s="23" t="s">
        <v>227</v>
      </c>
      <c r="G128" s="23" t="s">
        <v>208</v>
      </c>
      <c r="H128" s="23"/>
      <c r="I128" s="23"/>
      <c r="J128" s="163">
        <f t="shared" ref="J128:AP128" si="19">J$58 * J34 * J116 / hours_in_year / $H45</f>
        <v>0</v>
      </c>
      <c r="K128" s="163">
        <f t="shared" si="19"/>
        <v>0</v>
      </c>
      <c r="L128" s="163">
        <f t="shared" si="19"/>
        <v>0</v>
      </c>
      <c r="M128" s="163">
        <f t="shared" si="19"/>
        <v>0</v>
      </c>
      <c r="N128" s="163">
        <f t="shared" si="19"/>
        <v>0</v>
      </c>
      <c r="O128" s="163">
        <f t="shared" si="19"/>
        <v>0</v>
      </c>
      <c r="P128" s="163">
        <f t="shared" si="19"/>
        <v>0</v>
      </c>
      <c r="Q128" s="163">
        <f t="shared" si="19"/>
        <v>0</v>
      </c>
      <c r="R128" s="163">
        <f t="shared" si="19"/>
        <v>0</v>
      </c>
      <c r="S128" s="163">
        <f t="shared" si="19"/>
        <v>9.8398881630698057E-3</v>
      </c>
      <c r="T128" s="163">
        <f t="shared" si="19"/>
        <v>1.76760065153665</v>
      </c>
      <c r="U128" s="163">
        <f t="shared" si="19"/>
        <v>31.886297575732076</v>
      </c>
      <c r="V128" s="163">
        <f t="shared" si="19"/>
        <v>2.8386345174113825</v>
      </c>
      <c r="W128" s="163">
        <f t="shared" si="19"/>
        <v>18.520423756837307</v>
      </c>
      <c r="X128" s="163">
        <f t="shared" si="19"/>
        <v>0</v>
      </c>
      <c r="Y128" s="163">
        <f t="shared" si="19"/>
        <v>0</v>
      </c>
      <c r="Z128" s="163">
        <f t="shared" si="19"/>
        <v>0</v>
      </c>
      <c r="AA128" s="163">
        <f t="shared" si="19"/>
        <v>0</v>
      </c>
      <c r="AB128" s="163">
        <f t="shared" si="19"/>
        <v>2.5980978620549617</v>
      </c>
      <c r="AC128" s="163">
        <f t="shared" si="19"/>
        <v>0</v>
      </c>
      <c r="AD128" s="163">
        <f t="shared" si="19"/>
        <v>0</v>
      </c>
      <c r="AE128" s="163">
        <f t="shared" si="19"/>
        <v>0</v>
      </c>
      <c r="AF128" s="163">
        <f t="shared" si="19"/>
        <v>0</v>
      </c>
      <c r="AG128" s="163">
        <f t="shared" si="19"/>
        <v>-1.1164483805341963</v>
      </c>
      <c r="AH128" s="163">
        <f t="shared" si="19"/>
        <v>0</v>
      </c>
      <c r="AI128" s="163">
        <f t="shared" si="19"/>
        <v>0</v>
      </c>
      <c r="AJ128" s="163">
        <f t="shared" si="19"/>
        <v>0</v>
      </c>
      <c r="AK128" s="163">
        <f t="shared" si="19"/>
        <v>0</v>
      </c>
      <c r="AL128" s="163">
        <f t="shared" si="19"/>
        <v>0</v>
      </c>
      <c r="AM128" s="163">
        <f t="shared" si="19"/>
        <v>0</v>
      </c>
      <c r="AN128" s="163">
        <f t="shared" si="19"/>
        <v>0</v>
      </c>
      <c r="AO128" s="163">
        <f t="shared" si="19"/>
        <v>-14.892866670958195</v>
      </c>
      <c r="AP128" s="163">
        <f t="shared" si="19"/>
        <v>0</v>
      </c>
      <c r="BH128" s="3"/>
    </row>
    <row r="129" spans="3:60" x14ac:dyDescent="0.25">
      <c r="E129" s="32"/>
      <c r="F129" t="s">
        <v>228</v>
      </c>
      <c r="G129" t="s">
        <v>208</v>
      </c>
      <c r="J129" s="92">
        <f t="shared" ref="J129:AP129" si="20">J$58 * J35 * J117 / hours_in_year / $H46</f>
        <v>0</v>
      </c>
      <c r="K129" s="92">
        <f t="shared" si="20"/>
        <v>0</v>
      </c>
      <c r="L129" s="92">
        <f t="shared" si="20"/>
        <v>0</v>
      </c>
      <c r="M129" s="92">
        <f t="shared" si="20"/>
        <v>0</v>
      </c>
      <c r="N129" s="92">
        <f t="shared" si="20"/>
        <v>0</v>
      </c>
      <c r="O129" s="92">
        <f t="shared" si="20"/>
        <v>0</v>
      </c>
      <c r="P129" s="92">
        <f t="shared" si="20"/>
        <v>0</v>
      </c>
      <c r="Q129" s="92">
        <f t="shared" si="20"/>
        <v>0</v>
      </c>
      <c r="R129" s="92">
        <f t="shared" si="20"/>
        <v>0</v>
      </c>
      <c r="S129" s="92">
        <f t="shared" si="20"/>
        <v>0</v>
      </c>
      <c r="T129" s="92">
        <f t="shared" si="20"/>
        <v>0</v>
      </c>
      <c r="U129" s="92">
        <f t="shared" si="20"/>
        <v>0</v>
      </c>
      <c r="V129" s="92">
        <f t="shared" si="20"/>
        <v>0</v>
      </c>
      <c r="W129" s="92">
        <f t="shared" si="20"/>
        <v>0</v>
      </c>
      <c r="X129" s="92">
        <f t="shared" si="20"/>
        <v>0</v>
      </c>
      <c r="Y129" s="92">
        <f t="shared" si="20"/>
        <v>0</v>
      </c>
      <c r="Z129" s="92">
        <f t="shared" si="20"/>
        <v>0</v>
      </c>
      <c r="AA129" s="92">
        <f t="shared" si="20"/>
        <v>0</v>
      </c>
      <c r="AB129" s="92">
        <f t="shared" si="20"/>
        <v>0</v>
      </c>
      <c r="AC129" s="92">
        <f t="shared" si="20"/>
        <v>0</v>
      </c>
      <c r="AD129" s="92">
        <f t="shared" si="20"/>
        <v>0</v>
      </c>
      <c r="AE129" s="92">
        <f t="shared" si="20"/>
        <v>0</v>
      </c>
      <c r="AF129" s="92">
        <f t="shared" si="20"/>
        <v>0</v>
      </c>
      <c r="AG129" s="92">
        <f t="shared" si="20"/>
        <v>0</v>
      </c>
      <c r="AH129" s="92">
        <f t="shared" si="20"/>
        <v>0</v>
      </c>
      <c r="AI129" s="92">
        <f t="shared" si="20"/>
        <v>0</v>
      </c>
      <c r="AJ129" s="92">
        <f t="shared" si="20"/>
        <v>0</v>
      </c>
      <c r="AK129" s="92">
        <f t="shared" si="20"/>
        <v>0</v>
      </c>
      <c r="AL129" s="92">
        <f t="shared" si="20"/>
        <v>0</v>
      </c>
      <c r="AM129" s="92">
        <f t="shared" si="20"/>
        <v>0</v>
      </c>
      <c r="AN129" s="92">
        <f t="shared" si="20"/>
        <v>0</v>
      </c>
      <c r="AO129" s="92">
        <f t="shared" si="20"/>
        <v>0</v>
      </c>
      <c r="AP129" s="92">
        <f t="shared" si="20"/>
        <v>0</v>
      </c>
      <c r="BH129" s="3"/>
    </row>
    <row r="130" spans="3:60" x14ac:dyDescent="0.25">
      <c r="E130" s="32"/>
      <c r="F130" t="s">
        <v>229</v>
      </c>
      <c r="G130" t="s">
        <v>208</v>
      </c>
      <c r="J130" s="92">
        <f t="shared" ref="J130:AP130" si="21">J$58 * J36 * J118 / hours_in_year / $H47</f>
        <v>0</v>
      </c>
      <c r="K130" s="92">
        <f t="shared" si="21"/>
        <v>0</v>
      </c>
      <c r="L130" s="92">
        <f t="shared" si="21"/>
        <v>0</v>
      </c>
      <c r="M130" s="92">
        <f t="shared" si="21"/>
        <v>0</v>
      </c>
      <c r="N130" s="92">
        <f t="shared" si="21"/>
        <v>0</v>
      </c>
      <c r="O130" s="92">
        <f t="shared" si="21"/>
        <v>0</v>
      </c>
      <c r="P130" s="92">
        <f t="shared" si="21"/>
        <v>0</v>
      </c>
      <c r="Q130" s="92">
        <f t="shared" si="21"/>
        <v>0</v>
      </c>
      <c r="R130" s="92">
        <f t="shared" si="21"/>
        <v>0</v>
      </c>
      <c r="S130" s="92">
        <f t="shared" si="21"/>
        <v>0</v>
      </c>
      <c r="T130" s="92">
        <f t="shared" si="21"/>
        <v>0</v>
      </c>
      <c r="U130" s="92">
        <f t="shared" si="21"/>
        <v>0</v>
      </c>
      <c r="V130" s="92">
        <f t="shared" si="21"/>
        <v>0</v>
      </c>
      <c r="W130" s="92">
        <f t="shared" si="21"/>
        <v>0</v>
      </c>
      <c r="X130" s="92">
        <f t="shared" si="21"/>
        <v>0</v>
      </c>
      <c r="Y130" s="92">
        <f t="shared" si="21"/>
        <v>0</v>
      </c>
      <c r="Z130" s="92">
        <f t="shared" si="21"/>
        <v>0</v>
      </c>
      <c r="AA130" s="92">
        <f t="shared" si="21"/>
        <v>0</v>
      </c>
      <c r="AB130" s="92">
        <f t="shared" si="21"/>
        <v>0</v>
      </c>
      <c r="AC130" s="92">
        <f t="shared" si="21"/>
        <v>0</v>
      </c>
      <c r="AD130" s="92">
        <f t="shared" si="21"/>
        <v>0</v>
      </c>
      <c r="AE130" s="92">
        <f t="shared" si="21"/>
        <v>0</v>
      </c>
      <c r="AF130" s="92">
        <f t="shared" si="21"/>
        <v>0</v>
      </c>
      <c r="AG130" s="92">
        <f t="shared" si="21"/>
        <v>0</v>
      </c>
      <c r="AH130" s="92">
        <f t="shared" si="21"/>
        <v>0</v>
      </c>
      <c r="AI130" s="92">
        <f t="shared" si="21"/>
        <v>0</v>
      </c>
      <c r="AJ130" s="92">
        <f t="shared" si="21"/>
        <v>0</v>
      </c>
      <c r="AK130" s="92">
        <f t="shared" si="21"/>
        <v>0</v>
      </c>
      <c r="AL130" s="92">
        <f t="shared" si="21"/>
        <v>0</v>
      </c>
      <c r="AM130" s="92">
        <f t="shared" si="21"/>
        <v>0</v>
      </c>
      <c r="AN130" s="92">
        <f t="shared" si="21"/>
        <v>0</v>
      </c>
      <c r="AO130" s="92">
        <f t="shared" si="21"/>
        <v>0</v>
      </c>
      <c r="AP130" s="92">
        <f t="shared" si="21"/>
        <v>0</v>
      </c>
      <c r="BH130" s="3"/>
    </row>
    <row r="131" spans="3:60" x14ac:dyDescent="0.25">
      <c r="E131" s="32"/>
      <c r="F131" t="s">
        <v>230</v>
      </c>
      <c r="G131" t="s">
        <v>208</v>
      </c>
      <c r="J131" s="92">
        <f t="shared" ref="J131:AP131" si="22">J$58 * J37 * J119 / hours_in_year / $H48</f>
        <v>0</v>
      </c>
      <c r="K131" s="92">
        <f t="shared" si="22"/>
        <v>0</v>
      </c>
      <c r="L131" s="92">
        <f t="shared" si="22"/>
        <v>0</v>
      </c>
      <c r="M131" s="92">
        <f t="shared" si="22"/>
        <v>0</v>
      </c>
      <c r="N131" s="92">
        <f t="shared" si="22"/>
        <v>0</v>
      </c>
      <c r="O131" s="92">
        <f t="shared" si="22"/>
        <v>0</v>
      </c>
      <c r="P131" s="92">
        <f t="shared" si="22"/>
        <v>0</v>
      </c>
      <c r="Q131" s="92">
        <f t="shared" si="22"/>
        <v>0</v>
      </c>
      <c r="R131" s="92">
        <f t="shared" si="22"/>
        <v>0</v>
      </c>
      <c r="S131" s="92">
        <f t="shared" si="22"/>
        <v>1.0817899798185848E-2</v>
      </c>
      <c r="T131" s="92">
        <f t="shared" si="22"/>
        <v>1.9456866679795948</v>
      </c>
      <c r="U131" s="92">
        <f t="shared" si="22"/>
        <v>35.110962268264821</v>
      </c>
      <c r="V131" s="92">
        <f t="shared" si="22"/>
        <v>3.1257059305022463</v>
      </c>
      <c r="W131" s="92">
        <f t="shared" si="22"/>
        <v>20.393396197039049</v>
      </c>
      <c r="X131" s="92">
        <f t="shared" si="22"/>
        <v>0</v>
      </c>
      <c r="Y131" s="92">
        <f t="shared" si="22"/>
        <v>0</v>
      </c>
      <c r="Z131" s="92">
        <f t="shared" si="22"/>
        <v>0</v>
      </c>
      <c r="AA131" s="92">
        <f t="shared" si="22"/>
        <v>0</v>
      </c>
      <c r="AB131" s="92">
        <f t="shared" si="22"/>
        <v>2.8608437774004218</v>
      </c>
      <c r="AC131" s="92">
        <f t="shared" si="22"/>
        <v>0</v>
      </c>
      <c r="AD131" s="92">
        <f t="shared" si="22"/>
        <v>0</v>
      </c>
      <c r="AE131" s="92">
        <f t="shared" si="22"/>
        <v>0</v>
      </c>
      <c r="AF131" s="92">
        <f t="shared" si="22"/>
        <v>0</v>
      </c>
      <c r="AG131" s="92">
        <f t="shared" si="22"/>
        <v>-1.2293549249579674</v>
      </c>
      <c r="AH131" s="92">
        <f t="shared" si="22"/>
        <v>0</v>
      </c>
      <c r="AI131" s="92">
        <f t="shared" si="22"/>
        <v>0</v>
      </c>
      <c r="AJ131" s="92">
        <f t="shared" si="22"/>
        <v>0</v>
      </c>
      <c r="AK131" s="92">
        <f t="shared" si="22"/>
        <v>0</v>
      </c>
      <c r="AL131" s="92">
        <f t="shared" si="22"/>
        <v>0</v>
      </c>
      <c r="AM131" s="92">
        <f t="shared" si="22"/>
        <v>0</v>
      </c>
      <c r="AN131" s="92">
        <f t="shared" si="22"/>
        <v>0</v>
      </c>
      <c r="AO131" s="92">
        <f t="shared" si="22"/>
        <v>-16.398983874135364</v>
      </c>
      <c r="AP131" s="92">
        <f t="shared" si="22"/>
        <v>0</v>
      </c>
      <c r="BH131" s="3"/>
    </row>
    <row r="132" spans="3:60" x14ac:dyDescent="0.25">
      <c r="E132" s="32"/>
      <c r="F132" t="s">
        <v>231</v>
      </c>
      <c r="G132" t="s">
        <v>208</v>
      </c>
      <c r="J132" s="92">
        <f t="shared" ref="J132:AP132" si="23">J$58 * J38 * J120 / hours_in_year / $H49</f>
        <v>0</v>
      </c>
      <c r="K132" s="92">
        <f t="shared" si="23"/>
        <v>0</v>
      </c>
      <c r="L132" s="92">
        <f t="shared" si="23"/>
        <v>0</v>
      </c>
      <c r="M132" s="92">
        <f t="shared" si="23"/>
        <v>0</v>
      </c>
      <c r="N132" s="92">
        <f t="shared" si="23"/>
        <v>0</v>
      </c>
      <c r="O132" s="92">
        <f t="shared" si="23"/>
        <v>0</v>
      </c>
      <c r="P132" s="92">
        <f t="shared" si="23"/>
        <v>0</v>
      </c>
      <c r="Q132" s="92">
        <f t="shared" si="23"/>
        <v>0</v>
      </c>
      <c r="R132" s="92">
        <f t="shared" si="23"/>
        <v>0</v>
      </c>
      <c r="S132" s="92">
        <f t="shared" si="23"/>
        <v>1.0701918416333951E-2</v>
      </c>
      <c r="T132" s="92">
        <f t="shared" si="23"/>
        <v>1.9248264795314702</v>
      </c>
      <c r="U132" s="92">
        <f t="shared" si="23"/>
        <v>34.734528949599209</v>
      </c>
      <c r="V132" s="92">
        <f t="shared" si="23"/>
        <v>3.0921944634110914</v>
      </c>
      <c r="W132" s="92">
        <f t="shared" si="23"/>
        <v>20.174753547753053</v>
      </c>
      <c r="X132" s="92">
        <f t="shared" si="23"/>
        <v>0</v>
      </c>
      <c r="Y132" s="92">
        <f t="shared" si="23"/>
        <v>0</v>
      </c>
      <c r="Z132" s="92">
        <f t="shared" si="23"/>
        <v>0</v>
      </c>
      <c r="AA132" s="92">
        <f t="shared" si="23"/>
        <v>0</v>
      </c>
      <c r="AB132" s="92">
        <f t="shared" si="23"/>
        <v>2.8301719630228339</v>
      </c>
      <c r="AC132" s="92">
        <f t="shared" si="23"/>
        <v>0</v>
      </c>
      <c r="AD132" s="92">
        <f t="shared" si="23"/>
        <v>0</v>
      </c>
      <c r="AE132" s="92">
        <f t="shared" si="23"/>
        <v>0</v>
      </c>
      <c r="AF132" s="92">
        <f t="shared" si="23"/>
        <v>0</v>
      </c>
      <c r="AG132" s="92">
        <f t="shared" si="23"/>
        <v>-1.2161747064642658</v>
      </c>
      <c r="AH132" s="92">
        <f t="shared" si="23"/>
        <v>0</v>
      </c>
      <c r="AI132" s="92">
        <f t="shared" si="23"/>
        <v>0</v>
      </c>
      <c r="AJ132" s="92">
        <f t="shared" si="23"/>
        <v>0</v>
      </c>
      <c r="AK132" s="92">
        <f t="shared" si="23"/>
        <v>0</v>
      </c>
      <c r="AL132" s="92">
        <f t="shared" si="23"/>
        <v>0</v>
      </c>
      <c r="AM132" s="92">
        <f t="shared" si="23"/>
        <v>0</v>
      </c>
      <c r="AN132" s="92">
        <f t="shared" si="23"/>
        <v>0</v>
      </c>
      <c r="AO132" s="92">
        <f t="shared" si="23"/>
        <v>-16.223166308233328</v>
      </c>
      <c r="AP132" s="92">
        <f t="shared" si="23"/>
        <v>0</v>
      </c>
      <c r="BH132" s="3"/>
    </row>
    <row r="133" spans="3:60" x14ac:dyDescent="0.25">
      <c r="E133" s="32"/>
      <c r="F133" t="s">
        <v>232</v>
      </c>
      <c r="G133" t="s">
        <v>208</v>
      </c>
      <c r="J133" s="92">
        <f t="shared" ref="J133:AP133" si="24">J$58 * J39 * J121 / hours_in_year / $H50</f>
        <v>0</v>
      </c>
      <c r="K133" s="92">
        <f t="shared" si="24"/>
        <v>0</v>
      </c>
      <c r="L133" s="92">
        <f t="shared" si="24"/>
        <v>0</v>
      </c>
      <c r="M133" s="92">
        <f t="shared" si="24"/>
        <v>0</v>
      </c>
      <c r="N133" s="92">
        <f t="shared" si="24"/>
        <v>0</v>
      </c>
      <c r="O133" s="92">
        <f t="shared" si="24"/>
        <v>0</v>
      </c>
      <c r="P133" s="92">
        <f t="shared" si="24"/>
        <v>0</v>
      </c>
      <c r="Q133" s="92">
        <f t="shared" si="24"/>
        <v>0</v>
      </c>
      <c r="R133" s="92">
        <f t="shared" si="24"/>
        <v>0</v>
      </c>
      <c r="S133" s="92">
        <f t="shared" si="24"/>
        <v>0</v>
      </c>
      <c r="T133" s="92">
        <f t="shared" si="24"/>
        <v>0</v>
      </c>
      <c r="U133" s="92">
        <f t="shared" si="24"/>
        <v>0</v>
      </c>
      <c r="V133" s="92">
        <f t="shared" si="24"/>
        <v>0</v>
      </c>
      <c r="W133" s="92">
        <f t="shared" si="24"/>
        <v>0</v>
      </c>
      <c r="X133" s="92">
        <f t="shared" si="24"/>
        <v>0</v>
      </c>
      <c r="Y133" s="92">
        <f t="shared" si="24"/>
        <v>0</v>
      </c>
      <c r="Z133" s="92">
        <f t="shared" si="24"/>
        <v>0</v>
      </c>
      <c r="AA133" s="92">
        <f t="shared" si="24"/>
        <v>0</v>
      </c>
      <c r="AB133" s="92">
        <f t="shared" si="24"/>
        <v>0</v>
      </c>
      <c r="AC133" s="92">
        <f t="shared" si="24"/>
        <v>0</v>
      </c>
      <c r="AD133" s="92">
        <f t="shared" si="24"/>
        <v>0</v>
      </c>
      <c r="AE133" s="92">
        <f t="shared" si="24"/>
        <v>0</v>
      </c>
      <c r="AF133" s="92">
        <f t="shared" si="24"/>
        <v>0</v>
      </c>
      <c r="AG133" s="92">
        <f t="shared" si="24"/>
        <v>0</v>
      </c>
      <c r="AH133" s="92">
        <f t="shared" si="24"/>
        <v>0</v>
      </c>
      <c r="AI133" s="92">
        <f t="shared" si="24"/>
        <v>0</v>
      </c>
      <c r="AJ133" s="92">
        <f t="shared" si="24"/>
        <v>0</v>
      </c>
      <c r="AK133" s="92">
        <f t="shared" si="24"/>
        <v>0</v>
      </c>
      <c r="AL133" s="92">
        <f t="shared" si="24"/>
        <v>0</v>
      </c>
      <c r="AM133" s="92">
        <f t="shared" si="24"/>
        <v>0</v>
      </c>
      <c r="AN133" s="92">
        <f t="shared" si="24"/>
        <v>0</v>
      </c>
      <c r="AO133" s="92">
        <f t="shared" si="24"/>
        <v>0</v>
      </c>
      <c r="AP133" s="92">
        <f t="shared" si="24"/>
        <v>0</v>
      </c>
      <c r="BH133" s="3"/>
    </row>
    <row r="134" spans="3:60" x14ac:dyDescent="0.25">
      <c r="E134" s="32"/>
      <c r="F134" t="s">
        <v>233</v>
      </c>
      <c r="G134" t="s">
        <v>208</v>
      </c>
      <c r="J134" s="92">
        <f t="shared" ref="J134:AP134" si="25">J$58 * J40 * J122 / hours_in_year / $H51</f>
        <v>0</v>
      </c>
      <c r="K134" s="92">
        <f t="shared" si="25"/>
        <v>0</v>
      </c>
      <c r="L134" s="92">
        <f t="shared" si="25"/>
        <v>0</v>
      </c>
      <c r="M134" s="92">
        <f t="shared" si="25"/>
        <v>0</v>
      </c>
      <c r="N134" s="92">
        <f t="shared" si="25"/>
        <v>0</v>
      </c>
      <c r="O134" s="92">
        <f t="shared" si="25"/>
        <v>0</v>
      </c>
      <c r="P134" s="92">
        <f t="shared" si="25"/>
        <v>0</v>
      </c>
      <c r="Q134" s="92">
        <f t="shared" si="25"/>
        <v>0</v>
      </c>
      <c r="R134" s="92">
        <f t="shared" si="25"/>
        <v>0</v>
      </c>
      <c r="S134" s="92">
        <f t="shared" si="25"/>
        <v>1.0608858256191917E-2</v>
      </c>
      <c r="T134" s="92">
        <f t="shared" si="25"/>
        <v>1.9080888579703272</v>
      </c>
      <c r="U134" s="92">
        <f t="shared" si="25"/>
        <v>34.432489567428789</v>
      </c>
      <c r="V134" s="92">
        <f t="shared" si="25"/>
        <v>3.065305815903169</v>
      </c>
      <c r="W134" s="92">
        <f t="shared" si="25"/>
        <v>19.999320908207377</v>
      </c>
      <c r="X134" s="92">
        <f t="shared" si="25"/>
        <v>0</v>
      </c>
      <c r="Y134" s="92">
        <f t="shared" si="25"/>
        <v>0</v>
      </c>
      <c r="Z134" s="92">
        <f t="shared" si="25"/>
        <v>0</v>
      </c>
      <c r="AA134" s="92">
        <f t="shared" si="25"/>
        <v>0</v>
      </c>
      <c r="AB134" s="92">
        <f t="shared" si="25"/>
        <v>2.805561772040027</v>
      </c>
      <c r="AC134" s="92">
        <f t="shared" si="25"/>
        <v>0</v>
      </c>
      <c r="AD134" s="92">
        <f t="shared" si="25"/>
        <v>0</v>
      </c>
      <c r="AE134" s="92">
        <f t="shared" si="25"/>
        <v>0</v>
      </c>
      <c r="AF134" s="92">
        <f t="shared" si="25"/>
        <v>0</v>
      </c>
      <c r="AG134" s="92">
        <f t="shared" si="25"/>
        <v>-1.2055992742341419</v>
      </c>
      <c r="AH134" s="92">
        <f t="shared" si="25"/>
        <v>0</v>
      </c>
      <c r="AI134" s="92">
        <f t="shared" si="25"/>
        <v>0</v>
      </c>
      <c r="AJ134" s="92">
        <f t="shared" si="25"/>
        <v>0</v>
      </c>
      <c r="AK134" s="92">
        <f t="shared" si="25"/>
        <v>0</v>
      </c>
      <c r="AL134" s="92">
        <f t="shared" si="25"/>
        <v>0</v>
      </c>
      <c r="AM134" s="92">
        <f t="shared" si="25"/>
        <v>0</v>
      </c>
      <c r="AN134" s="92">
        <f t="shared" si="25"/>
        <v>0</v>
      </c>
      <c r="AO134" s="92">
        <f t="shared" si="25"/>
        <v>0</v>
      </c>
      <c r="AP134" s="92">
        <f t="shared" si="25"/>
        <v>0</v>
      </c>
      <c r="BH134" s="3"/>
    </row>
    <row r="135" spans="3:60" x14ac:dyDescent="0.25">
      <c r="E135" s="32"/>
      <c r="F135" t="s">
        <v>234</v>
      </c>
      <c r="G135" t="s">
        <v>208</v>
      </c>
      <c r="J135" s="92">
        <f t="shared" ref="J135:AP135" si="26">J$58 * J41 * J123 / hours_in_year / $H52</f>
        <v>0</v>
      </c>
      <c r="K135" s="92">
        <f t="shared" si="26"/>
        <v>0</v>
      </c>
      <c r="L135" s="92">
        <f t="shared" si="26"/>
        <v>0</v>
      </c>
      <c r="M135" s="92">
        <f t="shared" si="26"/>
        <v>0</v>
      </c>
      <c r="N135" s="92">
        <f t="shared" si="26"/>
        <v>0</v>
      </c>
      <c r="O135" s="92">
        <f t="shared" si="26"/>
        <v>0</v>
      </c>
      <c r="P135" s="92">
        <f t="shared" si="26"/>
        <v>0</v>
      </c>
      <c r="Q135" s="92">
        <f t="shared" si="26"/>
        <v>0</v>
      </c>
      <c r="R135" s="92">
        <f t="shared" si="26"/>
        <v>0</v>
      </c>
      <c r="S135" s="92">
        <f t="shared" si="26"/>
        <v>1.0388049475079125E-2</v>
      </c>
      <c r="T135" s="92">
        <f t="shared" si="26"/>
        <v>1.8683746149472931</v>
      </c>
      <c r="U135" s="92">
        <f t="shared" si="26"/>
        <v>33.715824694691385</v>
      </c>
      <c r="V135" s="92">
        <f t="shared" si="26"/>
        <v>3.0015056948531504</v>
      </c>
      <c r="W135" s="92">
        <f t="shared" si="26"/>
        <v>0</v>
      </c>
      <c r="X135" s="92">
        <f t="shared" si="26"/>
        <v>0</v>
      </c>
      <c r="Y135" s="92">
        <f t="shared" si="26"/>
        <v>0</v>
      </c>
      <c r="Z135" s="92">
        <f t="shared" si="26"/>
        <v>0</v>
      </c>
      <c r="AA135" s="92">
        <f t="shared" si="26"/>
        <v>0</v>
      </c>
      <c r="AB135" s="92">
        <f t="shared" si="26"/>
        <v>2.7471678657156366</v>
      </c>
      <c r="AC135" s="92">
        <f t="shared" si="26"/>
        <v>0</v>
      </c>
      <c r="AD135" s="92">
        <f t="shared" si="26"/>
        <v>0</v>
      </c>
      <c r="AE135" s="92">
        <f t="shared" si="26"/>
        <v>0</v>
      </c>
      <c r="AF135" s="92">
        <f t="shared" si="26"/>
        <v>0</v>
      </c>
      <c r="AG135" s="92">
        <f t="shared" si="26"/>
        <v>-1.1805063848934123</v>
      </c>
      <c r="AH135" s="92">
        <f t="shared" si="26"/>
        <v>0</v>
      </c>
      <c r="AI135" s="92">
        <f t="shared" si="26"/>
        <v>0</v>
      </c>
      <c r="AJ135" s="92">
        <f t="shared" si="26"/>
        <v>0</v>
      </c>
      <c r="AK135" s="92">
        <f t="shared" si="26"/>
        <v>0</v>
      </c>
      <c r="AL135" s="92">
        <f t="shared" si="26"/>
        <v>0</v>
      </c>
      <c r="AM135" s="92">
        <f t="shared" si="26"/>
        <v>0</v>
      </c>
      <c r="AN135" s="92">
        <f t="shared" si="26"/>
        <v>0</v>
      </c>
      <c r="AO135" s="92">
        <f t="shared" si="26"/>
        <v>0</v>
      </c>
      <c r="AP135" s="92">
        <f t="shared" si="26"/>
        <v>0</v>
      </c>
      <c r="BH135" s="3"/>
    </row>
    <row r="136" spans="3:60" x14ac:dyDescent="0.25">
      <c r="E136" s="32"/>
      <c r="F136" s="37" t="s">
        <v>235</v>
      </c>
      <c r="G136" s="37" t="s">
        <v>208</v>
      </c>
      <c r="H136" s="37"/>
      <c r="I136" s="37"/>
      <c r="J136" s="82">
        <f t="shared" ref="J136:AP136" si="27">J$58 * J42 * J124 / hours_in_year / $H53</f>
        <v>0</v>
      </c>
      <c r="K136" s="82">
        <f t="shared" si="27"/>
        <v>0</v>
      </c>
      <c r="L136" s="82">
        <f t="shared" si="27"/>
        <v>0</v>
      </c>
      <c r="M136" s="82">
        <f t="shared" si="27"/>
        <v>0</v>
      </c>
      <c r="N136" s="82">
        <f t="shared" si="27"/>
        <v>0</v>
      </c>
      <c r="O136" s="82">
        <f t="shared" si="27"/>
        <v>0</v>
      </c>
      <c r="P136" s="82">
        <f t="shared" si="27"/>
        <v>0</v>
      </c>
      <c r="Q136" s="82">
        <f t="shared" si="27"/>
        <v>0</v>
      </c>
      <c r="R136" s="82">
        <f t="shared" si="27"/>
        <v>0</v>
      </c>
      <c r="S136" s="82">
        <f t="shared" si="27"/>
        <v>1.0073548894640948E-2</v>
      </c>
      <c r="T136" s="82">
        <f t="shared" si="27"/>
        <v>1.8118091449534757</v>
      </c>
      <c r="U136" s="82">
        <f t="shared" si="27"/>
        <v>32.695070369072283</v>
      </c>
      <c r="V136" s="82">
        <f t="shared" si="27"/>
        <v>0</v>
      </c>
      <c r="W136" s="82">
        <f t="shared" si="27"/>
        <v>0</v>
      </c>
      <c r="X136" s="82">
        <f t="shared" si="27"/>
        <v>0</v>
      </c>
      <c r="Y136" s="82">
        <f t="shared" si="27"/>
        <v>0</v>
      </c>
      <c r="Z136" s="82">
        <f t="shared" si="27"/>
        <v>0</v>
      </c>
      <c r="AA136" s="82">
        <f t="shared" si="27"/>
        <v>0</v>
      </c>
      <c r="AB136" s="82">
        <f t="shared" si="27"/>
        <v>2.6639967284967225</v>
      </c>
      <c r="AC136" s="82">
        <f t="shared" si="27"/>
        <v>0</v>
      </c>
      <c r="AD136" s="82">
        <f t="shared" si="27"/>
        <v>0</v>
      </c>
      <c r="AE136" s="82">
        <f t="shared" si="27"/>
        <v>0</v>
      </c>
      <c r="AF136" s="82">
        <f t="shared" si="27"/>
        <v>0</v>
      </c>
      <c r="AG136" s="82">
        <f t="shared" si="27"/>
        <v>0</v>
      </c>
      <c r="AH136" s="82">
        <f t="shared" si="27"/>
        <v>0</v>
      </c>
      <c r="AI136" s="82">
        <f t="shared" si="27"/>
        <v>0</v>
      </c>
      <c r="AJ136" s="82">
        <f t="shared" si="27"/>
        <v>0</v>
      </c>
      <c r="AK136" s="82">
        <f t="shared" si="27"/>
        <v>0</v>
      </c>
      <c r="AL136" s="82">
        <f t="shared" si="27"/>
        <v>0</v>
      </c>
      <c r="AM136" s="82">
        <f t="shared" si="27"/>
        <v>0</v>
      </c>
      <c r="AN136" s="82">
        <f t="shared" si="27"/>
        <v>0</v>
      </c>
      <c r="AO136" s="82">
        <f t="shared" si="27"/>
        <v>0</v>
      </c>
      <c r="AP136" s="82">
        <f t="shared" si="27"/>
        <v>0</v>
      </c>
      <c r="BH136" s="3"/>
    </row>
    <row r="137" spans="3:60"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c r="BH137" s="3"/>
    </row>
    <row r="138" spans="3:60" x14ac:dyDescent="0.25">
      <c r="C138" s="31" t="str">
        <f ca="1">INDEX('Version control'!$H$34:$H$56,MATCH($A$1,'Version control'!$F$34:$F$56,0),1)&amp;"-C: System peak load, all unit rates"</f>
        <v>Section 106-C: System peak load, all unit rates</v>
      </c>
      <c r="D138" s="31"/>
      <c r="E138" s="31"/>
      <c r="F138" s="31"/>
      <c r="G138" s="31"/>
      <c r="H138" s="31"/>
      <c r="I138" s="31"/>
      <c r="J138" s="93"/>
      <c r="K138" s="93"/>
      <c r="L138" s="93"/>
      <c r="M138" s="93"/>
      <c r="N138" s="93"/>
      <c r="O138" s="93"/>
      <c r="P138" s="93"/>
      <c r="Q138" s="93"/>
      <c r="R138" s="93"/>
      <c r="S138" s="93"/>
      <c r="T138" s="93"/>
      <c r="U138" s="93"/>
      <c r="V138" s="93"/>
      <c r="W138" s="93"/>
      <c r="X138" s="93"/>
      <c r="Y138" s="93"/>
      <c r="Z138" s="93"/>
      <c r="AA138" s="93"/>
      <c r="AB138" s="93"/>
      <c r="AC138" s="93"/>
      <c r="AD138" s="93"/>
      <c r="AE138" s="93"/>
      <c r="AF138" s="93"/>
      <c r="AG138" s="93"/>
      <c r="AH138" s="93"/>
      <c r="AI138" s="93"/>
      <c r="AJ138" s="93"/>
      <c r="AK138" s="93"/>
      <c r="AL138" s="93"/>
      <c r="AM138" s="93"/>
      <c r="AN138" s="93"/>
      <c r="AO138" s="93"/>
      <c r="AP138" s="93"/>
      <c r="AQ138" s="31"/>
      <c r="AR138" s="31"/>
      <c r="BH138" s="3"/>
    </row>
    <row r="139" spans="3:60" x14ac:dyDescent="0.25">
      <c r="H139" s="63"/>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3:60" x14ac:dyDescent="0.25">
      <c r="E140" s="32" t="s">
        <v>628</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c r="BH140" s="3"/>
    </row>
    <row r="141" spans="3:60" x14ac:dyDescent="0.25">
      <c r="E141" s="29" t="s">
        <v>629</v>
      </c>
      <c r="J141" s="92"/>
      <c r="K141" s="92"/>
      <c r="L141" s="92"/>
      <c r="M141" s="92"/>
      <c r="N141" s="92"/>
      <c r="O141" s="92"/>
      <c r="P141" s="92"/>
      <c r="Q141" s="92"/>
      <c r="R141" s="92"/>
      <c r="S141" s="92"/>
      <c r="T141" s="92"/>
      <c r="U141" s="92"/>
      <c r="V141" s="92"/>
      <c r="W141" s="92"/>
      <c r="X141" s="92"/>
      <c r="Y141" s="92"/>
      <c r="Z141" s="92"/>
      <c r="AA141" s="92"/>
      <c r="AB141" s="92"/>
      <c r="AC141" s="92"/>
      <c r="AD141" s="92"/>
      <c r="AE141" s="92"/>
      <c r="AF141" s="92"/>
      <c r="AG141" s="92"/>
      <c r="AH141" s="92"/>
      <c r="AI141" s="92"/>
      <c r="AJ141" s="92"/>
      <c r="AK141" s="92"/>
      <c r="AL141" s="92"/>
      <c r="AM141" s="92"/>
      <c r="AN141" s="92"/>
      <c r="AO141" s="92"/>
      <c r="AP141" s="92"/>
      <c r="BH141" s="3"/>
    </row>
    <row r="142" spans="3:60" x14ac:dyDescent="0.25">
      <c r="C142" s="32"/>
      <c r="F142" s="23" t="s">
        <v>227</v>
      </c>
      <c r="G142" s="23" t="s">
        <v>208</v>
      </c>
      <c r="H142" s="23"/>
      <c r="I142" s="23"/>
      <c r="J142" s="163">
        <f t="shared" ref="J142:AP142" si="28">J82 + J105 + J128</f>
        <v>504.99710874443343</v>
      </c>
      <c r="K142" s="163">
        <f t="shared" si="28"/>
        <v>76.643447200921486</v>
      </c>
      <c r="L142" s="163">
        <f t="shared" si="28"/>
        <v>33.578561750203392</v>
      </c>
      <c r="M142" s="163">
        <f t="shared" si="28"/>
        <v>182.31384904907239</v>
      </c>
      <c r="N142" s="163">
        <f t="shared" si="28"/>
        <v>41.849875624660811</v>
      </c>
      <c r="O142" s="163">
        <f t="shared" si="28"/>
        <v>2.0099809253542964</v>
      </c>
      <c r="P142" s="163">
        <f t="shared" si="28"/>
        <v>6.8344521063949308</v>
      </c>
      <c r="Q142" s="163">
        <f t="shared" si="28"/>
        <v>0</v>
      </c>
      <c r="R142" s="163">
        <f t="shared" si="28"/>
        <v>0.1401997312092883</v>
      </c>
      <c r="S142" s="163">
        <f t="shared" si="28"/>
        <v>8.0188777549805773E-2</v>
      </c>
      <c r="T142" s="163">
        <f t="shared" si="28"/>
        <v>15.626393135876279</v>
      </c>
      <c r="U142" s="163">
        <f t="shared" si="28"/>
        <v>265.2659836550751</v>
      </c>
      <c r="V142" s="163">
        <f t="shared" si="28"/>
        <v>18.078424781366724</v>
      </c>
      <c r="W142" s="163">
        <f t="shared" si="28"/>
        <v>128.34070870267627</v>
      </c>
      <c r="X142" s="163">
        <f t="shared" si="28"/>
        <v>1.6964584621122953</v>
      </c>
      <c r="Y142" s="163">
        <f t="shared" si="28"/>
        <v>2.3031073257019976</v>
      </c>
      <c r="Z142" s="163">
        <f t="shared" si="28"/>
        <v>0.75886355090548818</v>
      </c>
      <c r="AA142" s="163">
        <f t="shared" si="28"/>
        <v>5.1230948297946739E-3</v>
      </c>
      <c r="AB142" s="163">
        <f t="shared" si="28"/>
        <v>11.719058267970393</v>
      </c>
      <c r="AC142" s="163">
        <f t="shared" si="28"/>
        <v>-0.79790983444730024</v>
      </c>
      <c r="AD142" s="163">
        <f t="shared" si="28"/>
        <v>0</v>
      </c>
      <c r="AE142" s="163">
        <f t="shared" si="28"/>
        <v>-44.705171719183575</v>
      </c>
      <c r="AF142" s="163">
        <f t="shared" si="28"/>
        <v>0</v>
      </c>
      <c r="AG142" s="163">
        <f t="shared" si="28"/>
        <v>-6.8782882829601828</v>
      </c>
      <c r="AH142" s="163">
        <f t="shared" si="28"/>
        <v>0</v>
      </c>
      <c r="AI142" s="163">
        <f t="shared" si="28"/>
        <v>-0.42392083025114152</v>
      </c>
      <c r="AJ142" s="163">
        <f t="shared" si="28"/>
        <v>0</v>
      </c>
      <c r="AK142" s="163">
        <f t="shared" si="28"/>
        <v>0</v>
      </c>
      <c r="AL142" s="163">
        <f t="shared" si="28"/>
        <v>0</v>
      </c>
      <c r="AM142" s="163">
        <f t="shared" si="28"/>
        <v>-77.108292462041263</v>
      </c>
      <c r="AN142" s="163">
        <f t="shared" si="28"/>
        <v>0</v>
      </c>
      <c r="AO142" s="163">
        <f t="shared" si="28"/>
        <v>-111.97751144847034</v>
      </c>
      <c r="AP142" s="163">
        <f t="shared" si="28"/>
        <v>0</v>
      </c>
      <c r="BH142" s="3"/>
    </row>
    <row r="143" spans="3:60" x14ac:dyDescent="0.25">
      <c r="C143" s="32"/>
      <c r="F143" t="s">
        <v>228</v>
      </c>
      <c r="G143" t="s">
        <v>208</v>
      </c>
      <c r="J143" s="92">
        <f t="shared" ref="J143:AP143" si="29">J83 + J106 + J129</f>
        <v>0</v>
      </c>
      <c r="K143" s="92">
        <f t="shared" si="29"/>
        <v>0</v>
      </c>
      <c r="L143" s="92">
        <f t="shared" si="29"/>
        <v>0</v>
      </c>
      <c r="M143" s="92">
        <f t="shared" si="29"/>
        <v>0</v>
      </c>
      <c r="N143" s="92">
        <f t="shared" si="29"/>
        <v>0</v>
      </c>
      <c r="O143" s="92">
        <f t="shared" si="29"/>
        <v>0</v>
      </c>
      <c r="P143" s="92">
        <f t="shared" si="29"/>
        <v>0</v>
      </c>
      <c r="Q143" s="92">
        <f t="shared" si="29"/>
        <v>0</v>
      </c>
      <c r="R143" s="92">
        <f t="shared" si="29"/>
        <v>0</v>
      </c>
      <c r="S143" s="92">
        <f t="shared" si="29"/>
        <v>0</v>
      </c>
      <c r="T143" s="92">
        <f t="shared" si="29"/>
        <v>0</v>
      </c>
      <c r="U143" s="92">
        <f t="shared" si="29"/>
        <v>0</v>
      </c>
      <c r="V143" s="92">
        <f t="shared" si="29"/>
        <v>0</v>
      </c>
      <c r="W143" s="92">
        <f t="shared" si="29"/>
        <v>0</v>
      </c>
      <c r="X143" s="92">
        <f t="shared" si="29"/>
        <v>0</v>
      </c>
      <c r="Y143" s="92">
        <f t="shared" si="29"/>
        <v>0</v>
      </c>
      <c r="Z143" s="92">
        <f t="shared" si="29"/>
        <v>0</v>
      </c>
      <c r="AA143" s="92">
        <f t="shared" si="29"/>
        <v>0</v>
      </c>
      <c r="AB143" s="92">
        <f t="shared" si="29"/>
        <v>0</v>
      </c>
      <c r="AC143" s="92">
        <f t="shared" si="29"/>
        <v>0</v>
      </c>
      <c r="AD143" s="92">
        <f t="shared" si="29"/>
        <v>0</v>
      </c>
      <c r="AE143" s="92">
        <f t="shared" si="29"/>
        <v>0</v>
      </c>
      <c r="AF143" s="92">
        <f t="shared" si="29"/>
        <v>0</v>
      </c>
      <c r="AG143" s="92">
        <f t="shared" si="29"/>
        <v>0</v>
      </c>
      <c r="AH143" s="92">
        <f t="shared" si="29"/>
        <v>0</v>
      </c>
      <c r="AI143" s="92">
        <f t="shared" si="29"/>
        <v>0</v>
      </c>
      <c r="AJ143" s="92">
        <f t="shared" si="29"/>
        <v>0</v>
      </c>
      <c r="AK143" s="92">
        <f t="shared" si="29"/>
        <v>0</v>
      </c>
      <c r="AL143" s="92">
        <f t="shared" si="29"/>
        <v>0</v>
      </c>
      <c r="AM143" s="92">
        <f t="shared" si="29"/>
        <v>0</v>
      </c>
      <c r="AN143" s="92">
        <f t="shared" si="29"/>
        <v>0</v>
      </c>
      <c r="AO143" s="92">
        <f t="shared" si="29"/>
        <v>0</v>
      </c>
      <c r="AP143" s="92">
        <f t="shared" si="29"/>
        <v>0</v>
      </c>
      <c r="BH143" s="3"/>
    </row>
    <row r="144" spans="3:60" x14ac:dyDescent="0.25">
      <c r="C144" s="32"/>
      <c r="F144" t="s">
        <v>229</v>
      </c>
      <c r="G144" t="s">
        <v>208</v>
      </c>
      <c r="J144" s="92">
        <f t="shared" ref="J144:AP144" si="30">J84 + J107 + J130</f>
        <v>0</v>
      </c>
      <c r="K144" s="92">
        <f t="shared" si="30"/>
        <v>0</v>
      </c>
      <c r="L144" s="92">
        <f t="shared" si="30"/>
        <v>0</v>
      </c>
      <c r="M144" s="92">
        <f t="shared" si="30"/>
        <v>0</v>
      </c>
      <c r="N144" s="92">
        <f t="shared" si="30"/>
        <v>0</v>
      </c>
      <c r="O144" s="92">
        <f t="shared" si="30"/>
        <v>0</v>
      </c>
      <c r="P144" s="92">
        <f t="shared" si="30"/>
        <v>0</v>
      </c>
      <c r="Q144" s="92">
        <f t="shared" si="30"/>
        <v>0</v>
      </c>
      <c r="R144" s="92">
        <f t="shared" si="30"/>
        <v>0</v>
      </c>
      <c r="S144" s="92">
        <f t="shared" si="30"/>
        <v>0</v>
      </c>
      <c r="T144" s="92">
        <f t="shared" si="30"/>
        <v>0</v>
      </c>
      <c r="U144" s="92">
        <f t="shared" si="30"/>
        <v>0</v>
      </c>
      <c r="V144" s="92">
        <f t="shared" si="30"/>
        <v>0</v>
      </c>
      <c r="W144" s="92">
        <f t="shared" si="30"/>
        <v>0</v>
      </c>
      <c r="X144" s="92">
        <f t="shared" si="30"/>
        <v>0</v>
      </c>
      <c r="Y144" s="92">
        <f t="shared" si="30"/>
        <v>0</v>
      </c>
      <c r="Z144" s="92">
        <f t="shared" si="30"/>
        <v>0</v>
      </c>
      <c r="AA144" s="92">
        <f t="shared" si="30"/>
        <v>0</v>
      </c>
      <c r="AB144" s="92">
        <f t="shared" si="30"/>
        <v>0</v>
      </c>
      <c r="AC144" s="92">
        <f t="shared" si="30"/>
        <v>0</v>
      </c>
      <c r="AD144" s="92">
        <f t="shared" si="30"/>
        <v>0</v>
      </c>
      <c r="AE144" s="92">
        <f t="shared" si="30"/>
        <v>0</v>
      </c>
      <c r="AF144" s="92">
        <f t="shared" si="30"/>
        <v>0</v>
      </c>
      <c r="AG144" s="92">
        <f t="shared" si="30"/>
        <v>0</v>
      </c>
      <c r="AH144" s="92">
        <f t="shared" si="30"/>
        <v>0</v>
      </c>
      <c r="AI144" s="92">
        <f t="shared" si="30"/>
        <v>0</v>
      </c>
      <c r="AJ144" s="92">
        <f t="shared" si="30"/>
        <v>0</v>
      </c>
      <c r="AK144" s="92">
        <f t="shared" si="30"/>
        <v>0</v>
      </c>
      <c r="AL144" s="92">
        <f t="shared" si="30"/>
        <v>0</v>
      </c>
      <c r="AM144" s="92">
        <f t="shared" si="30"/>
        <v>0</v>
      </c>
      <c r="AN144" s="92">
        <f t="shared" si="30"/>
        <v>0</v>
      </c>
      <c r="AO144" s="92">
        <f t="shared" si="30"/>
        <v>0</v>
      </c>
      <c r="AP144" s="92">
        <f t="shared" si="30"/>
        <v>0</v>
      </c>
      <c r="BH144" s="3"/>
    </row>
    <row r="145" spans="3:60" x14ac:dyDescent="0.25">
      <c r="C145" s="32"/>
      <c r="F145" t="s">
        <v>230</v>
      </c>
      <c r="G145" t="s">
        <v>208</v>
      </c>
      <c r="J145" s="92">
        <f t="shared" ref="J145:AP145" si="31">J85 + J108 + J131</f>
        <v>489.45048978133565</v>
      </c>
      <c r="K145" s="92">
        <f t="shared" si="31"/>
        <v>75.183866714231826</v>
      </c>
      <c r="L145" s="92">
        <f t="shared" si="31"/>
        <v>35.086650712891078</v>
      </c>
      <c r="M145" s="92">
        <f t="shared" si="31"/>
        <v>178.856875456571</v>
      </c>
      <c r="N145" s="92">
        <f t="shared" si="31"/>
        <v>41.224993566731499</v>
      </c>
      <c r="O145" s="92">
        <f t="shared" si="31"/>
        <v>2.1190521264677979</v>
      </c>
      <c r="P145" s="92">
        <f t="shared" si="31"/>
        <v>6.6968325355212368</v>
      </c>
      <c r="Q145" s="92">
        <f t="shared" si="31"/>
        <v>0</v>
      </c>
      <c r="R145" s="92">
        <f t="shared" si="31"/>
        <v>0.13809072001133843</v>
      </c>
      <c r="S145" s="92">
        <f t="shared" si="31"/>
        <v>7.6569481930254465E-2</v>
      </c>
      <c r="T145" s="92">
        <f t="shared" si="31"/>
        <v>15.298702192363523</v>
      </c>
      <c r="U145" s="92">
        <f t="shared" si="31"/>
        <v>259.74007400599731</v>
      </c>
      <c r="V145" s="92">
        <f t="shared" si="31"/>
        <v>17.803820109342681</v>
      </c>
      <c r="W145" s="92">
        <f t="shared" si="31"/>
        <v>126.11213429719599</v>
      </c>
      <c r="X145" s="92">
        <f t="shared" si="31"/>
        <v>1.6702416868138223</v>
      </c>
      <c r="Y145" s="92">
        <f t="shared" si="31"/>
        <v>2.1398808029123249</v>
      </c>
      <c r="Z145" s="92">
        <f t="shared" si="31"/>
        <v>0.68287680663753358</v>
      </c>
      <c r="AA145" s="92">
        <f t="shared" si="31"/>
        <v>5.2834608826170847E-3</v>
      </c>
      <c r="AB145" s="92">
        <f t="shared" si="31"/>
        <v>10.88006858607222</v>
      </c>
      <c r="AC145" s="92">
        <f t="shared" si="31"/>
        <v>-0.78611806349487712</v>
      </c>
      <c r="AD145" s="92">
        <f t="shared" si="31"/>
        <v>0</v>
      </c>
      <c r="AE145" s="92">
        <f t="shared" si="31"/>
        <v>-44.04450415683111</v>
      </c>
      <c r="AF145" s="92">
        <f t="shared" si="31"/>
        <v>0</v>
      </c>
      <c r="AG145" s="92">
        <f t="shared" si="31"/>
        <v>-6.7487168840662513</v>
      </c>
      <c r="AH145" s="92">
        <f t="shared" si="31"/>
        <v>0</v>
      </c>
      <c r="AI145" s="92">
        <f t="shared" si="31"/>
        <v>-0.41765599039521334</v>
      </c>
      <c r="AJ145" s="92">
        <f t="shared" si="31"/>
        <v>0</v>
      </c>
      <c r="AK145" s="92">
        <f t="shared" si="31"/>
        <v>0</v>
      </c>
      <c r="AL145" s="92">
        <f t="shared" si="31"/>
        <v>0</v>
      </c>
      <c r="AM145" s="92">
        <f t="shared" si="31"/>
        <v>-75.968761046346074</v>
      </c>
      <c r="AN145" s="92">
        <f t="shared" si="31"/>
        <v>0</v>
      </c>
      <c r="AO145" s="92">
        <f t="shared" si="31"/>
        <v>-109.17913660469705</v>
      </c>
      <c r="AP145" s="92">
        <f t="shared" si="31"/>
        <v>0</v>
      </c>
      <c r="BH145" s="3"/>
    </row>
    <row r="146" spans="3:60" x14ac:dyDescent="0.25">
      <c r="C146" s="32"/>
      <c r="F146" t="s">
        <v>231</v>
      </c>
      <c r="G146" t="s">
        <v>208</v>
      </c>
      <c r="J146" s="92">
        <f t="shared" ref="J146:AP146" si="32">J86 + J109 + J132</f>
        <v>484.2029699103856</v>
      </c>
      <c r="K146" s="92">
        <f t="shared" si="32"/>
        <v>74.377801866418423</v>
      </c>
      <c r="L146" s="92">
        <f t="shared" si="32"/>
        <v>34.71047804442928</v>
      </c>
      <c r="M146" s="92">
        <f t="shared" si="32"/>
        <v>176.93930661639334</v>
      </c>
      <c r="N146" s="92">
        <f t="shared" si="32"/>
        <v>40.78301020490494</v>
      </c>
      <c r="O146" s="92">
        <f t="shared" si="32"/>
        <v>2.0963332440202871</v>
      </c>
      <c r="P146" s="92">
        <f t="shared" si="32"/>
        <v>6.6250341360175975</v>
      </c>
      <c r="Q146" s="92">
        <f t="shared" si="32"/>
        <v>0</v>
      </c>
      <c r="R146" s="92">
        <f t="shared" si="32"/>
        <v>0.13661021521589523</v>
      </c>
      <c r="S146" s="92">
        <f t="shared" si="32"/>
        <v>7.5748561558682537E-2</v>
      </c>
      <c r="T146" s="92">
        <f t="shared" si="32"/>
        <v>15.13468101876118</v>
      </c>
      <c r="U146" s="92">
        <f t="shared" si="32"/>
        <v>256.95533637045543</v>
      </c>
      <c r="V146" s="92">
        <f t="shared" si="32"/>
        <v>17.612940946377019</v>
      </c>
      <c r="W146" s="92">
        <f t="shared" si="32"/>
        <v>124.76005488465296</v>
      </c>
      <c r="X146" s="92">
        <f t="shared" si="32"/>
        <v>1.6523346121988591</v>
      </c>
      <c r="Y146" s="92">
        <f t="shared" si="32"/>
        <v>2.1169386110682353</v>
      </c>
      <c r="Z146" s="92">
        <f t="shared" si="32"/>
        <v>0.67555551533830072</v>
      </c>
      <c r="AA146" s="92">
        <f t="shared" si="32"/>
        <v>5.2268155905032558E-3</v>
      </c>
      <c r="AB146" s="92">
        <f t="shared" si="32"/>
        <v>10.763420677254679</v>
      </c>
      <c r="AC146" s="92">
        <f t="shared" si="32"/>
        <v>-0.777689897122125</v>
      </c>
      <c r="AD146" s="92">
        <f t="shared" si="32"/>
        <v>0</v>
      </c>
      <c r="AE146" s="92">
        <f t="shared" si="32"/>
        <v>-43.572292123960601</v>
      </c>
      <c r="AF146" s="92">
        <f t="shared" si="32"/>
        <v>0</v>
      </c>
      <c r="AG146" s="92">
        <f t="shared" si="32"/>
        <v>-6.6763622196171966</v>
      </c>
      <c r="AH146" s="92">
        <f t="shared" si="32"/>
        <v>0</v>
      </c>
      <c r="AI146" s="92">
        <f t="shared" si="32"/>
        <v>-0.4131781971258689</v>
      </c>
      <c r="AJ146" s="92">
        <f t="shared" si="32"/>
        <v>0</v>
      </c>
      <c r="AK146" s="92">
        <f t="shared" si="32"/>
        <v>0</v>
      </c>
      <c r="AL146" s="92">
        <f t="shared" si="32"/>
        <v>0</v>
      </c>
      <c r="AM146" s="92">
        <f t="shared" si="32"/>
        <v>-75.154281152086995</v>
      </c>
      <c r="AN146" s="92">
        <f t="shared" si="32"/>
        <v>0</v>
      </c>
      <c r="AO146" s="92">
        <f t="shared" si="32"/>
        <v>-108.00860005240497</v>
      </c>
      <c r="AP146" s="92">
        <f t="shared" si="32"/>
        <v>0</v>
      </c>
      <c r="BH146" s="3"/>
    </row>
    <row r="147" spans="3:60" x14ac:dyDescent="0.25">
      <c r="C147" s="32"/>
      <c r="F147" t="s">
        <v>232</v>
      </c>
      <c r="G147" t="s">
        <v>208</v>
      </c>
      <c r="H147" s="63"/>
      <c r="J147" s="92">
        <f t="shared" ref="J147:AP147" si="33">J87 + J110 + J133</f>
        <v>0</v>
      </c>
      <c r="K147" s="92">
        <f t="shared" si="33"/>
        <v>0</v>
      </c>
      <c r="L147" s="92">
        <f t="shared" si="33"/>
        <v>0</v>
      </c>
      <c r="M147" s="92">
        <f t="shared" si="33"/>
        <v>0</v>
      </c>
      <c r="N147" s="92">
        <f t="shared" si="33"/>
        <v>0</v>
      </c>
      <c r="O147" s="92">
        <f t="shared" si="33"/>
        <v>0</v>
      </c>
      <c r="P147" s="92">
        <f t="shared" si="33"/>
        <v>0</v>
      </c>
      <c r="Q147" s="92">
        <f t="shared" si="33"/>
        <v>0</v>
      </c>
      <c r="R147" s="92">
        <f t="shared" si="33"/>
        <v>0</v>
      </c>
      <c r="S147" s="92">
        <f t="shared" si="33"/>
        <v>0</v>
      </c>
      <c r="T147" s="92">
        <f t="shared" si="33"/>
        <v>0</v>
      </c>
      <c r="U147" s="92">
        <f t="shared" si="33"/>
        <v>0</v>
      </c>
      <c r="V147" s="92">
        <f t="shared" si="33"/>
        <v>0</v>
      </c>
      <c r="W147" s="92">
        <f t="shared" si="33"/>
        <v>0</v>
      </c>
      <c r="X147" s="92">
        <f t="shared" si="33"/>
        <v>0</v>
      </c>
      <c r="Y147" s="92">
        <f t="shared" si="33"/>
        <v>0</v>
      </c>
      <c r="Z147" s="92">
        <f t="shared" si="33"/>
        <v>0</v>
      </c>
      <c r="AA147" s="92">
        <f t="shared" si="33"/>
        <v>0</v>
      </c>
      <c r="AB147" s="92">
        <f t="shared" si="33"/>
        <v>0</v>
      </c>
      <c r="AC147" s="92">
        <f t="shared" si="33"/>
        <v>0</v>
      </c>
      <c r="AD147" s="92">
        <f t="shared" si="33"/>
        <v>0</v>
      </c>
      <c r="AE147" s="92">
        <f t="shared" si="33"/>
        <v>0</v>
      </c>
      <c r="AF147" s="92">
        <f t="shared" si="33"/>
        <v>0</v>
      </c>
      <c r="AG147" s="92">
        <f t="shared" si="33"/>
        <v>0</v>
      </c>
      <c r="AH147" s="92">
        <f t="shared" si="33"/>
        <v>0</v>
      </c>
      <c r="AI147" s="92">
        <f t="shared" si="33"/>
        <v>0</v>
      </c>
      <c r="AJ147" s="92">
        <f t="shared" si="33"/>
        <v>0</v>
      </c>
      <c r="AK147" s="92">
        <f t="shared" si="33"/>
        <v>0</v>
      </c>
      <c r="AL147" s="92">
        <f t="shared" si="33"/>
        <v>0</v>
      </c>
      <c r="AM147" s="92">
        <f t="shared" si="33"/>
        <v>0</v>
      </c>
      <c r="AN147" s="92">
        <f t="shared" si="33"/>
        <v>0</v>
      </c>
      <c r="AO147" s="92">
        <f t="shared" si="33"/>
        <v>0</v>
      </c>
      <c r="AP147" s="92">
        <f t="shared" si="33"/>
        <v>0</v>
      </c>
      <c r="BH147" s="3"/>
    </row>
    <row r="148" spans="3:60" x14ac:dyDescent="0.25">
      <c r="C148" s="32"/>
      <c r="F148" t="s">
        <v>233</v>
      </c>
      <c r="G148" t="s">
        <v>208</v>
      </c>
      <c r="J148" s="92">
        <f t="shared" ref="J148:AP148" si="34">J88 + J111 + J134</f>
        <v>479.99250930246927</v>
      </c>
      <c r="K148" s="92">
        <f t="shared" si="34"/>
        <v>73.731038371927838</v>
      </c>
      <c r="L148" s="92">
        <f t="shared" si="34"/>
        <v>34.40864780056468</v>
      </c>
      <c r="M148" s="92">
        <f t="shared" si="34"/>
        <v>175.40070395016383</v>
      </c>
      <c r="N148" s="92">
        <f t="shared" si="34"/>
        <v>40.428375333557952</v>
      </c>
      <c r="O148" s="92">
        <f t="shared" si="34"/>
        <v>2.0781042592896761</v>
      </c>
      <c r="P148" s="92">
        <f t="shared" si="34"/>
        <v>6.5674251435304889</v>
      </c>
      <c r="Q148" s="92">
        <f t="shared" si="34"/>
        <v>0</v>
      </c>
      <c r="R148" s="92">
        <f t="shared" si="34"/>
        <v>0.13542230030097441</v>
      </c>
      <c r="S148" s="92">
        <f t="shared" si="34"/>
        <v>7.5089878414693986E-2</v>
      </c>
      <c r="T148" s="92">
        <f t="shared" si="34"/>
        <v>15.003075096858911</v>
      </c>
      <c r="U148" s="92">
        <f t="shared" si="34"/>
        <v>254.72094214114713</v>
      </c>
      <c r="V148" s="92">
        <f t="shared" si="34"/>
        <v>17.459784938147656</v>
      </c>
      <c r="W148" s="92">
        <f t="shared" si="34"/>
        <v>123.67518484217771</v>
      </c>
      <c r="X148" s="92">
        <f t="shared" si="34"/>
        <v>1.6379664851362605</v>
      </c>
      <c r="Y148" s="92">
        <f t="shared" si="34"/>
        <v>2.0985304492328596</v>
      </c>
      <c r="Z148" s="92">
        <f t="shared" si="34"/>
        <v>0.66968111955275034</v>
      </c>
      <c r="AA148" s="92">
        <f t="shared" si="34"/>
        <v>5.1813650201510538E-3</v>
      </c>
      <c r="AB148" s="92">
        <f t="shared" si="34"/>
        <v>10.669825714843769</v>
      </c>
      <c r="AC148" s="92">
        <f t="shared" si="34"/>
        <v>-0.77092737627758479</v>
      </c>
      <c r="AD148" s="92">
        <f t="shared" si="34"/>
        <v>0</v>
      </c>
      <c r="AE148" s="92">
        <f t="shared" si="34"/>
        <v>-43.193402627230512</v>
      </c>
      <c r="AF148" s="92">
        <f t="shared" si="34"/>
        <v>0</v>
      </c>
      <c r="AG148" s="92">
        <f t="shared" si="34"/>
        <v>-6.6183068959683524</v>
      </c>
      <c r="AH148" s="92">
        <f t="shared" si="34"/>
        <v>0</v>
      </c>
      <c r="AI148" s="92">
        <f t="shared" si="34"/>
        <v>-0.40958534323781792</v>
      </c>
      <c r="AJ148" s="92">
        <f t="shared" si="34"/>
        <v>0</v>
      </c>
      <c r="AK148" s="92">
        <f t="shared" si="34"/>
        <v>0</v>
      </c>
      <c r="AL148" s="92">
        <f t="shared" si="34"/>
        <v>0</v>
      </c>
      <c r="AM148" s="92">
        <f t="shared" si="34"/>
        <v>0</v>
      </c>
      <c r="AN148" s="92">
        <f t="shared" si="34"/>
        <v>0</v>
      </c>
      <c r="AO148" s="92">
        <f t="shared" si="34"/>
        <v>0</v>
      </c>
      <c r="AP148" s="92">
        <f t="shared" si="34"/>
        <v>0</v>
      </c>
      <c r="BH148" s="3"/>
    </row>
    <row r="149" spans="3:60" x14ac:dyDescent="0.25">
      <c r="C149" s="32"/>
      <c r="F149" t="s">
        <v>234</v>
      </c>
      <c r="G149" t="s">
        <v>208</v>
      </c>
      <c r="J149" s="92">
        <f t="shared" ref="J149:AP149" si="35">J89 + J112 + J135</f>
        <v>470.0021259489647</v>
      </c>
      <c r="K149" s="92">
        <f t="shared" si="35"/>
        <v>72.196428301745783</v>
      </c>
      <c r="L149" s="92">
        <f t="shared" si="35"/>
        <v>33.692479161385471</v>
      </c>
      <c r="M149" s="92">
        <f t="shared" si="35"/>
        <v>171.74997974306487</v>
      </c>
      <c r="N149" s="92">
        <f t="shared" si="35"/>
        <v>39.58691435215939</v>
      </c>
      <c r="O149" s="92">
        <f t="shared" si="35"/>
        <v>2.0348513797207328</v>
      </c>
      <c r="P149" s="92">
        <f t="shared" si="35"/>
        <v>6.4307332294740354</v>
      </c>
      <c r="Q149" s="92">
        <f t="shared" si="35"/>
        <v>0</v>
      </c>
      <c r="R149" s="92">
        <f t="shared" si="35"/>
        <v>0</v>
      </c>
      <c r="S149" s="92">
        <f t="shared" si="35"/>
        <v>7.3526985959515873E-2</v>
      </c>
      <c r="T149" s="92">
        <f t="shared" si="35"/>
        <v>14.690806741011327</v>
      </c>
      <c r="U149" s="92">
        <f t="shared" si="35"/>
        <v>249.41927636337488</v>
      </c>
      <c r="V149" s="92">
        <f t="shared" si="35"/>
        <v>17.096383548706548</v>
      </c>
      <c r="W149" s="92">
        <f t="shared" si="35"/>
        <v>0</v>
      </c>
      <c r="X149" s="92">
        <f t="shared" si="35"/>
        <v>1.6038744674702266</v>
      </c>
      <c r="Y149" s="92">
        <f t="shared" si="35"/>
        <v>2.0548524266376629</v>
      </c>
      <c r="Z149" s="92">
        <f t="shared" si="35"/>
        <v>0.65574262889034685</v>
      </c>
      <c r="AA149" s="92">
        <f t="shared" si="35"/>
        <v>5.0735220395991872E-3</v>
      </c>
      <c r="AB149" s="92">
        <f t="shared" si="35"/>
        <v>10.447747980003124</v>
      </c>
      <c r="AC149" s="92">
        <f t="shared" si="35"/>
        <v>-0.75488158415070983</v>
      </c>
      <c r="AD149" s="92">
        <f t="shared" si="35"/>
        <v>0</v>
      </c>
      <c r="AE149" s="92">
        <f t="shared" si="35"/>
        <v>-42.294391408877559</v>
      </c>
      <c r="AF149" s="92">
        <f t="shared" si="35"/>
        <v>0</v>
      </c>
      <c r="AG149" s="92">
        <f t="shared" si="35"/>
        <v>-6.4805559482755388</v>
      </c>
      <c r="AH149" s="92">
        <f t="shared" si="35"/>
        <v>0</v>
      </c>
      <c r="AI149" s="92">
        <f t="shared" si="35"/>
        <v>0</v>
      </c>
      <c r="AJ149" s="92">
        <f t="shared" si="35"/>
        <v>0</v>
      </c>
      <c r="AK149" s="92">
        <f t="shared" si="35"/>
        <v>0</v>
      </c>
      <c r="AL149" s="92">
        <f t="shared" si="35"/>
        <v>0</v>
      </c>
      <c r="AM149" s="92">
        <f t="shared" si="35"/>
        <v>0</v>
      </c>
      <c r="AN149" s="92">
        <f t="shared" si="35"/>
        <v>0</v>
      </c>
      <c r="AO149" s="92">
        <f t="shared" si="35"/>
        <v>0</v>
      </c>
      <c r="AP149" s="92">
        <f t="shared" si="35"/>
        <v>0</v>
      </c>
      <c r="BH149" s="3"/>
    </row>
    <row r="150" spans="3:60" x14ac:dyDescent="0.25">
      <c r="C150" s="32"/>
      <c r="F150" s="37" t="s">
        <v>235</v>
      </c>
      <c r="G150" s="37" t="s">
        <v>208</v>
      </c>
      <c r="H150" s="37"/>
      <c r="I150" s="37"/>
      <c r="J150" s="82">
        <f t="shared" ref="J150:AP150" si="36">J90 + J113 + J136</f>
        <v>455.77270378720698</v>
      </c>
      <c r="K150" s="82">
        <f t="shared" si="36"/>
        <v>70.010664876096598</v>
      </c>
      <c r="L150" s="82">
        <f t="shared" si="36"/>
        <v>32.672431627141684</v>
      </c>
      <c r="M150" s="82">
        <f t="shared" si="36"/>
        <v>166.55020971414638</v>
      </c>
      <c r="N150" s="82">
        <f t="shared" si="36"/>
        <v>38.388411440580242</v>
      </c>
      <c r="O150" s="82">
        <f t="shared" si="36"/>
        <v>1.9732457874906555</v>
      </c>
      <c r="P150" s="82">
        <f t="shared" si="36"/>
        <v>6.2360413060128943</v>
      </c>
      <c r="Q150" s="82">
        <f t="shared" si="36"/>
        <v>0</v>
      </c>
      <c r="R150" s="82">
        <f t="shared" si="36"/>
        <v>0</v>
      </c>
      <c r="S150" s="82">
        <f t="shared" si="36"/>
        <v>7.1300939595603921E-2</v>
      </c>
      <c r="T150" s="82">
        <f t="shared" si="36"/>
        <v>14.24603919747612</v>
      </c>
      <c r="U150" s="82">
        <f t="shared" si="36"/>
        <v>241.86805056521766</v>
      </c>
      <c r="V150" s="82">
        <f t="shared" si="36"/>
        <v>0</v>
      </c>
      <c r="W150" s="82">
        <f t="shared" si="36"/>
        <v>0</v>
      </c>
      <c r="X150" s="82">
        <f t="shared" si="36"/>
        <v>1.555316800106449</v>
      </c>
      <c r="Y150" s="82">
        <f t="shared" si="36"/>
        <v>1.9926412981247794</v>
      </c>
      <c r="Z150" s="82">
        <f t="shared" si="36"/>
        <v>0.63588987040100597</v>
      </c>
      <c r="AA150" s="82">
        <f t="shared" si="36"/>
        <v>4.919919996198477E-3</v>
      </c>
      <c r="AB150" s="82">
        <f t="shared" si="36"/>
        <v>10.131440013636055</v>
      </c>
      <c r="AC150" s="82">
        <f t="shared" si="36"/>
        <v>0</v>
      </c>
      <c r="AD150" s="82">
        <f t="shared" si="36"/>
        <v>0</v>
      </c>
      <c r="AE150" s="82">
        <f t="shared" si="36"/>
        <v>0</v>
      </c>
      <c r="AF150" s="82">
        <f t="shared" si="36"/>
        <v>0</v>
      </c>
      <c r="AG150" s="82">
        <f t="shared" si="36"/>
        <v>0</v>
      </c>
      <c r="AH150" s="82">
        <f t="shared" si="36"/>
        <v>0</v>
      </c>
      <c r="AI150" s="82">
        <f t="shared" si="36"/>
        <v>0</v>
      </c>
      <c r="AJ150" s="82">
        <f t="shared" si="36"/>
        <v>0</v>
      </c>
      <c r="AK150" s="82">
        <f t="shared" si="36"/>
        <v>0</v>
      </c>
      <c r="AL150" s="82">
        <f t="shared" si="36"/>
        <v>0</v>
      </c>
      <c r="AM150" s="82">
        <f t="shared" si="36"/>
        <v>0</v>
      </c>
      <c r="AN150" s="82">
        <f t="shared" si="36"/>
        <v>0</v>
      </c>
      <c r="AO150" s="82">
        <f t="shared" si="36"/>
        <v>0</v>
      </c>
      <c r="AP150" s="82">
        <f t="shared" si="36"/>
        <v>0</v>
      </c>
      <c r="BH150" s="3"/>
    </row>
    <row r="151" spans="3:60" x14ac:dyDescent="0.25">
      <c r="C151" s="32"/>
      <c r="J151" s="63"/>
      <c r="K151" s="63"/>
      <c r="L151" s="63"/>
      <c r="M151" s="63"/>
      <c r="N151" s="63"/>
      <c r="O151" s="63"/>
      <c r="P151" s="63"/>
      <c r="Q151" s="63"/>
      <c r="R151" s="63"/>
      <c r="S151" s="63"/>
      <c r="T151" s="63"/>
      <c r="U151" s="63"/>
      <c r="V151" s="63"/>
      <c r="W151" s="63"/>
      <c r="X151" s="63"/>
      <c r="Y151" s="63"/>
      <c r="Z151" s="63"/>
      <c r="AA151" s="63"/>
      <c r="AB151" s="63"/>
      <c r="AC151" s="63"/>
      <c r="AD151" s="63"/>
      <c r="AE151" s="63"/>
      <c r="AF151" s="63"/>
      <c r="AG151" s="63"/>
      <c r="AH151" s="63"/>
      <c r="AI151" s="63"/>
      <c r="AJ151" s="63"/>
      <c r="AK151" s="63"/>
      <c r="AL151" s="63"/>
      <c r="AM151" s="63"/>
      <c r="AN151" s="63"/>
      <c r="AO151" s="63"/>
      <c r="AP151" s="63"/>
      <c r="BH151" s="3"/>
    </row>
    <row r="152" spans="3:60" x14ac:dyDescent="0.25">
      <c r="E152" s="32" t="s">
        <v>630</v>
      </c>
      <c r="J152" s="63"/>
      <c r="K152" s="63"/>
      <c r="L152" s="63"/>
      <c r="M152" s="63"/>
      <c r="N152" s="63"/>
      <c r="O152" s="63"/>
      <c r="P152" s="63"/>
      <c r="Q152" s="63"/>
      <c r="R152" s="63"/>
      <c r="S152" s="63"/>
      <c r="BH152" s="3"/>
    </row>
    <row r="153" spans="3:60" x14ac:dyDescent="0.25">
      <c r="E153" s="29" t="s">
        <v>631</v>
      </c>
      <c r="J153" s="63"/>
      <c r="K153" s="63"/>
      <c r="L153" s="63"/>
      <c r="M153" s="63"/>
      <c r="N153" s="63"/>
      <c r="O153" s="63"/>
      <c r="P153" s="63"/>
      <c r="Q153" s="63"/>
      <c r="R153" s="63"/>
      <c r="S153" s="63"/>
      <c r="T153" s="63"/>
      <c r="U153" s="63"/>
      <c r="V153" s="63"/>
      <c r="W153" s="63"/>
      <c r="X153" s="63"/>
      <c r="Y153" s="63"/>
      <c r="Z153" s="63"/>
      <c r="AA153" s="63"/>
      <c r="AB153" s="63"/>
      <c r="AC153" s="63"/>
      <c r="AD153" s="63"/>
      <c r="AE153" s="63"/>
      <c r="AF153" s="63"/>
      <c r="AG153" s="63"/>
      <c r="AH153" s="63"/>
      <c r="AI153" s="63"/>
      <c r="AJ153" s="63"/>
      <c r="AK153" s="63"/>
      <c r="AL153" s="63"/>
      <c r="AM153" s="63"/>
      <c r="AN153" s="63"/>
      <c r="AO153" s="63"/>
      <c r="AP153" s="63"/>
      <c r="BH153" s="3"/>
    </row>
    <row r="154" spans="3:60" x14ac:dyDescent="0.25">
      <c r="C154" s="32"/>
      <c r="F154" s="23" t="s">
        <v>227</v>
      </c>
      <c r="G154" s="23" t="s">
        <v>632</v>
      </c>
      <c r="H154" s="104">
        <f t="shared" ref="H154:H162" si="37">SUM(J142:AP142) * thousand</f>
        <v>1050350.6903089602</v>
      </c>
      <c r="J154" s="63"/>
      <c r="K154" s="63"/>
      <c r="L154" s="63"/>
      <c r="M154" s="63"/>
      <c r="N154" s="63"/>
      <c r="O154" s="63"/>
      <c r="P154" s="63"/>
      <c r="Q154" s="63"/>
      <c r="R154" s="63"/>
      <c r="S154" s="63"/>
      <c r="T154" s="63"/>
      <c r="U154" s="63"/>
      <c r="V154" s="63"/>
      <c r="W154" s="63"/>
      <c r="X154" s="63"/>
      <c r="Y154" s="63"/>
      <c r="Z154" s="63"/>
      <c r="AA154" s="63"/>
      <c r="AB154" s="63"/>
      <c r="AC154" s="63"/>
      <c r="AD154" s="63"/>
      <c r="AE154" s="63"/>
      <c r="AF154" s="63"/>
      <c r="AG154" s="63"/>
      <c r="AH154" s="63"/>
      <c r="AI154" s="63"/>
      <c r="AJ154" s="63"/>
      <c r="AK154" s="63"/>
      <c r="AL154" s="63"/>
      <c r="AM154" s="63"/>
      <c r="AN154" s="63"/>
      <c r="AO154" s="63"/>
      <c r="AP154" s="63"/>
      <c r="BH154" s="3"/>
    </row>
    <row r="155" spans="3:60" x14ac:dyDescent="0.25">
      <c r="C155" s="32"/>
      <c r="F155" t="s">
        <v>228</v>
      </c>
      <c r="G155" t="s">
        <v>632</v>
      </c>
      <c r="H155" s="124">
        <f t="shared" si="37"/>
        <v>0</v>
      </c>
      <c r="J155" s="63"/>
      <c r="K155" s="63"/>
      <c r="L155" s="63"/>
      <c r="M155" s="63"/>
      <c r="N155" s="63"/>
      <c r="O155" s="63"/>
      <c r="P155" s="63"/>
      <c r="Q155" s="63"/>
      <c r="R155" s="63"/>
      <c r="S155" s="63"/>
      <c r="T155" s="63"/>
      <c r="U155" s="63"/>
      <c r="V155" s="63"/>
      <c r="W155" s="63"/>
      <c r="X155" s="63"/>
      <c r="Y155" s="63"/>
      <c r="Z155" s="63"/>
      <c r="AA155" s="63"/>
      <c r="AB155" s="63"/>
      <c r="AC155" s="63"/>
      <c r="AD155" s="63"/>
      <c r="AE155" s="63"/>
      <c r="AF155" s="63"/>
      <c r="AG155" s="63"/>
      <c r="AH155" s="63"/>
      <c r="AI155" s="63"/>
      <c r="AJ155" s="63"/>
      <c r="AK155" s="63"/>
      <c r="AL155" s="63"/>
      <c r="AM155" s="63"/>
      <c r="AN155" s="63"/>
      <c r="AO155" s="63"/>
      <c r="AP155" s="63"/>
      <c r="BH155" s="3"/>
    </row>
    <row r="156" spans="3:60" x14ac:dyDescent="0.25">
      <c r="C156" s="32"/>
      <c r="F156" t="s">
        <v>229</v>
      </c>
      <c r="G156" t="s">
        <v>632</v>
      </c>
      <c r="H156" s="124">
        <f t="shared" si="37"/>
        <v>0</v>
      </c>
      <c r="J156" s="63"/>
      <c r="K156" s="63"/>
      <c r="L156" s="63"/>
      <c r="M156" s="63"/>
      <c r="N156" s="63"/>
      <c r="O156" s="63"/>
      <c r="P156" s="63"/>
      <c r="Q156" s="63"/>
      <c r="R156" s="63"/>
      <c r="S156" s="63"/>
      <c r="T156" s="63"/>
      <c r="U156" s="63"/>
      <c r="V156" s="63"/>
      <c r="W156" s="63"/>
      <c r="X156" s="63"/>
      <c r="Y156" s="63"/>
      <c r="Z156" s="63"/>
      <c r="AA156" s="63"/>
      <c r="AB156" s="63"/>
      <c r="AC156" s="63"/>
      <c r="AD156" s="63"/>
      <c r="AE156" s="63"/>
      <c r="AF156" s="63"/>
      <c r="AG156" s="63"/>
      <c r="AH156" s="63"/>
      <c r="AI156" s="63"/>
      <c r="AJ156" s="63"/>
      <c r="AK156" s="63"/>
      <c r="AL156" s="63"/>
      <c r="AM156" s="63"/>
      <c r="AN156" s="63"/>
      <c r="AO156" s="63"/>
      <c r="AP156" s="63"/>
      <c r="BH156" s="3"/>
    </row>
    <row r="157" spans="3:60" x14ac:dyDescent="0.25">
      <c r="C157" s="32"/>
      <c r="F157" t="s">
        <v>230</v>
      </c>
      <c r="G157" t="s">
        <v>632</v>
      </c>
      <c r="H157" s="124">
        <f t="shared" si="37"/>
        <v>1026021.6102980792</v>
      </c>
      <c r="J157" s="63"/>
      <c r="K157" s="63"/>
      <c r="L157" s="63"/>
      <c r="M157" s="63"/>
      <c r="N157" s="63"/>
      <c r="O157" s="63"/>
      <c r="P157" s="63"/>
      <c r="Q157" s="63"/>
      <c r="R157" s="63"/>
      <c r="S157" s="63"/>
      <c r="T157" s="63"/>
      <c r="U157" s="63"/>
      <c r="V157" s="63"/>
      <c r="W157" s="63"/>
      <c r="X157" s="63"/>
      <c r="Y157" s="63"/>
      <c r="Z157" s="63"/>
      <c r="AA157" s="63"/>
      <c r="AB157" s="63"/>
      <c r="AC157" s="63"/>
      <c r="AD157" s="63"/>
      <c r="AE157" s="63"/>
      <c r="AF157" s="63"/>
      <c r="AG157" s="63"/>
      <c r="AH157" s="63"/>
      <c r="AI157" s="63"/>
      <c r="AJ157" s="63"/>
      <c r="AK157" s="63"/>
      <c r="AL157" s="63"/>
      <c r="AM157" s="63"/>
      <c r="AN157" s="63"/>
      <c r="AO157" s="63"/>
      <c r="AP157" s="63"/>
      <c r="BH157" s="3"/>
    </row>
    <row r="158" spans="3:60" x14ac:dyDescent="0.25">
      <c r="C158" s="32"/>
      <c r="F158" t="s">
        <v>231</v>
      </c>
      <c r="G158" t="s">
        <v>632</v>
      </c>
      <c r="H158" s="124">
        <f t="shared" si="37"/>
        <v>1015021.3786087238</v>
      </c>
      <c r="J158" s="63"/>
      <c r="K158" s="63"/>
      <c r="L158" s="63"/>
      <c r="M158" s="63"/>
      <c r="N158" s="63"/>
      <c r="O158" s="63"/>
      <c r="P158" s="63"/>
      <c r="Q158" s="63"/>
      <c r="R158" s="63"/>
      <c r="S158" s="63"/>
      <c r="T158" s="63"/>
      <c r="U158" s="63"/>
      <c r="V158" s="63"/>
      <c r="W158" s="63"/>
      <c r="X158" s="63"/>
      <c r="Y158" s="63"/>
      <c r="Z158" s="63"/>
      <c r="AA158" s="63"/>
      <c r="AB158" s="63"/>
      <c r="AC158" s="63"/>
      <c r="AD158" s="63"/>
      <c r="AE158" s="63"/>
      <c r="AF158" s="63"/>
      <c r="AG158" s="63"/>
      <c r="AH158" s="63"/>
      <c r="AI158" s="63"/>
      <c r="AJ158" s="63"/>
      <c r="AK158" s="63"/>
      <c r="AL158" s="63"/>
      <c r="AM158" s="63"/>
      <c r="AN158" s="63"/>
      <c r="AO158" s="63"/>
      <c r="AP158" s="63"/>
      <c r="BH158" s="3"/>
    </row>
    <row r="159" spans="3:60" x14ac:dyDescent="0.25">
      <c r="C159" s="32"/>
      <c r="F159" t="s">
        <v>232</v>
      </c>
      <c r="G159" t="s">
        <v>632</v>
      </c>
      <c r="H159" s="124">
        <f t="shared" si="37"/>
        <v>0</v>
      </c>
      <c r="J159" s="63"/>
      <c r="K159" s="63"/>
      <c r="L159" s="63"/>
      <c r="M159" s="63"/>
      <c r="N159" s="63"/>
      <c r="O159" s="63"/>
      <c r="P159" s="63"/>
      <c r="Q159" s="63"/>
      <c r="R159" s="63"/>
      <c r="S159" s="63"/>
      <c r="T159" s="63"/>
      <c r="U159" s="63"/>
      <c r="V159" s="63"/>
      <c r="W159" s="63"/>
      <c r="X159" s="63"/>
      <c r="Y159" s="63"/>
      <c r="Z159" s="63"/>
      <c r="AA159" s="63"/>
      <c r="AB159" s="63"/>
      <c r="AC159" s="63"/>
      <c r="AD159" s="63"/>
      <c r="AE159" s="63"/>
      <c r="AF159" s="63"/>
      <c r="AG159" s="63"/>
      <c r="AH159" s="63"/>
      <c r="AI159" s="63"/>
      <c r="AJ159" s="63"/>
      <c r="AK159" s="63"/>
      <c r="AL159" s="63"/>
      <c r="AM159" s="63"/>
      <c r="AN159" s="63"/>
      <c r="AO159" s="63"/>
      <c r="AP159" s="63"/>
      <c r="BH159" s="3"/>
    </row>
    <row r="160" spans="3:60" x14ac:dyDescent="0.25">
      <c r="C160" s="32"/>
      <c r="F160" t="s">
        <v>233</v>
      </c>
      <c r="G160" t="s">
        <v>632</v>
      </c>
      <c r="H160" s="124">
        <f t="shared" si="37"/>
        <v>1187765.2662496222</v>
      </c>
      <c r="J160" s="63"/>
      <c r="K160" s="63"/>
      <c r="L160" s="63"/>
      <c r="M160" s="63"/>
      <c r="N160" s="63"/>
      <c r="O160" s="63"/>
      <c r="P160" s="63"/>
      <c r="Q160" s="63"/>
      <c r="R160" s="63"/>
      <c r="S160" s="63"/>
      <c r="T160" s="63"/>
      <c r="U160" s="63"/>
      <c r="V160" s="63"/>
      <c r="W160" s="63"/>
      <c r="X160" s="63"/>
      <c r="Y160" s="63"/>
      <c r="Z160" s="63"/>
      <c r="AA160" s="63"/>
      <c r="AB160" s="63"/>
      <c r="AC160" s="63"/>
      <c r="AD160" s="63"/>
      <c r="AE160" s="63"/>
      <c r="AF160" s="63"/>
      <c r="AG160" s="63"/>
      <c r="AH160" s="63"/>
      <c r="AI160" s="63"/>
      <c r="AJ160" s="63"/>
      <c r="AK160" s="63"/>
      <c r="AL160" s="63"/>
      <c r="AM160" s="63"/>
      <c r="AN160" s="63"/>
      <c r="AO160" s="63"/>
      <c r="AP160" s="63"/>
      <c r="BH160" s="3"/>
    </row>
    <row r="161" spans="3:60" x14ac:dyDescent="0.25">
      <c r="C161" s="32"/>
      <c r="F161" t="s">
        <v>234</v>
      </c>
      <c r="G161" t="s">
        <v>632</v>
      </c>
      <c r="H161" s="124">
        <f t="shared" si="37"/>
        <v>1042210.967839304</v>
      </c>
      <c r="J161" s="63"/>
      <c r="K161" s="63"/>
      <c r="L161" s="63"/>
      <c r="M161" s="63"/>
      <c r="N161" s="63"/>
      <c r="O161" s="63"/>
      <c r="P161" s="63"/>
      <c r="Q161" s="63"/>
      <c r="R161" s="63"/>
      <c r="S161" s="63"/>
      <c r="T161" s="63"/>
      <c r="U161" s="63"/>
      <c r="V161" s="63"/>
      <c r="W161" s="63"/>
      <c r="X161" s="63"/>
      <c r="Y161" s="63"/>
      <c r="Z161" s="63"/>
      <c r="AA161" s="63"/>
      <c r="AB161" s="63"/>
      <c r="AC161" s="63"/>
      <c r="AD161" s="63"/>
      <c r="AE161" s="63"/>
      <c r="AF161" s="63"/>
      <c r="AG161" s="63"/>
      <c r="AH161" s="63"/>
      <c r="AI161" s="63"/>
      <c r="AJ161" s="63"/>
      <c r="AK161" s="63"/>
      <c r="AL161" s="63"/>
      <c r="AM161" s="63"/>
      <c r="AN161" s="63"/>
      <c r="AO161" s="63"/>
      <c r="AP161" s="63"/>
      <c r="BH161" s="3"/>
    </row>
    <row r="162" spans="3:60" x14ac:dyDescent="0.25">
      <c r="C162" s="32"/>
      <c r="F162" s="37" t="s">
        <v>235</v>
      </c>
      <c r="G162" s="37" t="s">
        <v>632</v>
      </c>
      <c r="H162" s="134">
        <f t="shared" si="37"/>
        <v>1042109.3071432294</v>
      </c>
      <c r="J162" s="63"/>
      <c r="K162" s="63"/>
      <c r="L162" s="63"/>
      <c r="M162" s="63"/>
      <c r="N162" s="63"/>
      <c r="O162" s="63"/>
      <c r="P162" s="63"/>
      <c r="Q162" s="63"/>
      <c r="R162" s="63"/>
      <c r="S162" s="63"/>
      <c r="T162" s="63"/>
      <c r="U162" s="63"/>
      <c r="V162" s="63"/>
      <c r="W162" s="63"/>
      <c r="X162" s="63"/>
      <c r="Y162" s="63"/>
      <c r="Z162" s="63"/>
      <c r="AA162" s="63"/>
      <c r="AB162" s="63"/>
      <c r="AC162" s="63"/>
      <c r="AD162" s="63"/>
      <c r="AE162" s="63"/>
      <c r="AF162" s="63"/>
      <c r="AG162" s="63"/>
      <c r="AH162" s="63"/>
      <c r="AI162" s="63"/>
      <c r="AJ162" s="63"/>
      <c r="AK162" s="63"/>
      <c r="AL162" s="63"/>
      <c r="AM162" s="63"/>
      <c r="AN162" s="63"/>
      <c r="AO162" s="63"/>
      <c r="AP162" s="63"/>
      <c r="BH162" s="3"/>
    </row>
    <row r="163" spans="3:60" x14ac:dyDescent="0.25">
      <c r="C163" s="32"/>
      <c r="J163" s="63"/>
      <c r="K163" s="63"/>
      <c r="L163" s="63"/>
      <c r="M163" s="63"/>
      <c r="N163" s="63"/>
      <c r="O163" s="63"/>
      <c r="P163" s="63"/>
      <c r="Q163" s="63"/>
      <c r="R163" s="63"/>
      <c r="S163" s="63"/>
      <c r="T163" s="63"/>
      <c r="U163" s="63"/>
      <c r="V163" s="63"/>
      <c r="W163" s="63"/>
      <c r="X163" s="63"/>
      <c r="Y163" s="63"/>
      <c r="Z163" s="63"/>
      <c r="AA163" s="63"/>
      <c r="AB163" s="63"/>
      <c r="AC163" s="63"/>
      <c r="AD163" s="63"/>
      <c r="AE163" s="63"/>
      <c r="AF163" s="63"/>
      <c r="AG163" s="63"/>
      <c r="AH163" s="63"/>
      <c r="AI163" s="63"/>
      <c r="AJ163" s="63"/>
      <c r="AK163" s="63"/>
      <c r="AL163" s="63"/>
      <c r="AM163" s="63"/>
      <c r="AN163" s="63"/>
      <c r="AO163" s="63"/>
      <c r="AP163" s="63"/>
      <c r="BH163" s="3"/>
    </row>
    <row r="164" spans="3:60" x14ac:dyDescent="0.25">
      <c r="C164" s="31" t="str">
        <f ca="1">INDEX('Version control'!$H$34:$H$56,MATCH($A$1,'Version control'!$F$34:$F$56,0),1)&amp;"-D: Unit rate contributions to chargeable peak load"</f>
        <v>Section 106-D: Unit rate contributions to chargeable peak load</v>
      </c>
      <c r="D164" s="31"/>
      <c r="E164" s="31"/>
      <c r="F164" s="31"/>
      <c r="G164" s="31"/>
      <c r="H164" s="31"/>
      <c r="I164" s="31"/>
      <c r="J164" s="31"/>
      <c r="K164" s="31"/>
      <c r="L164" s="31"/>
      <c r="M164" s="31"/>
      <c r="N164" s="31"/>
      <c r="O164" s="31"/>
      <c r="P164" s="31"/>
      <c r="Q164" s="31"/>
      <c r="R164" s="31"/>
      <c r="S164" s="31"/>
      <c r="T164" s="31"/>
      <c r="U164" s="31"/>
      <c r="V164" s="31"/>
      <c r="W164" s="31"/>
      <c r="X164" s="31"/>
      <c r="Y164" s="31"/>
      <c r="Z164" s="31"/>
      <c r="AA164" s="31"/>
      <c r="AB164" s="31"/>
      <c r="AC164" s="31"/>
      <c r="AD164" s="31"/>
      <c r="AE164" s="31"/>
      <c r="AF164" s="31"/>
      <c r="AG164" s="31"/>
      <c r="AH164" s="31"/>
      <c r="AI164" s="31"/>
      <c r="AJ164" s="31"/>
      <c r="AK164" s="31"/>
      <c r="AL164" s="31"/>
      <c r="AM164" s="31"/>
      <c r="AN164" s="31"/>
      <c r="AO164" s="31"/>
      <c r="AP164" s="31"/>
      <c r="AQ164" s="31"/>
      <c r="AR164" s="31"/>
      <c r="BH164" s="3"/>
    </row>
    <row r="165" spans="3:60" x14ac:dyDescent="0.25">
      <c r="H165" s="63"/>
      <c r="J165" s="63"/>
      <c r="K165" s="63"/>
      <c r="L165" s="63"/>
      <c r="M165" s="63"/>
      <c r="N165" s="63"/>
      <c r="O165" s="63"/>
      <c r="P165" s="63"/>
      <c r="Q165" s="63"/>
      <c r="R165" s="63"/>
      <c r="S165" s="63"/>
      <c r="T165" s="63"/>
      <c r="U165" s="63"/>
      <c r="V165" s="63"/>
      <c r="W165" s="63"/>
      <c r="X165" s="63"/>
      <c r="Y165" s="63"/>
      <c r="Z165" s="63"/>
      <c r="AA165" s="63"/>
      <c r="AB165" s="63"/>
      <c r="AC165" s="63"/>
      <c r="AD165" s="63"/>
      <c r="AE165" s="63"/>
      <c r="AF165" s="63"/>
      <c r="AG165" s="63"/>
      <c r="AH165" s="63"/>
      <c r="AI165" s="63"/>
      <c r="AJ165" s="63"/>
      <c r="AK165" s="63"/>
      <c r="AL165" s="63"/>
      <c r="AM165" s="63"/>
      <c r="AN165" s="63"/>
      <c r="AO165" s="63"/>
      <c r="AP165" s="63"/>
    </row>
    <row r="166" spans="3:60" x14ac:dyDescent="0.25">
      <c r="E166" s="32" t="s">
        <v>633</v>
      </c>
      <c r="H166" s="63"/>
      <c r="J166" s="63"/>
      <c r="K166" s="63"/>
      <c r="L166" s="63"/>
      <c r="M166" s="63"/>
      <c r="N166" s="63"/>
      <c r="O166" s="63"/>
      <c r="P166" s="63"/>
      <c r="Q166" s="63"/>
      <c r="R166" s="63"/>
      <c r="S166" s="63"/>
      <c r="T166" s="63"/>
      <c r="U166" s="63"/>
      <c r="V166" s="63"/>
      <c r="W166" s="63"/>
      <c r="X166" s="63"/>
      <c r="Y166" s="63"/>
      <c r="Z166" s="63"/>
      <c r="AA166" s="63"/>
      <c r="AB166" s="63"/>
      <c r="AC166" s="63"/>
      <c r="AD166" s="63"/>
      <c r="AE166" s="63"/>
      <c r="AF166" s="63"/>
      <c r="AG166" s="63"/>
      <c r="AH166" s="63"/>
      <c r="AI166" s="63"/>
      <c r="AJ166" s="63"/>
      <c r="AK166" s="63"/>
      <c r="AL166" s="63"/>
      <c r="AM166" s="63"/>
      <c r="AN166" s="63"/>
      <c r="AO166" s="63"/>
      <c r="AP166" s="63"/>
    </row>
    <row r="167" spans="3:60" x14ac:dyDescent="0.25">
      <c r="E167" s="29" t="s">
        <v>634</v>
      </c>
      <c r="F167" s="29"/>
      <c r="J167" s="63"/>
      <c r="K167" s="63"/>
      <c r="L167" s="63"/>
      <c r="M167" s="63"/>
      <c r="N167" s="63"/>
      <c r="O167" s="63"/>
      <c r="P167" s="63"/>
      <c r="Q167" s="63"/>
      <c r="R167" s="63"/>
      <c r="S167" s="63"/>
      <c r="T167" s="63"/>
      <c r="U167" s="63"/>
      <c r="V167" s="63"/>
      <c r="W167" s="63"/>
      <c r="X167" s="63"/>
      <c r="Y167" s="63"/>
      <c r="Z167" s="63"/>
      <c r="AA167" s="63"/>
      <c r="AB167" s="63"/>
      <c r="AC167" s="63"/>
      <c r="AD167" s="63"/>
      <c r="AE167" s="63"/>
      <c r="AF167" s="63"/>
      <c r="AG167" s="63"/>
      <c r="AH167" s="63"/>
      <c r="AI167" s="63"/>
      <c r="AJ167" s="63"/>
      <c r="AK167" s="63"/>
      <c r="AL167" s="63"/>
      <c r="AM167" s="63"/>
      <c r="AN167" s="63"/>
      <c r="AO167" s="63"/>
      <c r="AP167" s="63"/>
      <c r="BH167" s="3"/>
    </row>
    <row r="168" spans="3:60" x14ac:dyDescent="0.25">
      <c r="C168" s="32"/>
      <c r="F168" s="23" t="s">
        <v>227</v>
      </c>
      <c r="G168" s="23" t="s">
        <v>208</v>
      </c>
      <c r="H168" s="132"/>
      <c r="I168" s="23"/>
      <c r="J168" s="163">
        <f t="shared" ref="J168:AP168" si="38">J142 * (1 - J23)</f>
        <v>504.99710874443343</v>
      </c>
      <c r="K168" s="163">
        <f t="shared" si="38"/>
        <v>76.643447200921486</v>
      </c>
      <c r="L168" s="163">
        <f t="shared" si="38"/>
        <v>33.578561750203392</v>
      </c>
      <c r="M168" s="163">
        <f t="shared" si="38"/>
        <v>182.31384904907239</v>
      </c>
      <c r="N168" s="163">
        <f t="shared" si="38"/>
        <v>41.849875624660811</v>
      </c>
      <c r="O168" s="163">
        <f t="shared" si="38"/>
        <v>2.0099809253542964</v>
      </c>
      <c r="P168" s="163">
        <f t="shared" si="38"/>
        <v>6.8344521063949308</v>
      </c>
      <c r="Q168" s="163">
        <f t="shared" si="38"/>
        <v>0</v>
      </c>
      <c r="R168" s="163">
        <f t="shared" si="38"/>
        <v>0.1401997312092883</v>
      </c>
      <c r="S168" s="163">
        <f t="shared" si="38"/>
        <v>8.0188777549805773E-2</v>
      </c>
      <c r="T168" s="163">
        <f t="shared" si="38"/>
        <v>15.626393135876279</v>
      </c>
      <c r="U168" s="163">
        <f t="shared" si="38"/>
        <v>265.2659836550751</v>
      </c>
      <c r="V168" s="163">
        <f t="shared" si="38"/>
        <v>18.078424781366724</v>
      </c>
      <c r="W168" s="163">
        <f t="shared" si="38"/>
        <v>128.34070870267627</v>
      </c>
      <c r="X168" s="163">
        <f t="shared" si="38"/>
        <v>1.6964584621122953</v>
      </c>
      <c r="Y168" s="163">
        <f t="shared" si="38"/>
        <v>2.3031073257019976</v>
      </c>
      <c r="Z168" s="163">
        <f t="shared" si="38"/>
        <v>0.75886355090548818</v>
      </c>
      <c r="AA168" s="163">
        <f t="shared" si="38"/>
        <v>5.1230948297946739E-3</v>
      </c>
      <c r="AB168" s="163">
        <f t="shared" si="38"/>
        <v>11.719058267970393</v>
      </c>
      <c r="AC168" s="163">
        <f t="shared" si="38"/>
        <v>-0.79790983444730024</v>
      </c>
      <c r="AD168" s="163">
        <f t="shared" si="38"/>
        <v>0</v>
      </c>
      <c r="AE168" s="163">
        <f t="shared" si="38"/>
        <v>-44.705171719183575</v>
      </c>
      <c r="AF168" s="163">
        <f t="shared" si="38"/>
        <v>0</v>
      </c>
      <c r="AG168" s="163">
        <f t="shared" si="38"/>
        <v>-6.8782882829601828</v>
      </c>
      <c r="AH168" s="163">
        <f t="shared" si="38"/>
        <v>0</v>
      </c>
      <c r="AI168" s="163">
        <f t="shared" si="38"/>
        <v>-0.42392083025114152</v>
      </c>
      <c r="AJ168" s="163">
        <f t="shared" si="38"/>
        <v>0</v>
      </c>
      <c r="AK168" s="163">
        <f t="shared" si="38"/>
        <v>0</v>
      </c>
      <c r="AL168" s="163">
        <f t="shared" si="38"/>
        <v>0</v>
      </c>
      <c r="AM168" s="163">
        <f t="shared" si="38"/>
        <v>-77.108292462041263</v>
      </c>
      <c r="AN168" s="163">
        <f t="shared" si="38"/>
        <v>0</v>
      </c>
      <c r="AO168" s="163">
        <f t="shared" si="38"/>
        <v>-111.97751144847034</v>
      </c>
      <c r="AP168" s="163">
        <f t="shared" si="38"/>
        <v>0</v>
      </c>
      <c r="BH168" s="3"/>
    </row>
    <row r="169" spans="3:60" x14ac:dyDescent="0.25">
      <c r="C169" s="32"/>
      <c r="F169" t="s">
        <v>228</v>
      </c>
      <c r="G169" t="s">
        <v>208</v>
      </c>
      <c r="H169" s="63"/>
      <c r="J169" s="92">
        <f t="shared" ref="J169:AP169" si="39">J143 * (1 - J24)</f>
        <v>0</v>
      </c>
      <c r="K169" s="92">
        <f t="shared" si="39"/>
        <v>0</v>
      </c>
      <c r="L169" s="92">
        <f t="shared" si="39"/>
        <v>0</v>
      </c>
      <c r="M169" s="92">
        <f t="shared" si="39"/>
        <v>0</v>
      </c>
      <c r="N169" s="92">
        <f t="shared" si="39"/>
        <v>0</v>
      </c>
      <c r="O169" s="92">
        <f t="shared" si="39"/>
        <v>0</v>
      </c>
      <c r="P169" s="92">
        <f t="shared" si="39"/>
        <v>0</v>
      </c>
      <c r="Q169" s="92">
        <f t="shared" si="39"/>
        <v>0</v>
      </c>
      <c r="R169" s="92">
        <f t="shared" si="39"/>
        <v>0</v>
      </c>
      <c r="S169" s="92">
        <f t="shared" si="39"/>
        <v>0</v>
      </c>
      <c r="T169" s="92">
        <f t="shared" si="39"/>
        <v>0</v>
      </c>
      <c r="U169" s="92">
        <f t="shared" si="39"/>
        <v>0</v>
      </c>
      <c r="V169" s="92">
        <f t="shared" si="39"/>
        <v>0</v>
      </c>
      <c r="W169" s="92">
        <f t="shared" si="39"/>
        <v>0</v>
      </c>
      <c r="X169" s="92">
        <f t="shared" si="39"/>
        <v>0</v>
      </c>
      <c r="Y169" s="92">
        <f t="shared" si="39"/>
        <v>0</v>
      </c>
      <c r="Z169" s="92">
        <f t="shared" si="39"/>
        <v>0</v>
      </c>
      <c r="AA169" s="92">
        <f t="shared" si="39"/>
        <v>0</v>
      </c>
      <c r="AB169" s="92">
        <f t="shared" si="39"/>
        <v>0</v>
      </c>
      <c r="AC169" s="92">
        <f t="shared" si="39"/>
        <v>0</v>
      </c>
      <c r="AD169" s="92">
        <f t="shared" si="39"/>
        <v>0</v>
      </c>
      <c r="AE169" s="92">
        <f t="shared" si="39"/>
        <v>0</v>
      </c>
      <c r="AF169" s="92">
        <f t="shared" si="39"/>
        <v>0</v>
      </c>
      <c r="AG169" s="92">
        <f t="shared" si="39"/>
        <v>0</v>
      </c>
      <c r="AH169" s="92">
        <f t="shared" si="39"/>
        <v>0</v>
      </c>
      <c r="AI169" s="92">
        <f t="shared" si="39"/>
        <v>0</v>
      </c>
      <c r="AJ169" s="92">
        <f t="shared" si="39"/>
        <v>0</v>
      </c>
      <c r="AK169" s="92">
        <f t="shared" si="39"/>
        <v>0</v>
      </c>
      <c r="AL169" s="92">
        <f t="shared" si="39"/>
        <v>0</v>
      </c>
      <c r="AM169" s="92">
        <f t="shared" si="39"/>
        <v>0</v>
      </c>
      <c r="AN169" s="92">
        <f t="shared" si="39"/>
        <v>0</v>
      </c>
      <c r="AO169" s="92">
        <f t="shared" si="39"/>
        <v>0</v>
      </c>
      <c r="AP169" s="92">
        <f t="shared" si="39"/>
        <v>0</v>
      </c>
      <c r="BH169" s="3"/>
    </row>
    <row r="170" spans="3:60" x14ac:dyDescent="0.25">
      <c r="C170" s="32"/>
      <c r="F170" t="s">
        <v>229</v>
      </c>
      <c r="G170" t="s">
        <v>208</v>
      </c>
      <c r="H170" s="63"/>
      <c r="J170" s="92">
        <f t="shared" ref="J170:AP170" si="40">J144 * (1 - J25)</f>
        <v>0</v>
      </c>
      <c r="K170" s="92">
        <f t="shared" si="40"/>
        <v>0</v>
      </c>
      <c r="L170" s="92">
        <f t="shared" si="40"/>
        <v>0</v>
      </c>
      <c r="M170" s="92">
        <f t="shared" si="40"/>
        <v>0</v>
      </c>
      <c r="N170" s="92">
        <f t="shared" si="40"/>
        <v>0</v>
      </c>
      <c r="O170" s="92">
        <f t="shared" si="40"/>
        <v>0</v>
      </c>
      <c r="P170" s="92">
        <f t="shared" si="40"/>
        <v>0</v>
      </c>
      <c r="Q170" s="92">
        <f t="shared" si="40"/>
        <v>0</v>
      </c>
      <c r="R170" s="92">
        <f t="shared" si="40"/>
        <v>0</v>
      </c>
      <c r="S170" s="92">
        <f t="shared" si="40"/>
        <v>0</v>
      </c>
      <c r="T170" s="92">
        <f t="shared" si="40"/>
        <v>0</v>
      </c>
      <c r="U170" s="92">
        <f t="shared" si="40"/>
        <v>0</v>
      </c>
      <c r="V170" s="92">
        <f t="shared" si="40"/>
        <v>0</v>
      </c>
      <c r="W170" s="92">
        <f t="shared" si="40"/>
        <v>0</v>
      </c>
      <c r="X170" s="92">
        <f t="shared" si="40"/>
        <v>0</v>
      </c>
      <c r="Y170" s="92">
        <f t="shared" si="40"/>
        <v>0</v>
      </c>
      <c r="Z170" s="92">
        <f t="shared" si="40"/>
        <v>0</v>
      </c>
      <c r="AA170" s="92">
        <f t="shared" si="40"/>
        <v>0</v>
      </c>
      <c r="AB170" s="92">
        <f t="shared" si="40"/>
        <v>0</v>
      </c>
      <c r="AC170" s="92">
        <f t="shared" si="40"/>
        <v>0</v>
      </c>
      <c r="AD170" s="92">
        <f t="shared" si="40"/>
        <v>0</v>
      </c>
      <c r="AE170" s="92">
        <f t="shared" si="40"/>
        <v>0</v>
      </c>
      <c r="AF170" s="92">
        <f t="shared" si="40"/>
        <v>0</v>
      </c>
      <c r="AG170" s="92">
        <f t="shared" si="40"/>
        <v>0</v>
      </c>
      <c r="AH170" s="92">
        <f t="shared" si="40"/>
        <v>0</v>
      </c>
      <c r="AI170" s="92">
        <f t="shared" si="40"/>
        <v>0</v>
      </c>
      <c r="AJ170" s="92">
        <f t="shared" si="40"/>
        <v>0</v>
      </c>
      <c r="AK170" s="92">
        <f t="shared" si="40"/>
        <v>0</v>
      </c>
      <c r="AL170" s="92">
        <f t="shared" si="40"/>
        <v>0</v>
      </c>
      <c r="AM170" s="92">
        <f t="shared" si="40"/>
        <v>0</v>
      </c>
      <c r="AN170" s="92">
        <f t="shared" si="40"/>
        <v>0</v>
      </c>
      <c r="AO170" s="92">
        <f t="shared" si="40"/>
        <v>0</v>
      </c>
      <c r="AP170" s="92">
        <f t="shared" si="40"/>
        <v>0</v>
      </c>
      <c r="BH170" s="3"/>
    </row>
    <row r="171" spans="3:60" x14ac:dyDescent="0.25">
      <c r="C171" s="32"/>
      <c r="F171" t="s">
        <v>230</v>
      </c>
      <c r="G171" t="s">
        <v>208</v>
      </c>
      <c r="H171" s="63"/>
      <c r="J171" s="92">
        <f t="shared" ref="J171:AP171" si="41">J145 * (1 - J26)</f>
        <v>489.45048978133565</v>
      </c>
      <c r="K171" s="92">
        <f t="shared" si="41"/>
        <v>75.183866714231826</v>
      </c>
      <c r="L171" s="92">
        <f t="shared" si="41"/>
        <v>35.086650712891078</v>
      </c>
      <c r="M171" s="92">
        <f t="shared" si="41"/>
        <v>178.856875456571</v>
      </c>
      <c r="N171" s="92">
        <f t="shared" si="41"/>
        <v>41.224993566731499</v>
      </c>
      <c r="O171" s="92">
        <f t="shared" si="41"/>
        <v>2.1190521264677979</v>
      </c>
      <c r="P171" s="92">
        <f t="shared" si="41"/>
        <v>6.6968325355212368</v>
      </c>
      <c r="Q171" s="92">
        <f t="shared" si="41"/>
        <v>0</v>
      </c>
      <c r="R171" s="92">
        <f t="shared" si="41"/>
        <v>0.11047257600907075</v>
      </c>
      <c r="S171" s="92">
        <f t="shared" si="41"/>
        <v>7.6569481930254465E-2</v>
      </c>
      <c r="T171" s="92">
        <f t="shared" si="41"/>
        <v>15.298702192363523</v>
      </c>
      <c r="U171" s="92">
        <f t="shared" si="41"/>
        <v>259.74007400599731</v>
      </c>
      <c r="V171" s="92">
        <f t="shared" si="41"/>
        <v>17.803820109342681</v>
      </c>
      <c r="W171" s="92">
        <f t="shared" si="41"/>
        <v>100.8897074377568</v>
      </c>
      <c r="X171" s="92">
        <f t="shared" si="41"/>
        <v>1.6702416868138223</v>
      </c>
      <c r="Y171" s="92">
        <f t="shared" si="41"/>
        <v>2.1398808029123249</v>
      </c>
      <c r="Z171" s="92">
        <f t="shared" si="41"/>
        <v>0.68287680663753358</v>
      </c>
      <c r="AA171" s="92">
        <f t="shared" si="41"/>
        <v>5.2834608826170847E-3</v>
      </c>
      <c r="AB171" s="92">
        <f t="shared" si="41"/>
        <v>10.88006858607222</v>
      </c>
      <c r="AC171" s="92">
        <f t="shared" si="41"/>
        <v>-0.78611806349487712</v>
      </c>
      <c r="AD171" s="92">
        <f t="shared" si="41"/>
        <v>0</v>
      </c>
      <c r="AE171" s="92">
        <f t="shared" si="41"/>
        <v>-44.04450415683111</v>
      </c>
      <c r="AF171" s="92">
        <f t="shared" si="41"/>
        <v>0</v>
      </c>
      <c r="AG171" s="92">
        <f t="shared" si="41"/>
        <v>-6.7487168840662513</v>
      </c>
      <c r="AH171" s="92">
        <f t="shared" si="41"/>
        <v>0</v>
      </c>
      <c r="AI171" s="92">
        <f t="shared" si="41"/>
        <v>-0.41765599039521334</v>
      </c>
      <c r="AJ171" s="92">
        <f t="shared" si="41"/>
        <v>0</v>
      </c>
      <c r="AK171" s="92">
        <f t="shared" si="41"/>
        <v>0</v>
      </c>
      <c r="AL171" s="92">
        <f t="shared" si="41"/>
        <v>0</v>
      </c>
      <c r="AM171" s="92">
        <f t="shared" si="41"/>
        <v>-75.968761046346074</v>
      </c>
      <c r="AN171" s="92">
        <f t="shared" si="41"/>
        <v>0</v>
      </c>
      <c r="AO171" s="92">
        <f t="shared" si="41"/>
        <v>-109.17913660469705</v>
      </c>
      <c r="AP171" s="92">
        <f t="shared" si="41"/>
        <v>0</v>
      </c>
      <c r="BH171" s="3"/>
    </row>
    <row r="172" spans="3:60" x14ac:dyDescent="0.25">
      <c r="C172" s="32"/>
      <c r="F172" t="s">
        <v>231</v>
      </c>
      <c r="G172" t="s">
        <v>208</v>
      </c>
      <c r="H172" s="63"/>
      <c r="J172" s="92">
        <f t="shared" ref="J172:AP172" si="42">J146 * (1 - J27)</f>
        <v>484.2029699103856</v>
      </c>
      <c r="K172" s="92">
        <f t="shared" si="42"/>
        <v>74.377801866418423</v>
      </c>
      <c r="L172" s="92">
        <f t="shared" si="42"/>
        <v>34.71047804442928</v>
      </c>
      <c r="M172" s="92">
        <f t="shared" si="42"/>
        <v>176.93930661639334</v>
      </c>
      <c r="N172" s="92">
        <f t="shared" si="42"/>
        <v>40.78301020490494</v>
      </c>
      <c r="O172" s="92">
        <f t="shared" si="42"/>
        <v>2.0963332440202871</v>
      </c>
      <c r="P172" s="92">
        <f t="shared" si="42"/>
        <v>6.6250341360175975</v>
      </c>
      <c r="Q172" s="92">
        <f t="shared" si="42"/>
        <v>0</v>
      </c>
      <c r="R172" s="92">
        <f t="shared" si="42"/>
        <v>0</v>
      </c>
      <c r="S172" s="92">
        <f t="shared" si="42"/>
        <v>7.5748561558682537E-2</v>
      </c>
      <c r="T172" s="92">
        <f t="shared" si="42"/>
        <v>15.13468101876118</v>
      </c>
      <c r="U172" s="92">
        <f t="shared" si="42"/>
        <v>256.95533637045543</v>
      </c>
      <c r="V172" s="92">
        <f t="shared" si="42"/>
        <v>17.612940946377019</v>
      </c>
      <c r="W172" s="92">
        <f t="shared" si="42"/>
        <v>0</v>
      </c>
      <c r="X172" s="92">
        <f t="shared" si="42"/>
        <v>1.6523346121988591</v>
      </c>
      <c r="Y172" s="92">
        <f t="shared" si="42"/>
        <v>2.1169386110682353</v>
      </c>
      <c r="Z172" s="92">
        <f t="shared" si="42"/>
        <v>0.67555551533830072</v>
      </c>
      <c r="AA172" s="92">
        <f t="shared" si="42"/>
        <v>5.2268155905032558E-3</v>
      </c>
      <c r="AB172" s="92">
        <f t="shared" si="42"/>
        <v>10.763420677254679</v>
      </c>
      <c r="AC172" s="92">
        <f t="shared" si="42"/>
        <v>-0.777689897122125</v>
      </c>
      <c r="AD172" s="92">
        <f t="shared" si="42"/>
        <v>0</v>
      </c>
      <c r="AE172" s="92">
        <f t="shared" si="42"/>
        <v>-43.572292123960601</v>
      </c>
      <c r="AF172" s="92">
        <f t="shared" si="42"/>
        <v>0</v>
      </c>
      <c r="AG172" s="92">
        <f t="shared" si="42"/>
        <v>-6.6763622196171966</v>
      </c>
      <c r="AH172" s="92">
        <f t="shared" si="42"/>
        <v>0</v>
      </c>
      <c r="AI172" s="92">
        <f t="shared" si="42"/>
        <v>-0.4131781971258689</v>
      </c>
      <c r="AJ172" s="92">
        <f t="shared" si="42"/>
        <v>0</v>
      </c>
      <c r="AK172" s="92">
        <f t="shared" si="42"/>
        <v>0</v>
      </c>
      <c r="AL172" s="92">
        <f t="shared" si="42"/>
        <v>0</v>
      </c>
      <c r="AM172" s="92">
        <f t="shared" si="42"/>
        <v>-75.154281152086995</v>
      </c>
      <c r="AN172" s="92">
        <f t="shared" si="42"/>
        <v>0</v>
      </c>
      <c r="AO172" s="92">
        <f t="shared" si="42"/>
        <v>-108.00860005240497</v>
      </c>
      <c r="AP172" s="92">
        <f t="shared" si="42"/>
        <v>0</v>
      </c>
      <c r="BH172" s="3"/>
    </row>
    <row r="173" spans="3:60" x14ac:dyDescent="0.25">
      <c r="C173" s="32"/>
      <c r="F173" t="s">
        <v>232</v>
      </c>
      <c r="G173" t="s">
        <v>208</v>
      </c>
      <c r="H173" s="63"/>
      <c r="J173" s="92">
        <f t="shared" ref="J173:AP173" si="43">J147 * (1 - J28)</f>
        <v>0</v>
      </c>
      <c r="K173" s="92">
        <f t="shared" si="43"/>
        <v>0</v>
      </c>
      <c r="L173" s="92">
        <f t="shared" si="43"/>
        <v>0</v>
      </c>
      <c r="M173" s="92">
        <f t="shared" si="43"/>
        <v>0</v>
      </c>
      <c r="N173" s="92">
        <f t="shared" si="43"/>
        <v>0</v>
      </c>
      <c r="O173" s="92">
        <f t="shared" si="43"/>
        <v>0</v>
      </c>
      <c r="P173" s="92">
        <f t="shared" si="43"/>
        <v>0</v>
      </c>
      <c r="Q173" s="92">
        <f t="shared" si="43"/>
        <v>0</v>
      </c>
      <c r="R173" s="92">
        <f t="shared" si="43"/>
        <v>0</v>
      </c>
      <c r="S173" s="92">
        <f t="shared" si="43"/>
        <v>0</v>
      </c>
      <c r="T173" s="92">
        <f t="shared" si="43"/>
        <v>0</v>
      </c>
      <c r="U173" s="92">
        <f t="shared" si="43"/>
        <v>0</v>
      </c>
      <c r="V173" s="92">
        <f t="shared" si="43"/>
        <v>0</v>
      </c>
      <c r="W173" s="92">
        <f t="shared" si="43"/>
        <v>0</v>
      </c>
      <c r="X173" s="92">
        <f t="shared" si="43"/>
        <v>0</v>
      </c>
      <c r="Y173" s="92">
        <f t="shared" si="43"/>
        <v>0</v>
      </c>
      <c r="Z173" s="92">
        <f t="shared" si="43"/>
        <v>0</v>
      </c>
      <c r="AA173" s="92">
        <f t="shared" si="43"/>
        <v>0</v>
      </c>
      <c r="AB173" s="92">
        <f t="shared" si="43"/>
        <v>0</v>
      </c>
      <c r="AC173" s="92">
        <f t="shared" si="43"/>
        <v>0</v>
      </c>
      <c r="AD173" s="92">
        <f t="shared" si="43"/>
        <v>0</v>
      </c>
      <c r="AE173" s="92">
        <f t="shared" si="43"/>
        <v>0</v>
      </c>
      <c r="AF173" s="92">
        <f t="shared" si="43"/>
        <v>0</v>
      </c>
      <c r="AG173" s="92">
        <f t="shared" si="43"/>
        <v>0</v>
      </c>
      <c r="AH173" s="92">
        <f t="shared" si="43"/>
        <v>0</v>
      </c>
      <c r="AI173" s="92">
        <f t="shared" si="43"/>
        <v>0</v>
      </c>
      <c r="AJ173" s="92">
        <f t="shared" si="43"/>
        <v>0</v>
      </c>
      <c r="AK173" s="92">
        <f t="shared" si="43"/>
        <v>0</v>
      </c>
      <c r="AL173" s="92">
        <f t="shared" si="43"/>
        <v>0</v>
      </c>
      <c r="AM173" s="92">
        <f t="shared" si="43"/>
        <v>0</v>
      </c>
      <c r="AN173" s="92">
        <f t="shared" si="43"/>
        <v>0</v>
      </c>
      <c r="AO173" s="92">
        <f t="shared" si="43"/>
        <v>0</v>
      </c>
      <c r="AP173" s="92">
        <f t="shared" si="43"/>
        <v>0</v>
      </c>
      <c r="BH173" s="3"/>
    </row>
    <row r="174" spans="3:60" x14ac:dyDescent="0.25">
      <c r="C174" s="32"/>
      <c r="F174" t="s">
        <v>233</v>
      </c>
      <c r="G174" t="s">
        <v>208</v>
      </c>
      <c r="H174" s="63"/>
      <c r="J174" s="92">
        <f t="shared" ref="J174:AP174" si="44">J148 * (1 - J29)</f>
        <v>479.99250930246927</v>
      </c>
      <c r="K174" s="92">
        <f t="shared" si="44"/>
        <v>73.731038371927838</v>
      </c>
      <c r="L174" s="92">
        <f t="shared" si="44"/>
        <v>34.40864780056468</v>
      </c>
      <c r="M174" s="92">
        <f t="shared" si="44"/>
        <v>175.40070395016383</v>
      </c>
      <c r="N174" s="92">
        <f t="shared" si="44"/>
        <v>40.428375333557952</v>
      </c>
      <c r="O174" s="92">
        <f t="shared" si="44"/>
        <v>2.0781042592896761</v>
      </c>
      <c r="P174" s="92">
        <f t="shared" si="44"/>
        <v>6.5674251435304889</v>
      </c>
      <c r="Q174" s="92">
        <f t="shared" si="44"/>
        <v>0</v>
      </c>
      <c r="R174" s="92">
        <f t="shared" si="44"/>
        <v>0</v>
      </c>
      <c r="S174" s="92">
        <f t="shared" si="44"/>
        <v>7.5089878414693986E-2</v>
      </c>
      <c r="T174" s="92">
        <f t="shared" si="44"/>
        <v>15.003075096858911</v>
      </c>
      <c r="U174" s="92">
        <f t="shared" si="44"/>
        <v>203.77675371291772</v>
      </c>
      <c r="V174" s="92">
        <f t="shared" si="44"/>
        <v>0</v>
      </c>
      <c r="W174" s="92">
        <f t="shared" si="44"/>
        <v>0</v>
      </c>
      <c r="X174" s="92">
        <f t="shared" si="44"/>
        <v>1.6379664851362605</v>
      </c>
      <c r="Y174" s="92">
        <f t="shared" si="44"/>
        <v>2.0985304492328596</v>
      </c>
      <c r="Z174" s="92">
        <f t="shared" si="44"/>
        <v>0.66968111955275034</v>
      </c>
      <c r="AA174" s="92">
        <f t="shared" si="44"/>
        <v>5.1813650201510538E-3</v>
      </c>
      <c r="AB174" s="92">
        <f t="shared" si="44"/>
        <v>10.669825714843769</v>
      </c>
      <c r="AC174" s="92">
        <f t="shared" si="44"/>
        <v>-0.77092737627758479</v>
      </c>
      <c r="AD174" s="92">
        <f t="shared" si="44"/>
        <v>0</v>
      </c>
      <c r="AE174" s="92">
        <f t="shared" si="44"/>
        <v>-43.193402627230512</v>
      </c>
      <c r="AF174" s="92">
        <f t="shared" si="44"/>
        <v>0</v>
      </c>
      <c r="AG174" s="92">
        <f t="shared" si="44"/>
        <v>-6.6183068959683524</v>
      </c>
      <c r="AH174" s="92">
        <f t="shared" si="44"/>
        <v>0</v>
      </c>
      <c r="AI174" s="92">
        <f t="shared" si="44"/>
        <v>-0.40958534323781792</v>
      </c>
      <c r="AJ174" s="92">
        <f t="shared" si="44"/>
        <v>0</v>
      </c>
      <c r="AK174" s="92">
        <f t="shared" si="44"/>
        <v>0</v>
      </c>
      <c r="AL174" s="92">
        <f t="shared" si="44"/>
        <v>0</v>
      </c>
      <c r="AM174" s="92">
        <f t="shared" si="44"/>
        <v>0</v>
      </c>
      <c r="AN174" s="92">
        <f t="shared" si="44"/>
        <v>0</v>
      </c>
      <c r="AO174" s="92">
        <f t="shared" si="44"/>
        <v>0</v>
      </c>
      <c r="AP174" s="92">
        <f t="shared" si="44"/>
        <v>0</v>
      </c>
      <c r="BH174" s="3"/>
    </row>
    <row r="175" spans="3:60" x14ac:dyDescent="0.25">
      <c r="C175" s="32"/>
      <c r="F175" t="s">
        <v>234</v>
      </c>
      <c r="G175" t="s">
        <v>208</v>
      </c>
      <c r="H175" s="63"/>
      <c r="J175" s="92">
        <f t="shared" ref="J175:AP175" si="45">J149 * (1 - J30)</f>
        <v>470.0021259489647</v>
      </c>
      <c r="K175" s="92">
        <f t="shared" si="45"/>
        <v>72.196428301745783</v>
      </c>
      <c r="L175" s="92">
        <f t="shared" si="45"/>
        <v>33.692479161385471</v>
      </c>
      <c r="M175" s="92">
        <f t="shared" si="45"/>
        <v>171.74997974306487</v>
      </c>
      <c r="N175" s="92">
        <f t="shared" si="45"/>
        <v>39.58691435215939</v>
      </c>
      <c r="O175" s="92">
        <f t="shared" si="45"/>
        <v>2.0348513797207328</v>
      </c>
      <c r="P175" s="92">
        <f t="shared" si="45"/>
        <v>6.4307332294740354</v>
      </c>
      <c r="Q175" s="92">
        <f t="shared" si="45"/>
        <v>0</v>
      </c>
      <c r="R175" s="92">
        <f t="shared" si="45"/>
        <v>0</v>
      </c>
      <c r="S175" s="92">
        <f t="shared" si="45"/>
        <v>7.3526985959515873E-2</v>
      </c>
      <c r="T175" s="92">
        <f t="shared" si="45"/>
        <v>14.690806741011327</v>
      </c>
      <c r="U175" s="92">
        <f t="shared" si="45"/>
        <v>0</v>
      </c>
      <c r="V175" s="92">
        <f t="shared" si="45"/>
        <v>0</v>
      </c>
      <c r="W175" s="92">
        <f t="shared" si="45"/>
        <v>0</v>
      </c>
      <c r="X175" s="92">
        <f t="shared" si="45"/>
        <v>1.6038744674702266</v>
      </c>
      <c r="Y175" s="92">
        <f t="shared" si="45"/>
        <v>2.0548524266376629</v>
      </c>
      <c r="Z175" s="92">
        <f t="shared" si="45"/>
        <v>0.65574262889034685</v>
      </c>
      <c r="AA175" s="92">
        <f t="shared" si="45"/>
        <v>5.0735220395991872E-3</v>
      </c>
      <c r="AB175" s="92">
        <f t="shared" si="45"/>
        <v>10.447747980003124</v>
      </c>
      <c r="AC175" s="92">
        <f t="shared" si="45"/>
        <v>-0.75488158415070983</v>
      </c>
      <c r="AD175" s="92">
        <f t="shared" si="45"/>
        <v>0</v>
      </c>
      <c r="AE175" s="92">
        <f t="shared" si="45"/>
        <v>-42.294391408877559</v>
      </c>
      <c r="AF175" s="92">
        <f t="shared" si="45"/>
        <v>0</v>
      </c>
      <c r="AG175" s="92">
        <f t="shared" si="45"/>
        <v>-6.4805559482755388</v>
      </c>
      <c r="AH175" s="92">
        <f t="shared" si="45"/>
        <v>0</v>
      </c>
      <c r="AI175" s="92">
        <f t="shared" si="45"/>
        <v>0</v>
      </c>
      <c r="AJ175" s="92">
        <f t="shared" si="45"/>
        <v>0</v>
      </c>
      <c r="AK175" s="92">
        <f t="shared" si="45"/>
        <v>0</v>
      </c>
      <c r="AL175" s="92">
        <f t="shared" si="45"/>
        <v>0</v>
      </c>
      <c r="AM175" s="92">
        <f t="shared" si="45"/>
        <v>0</v>
      </c>
      <c r="AN175" s="92">
        <f t="shared" si="45"/>
        <v>0</v>
      </c>
      <c r="AO175" s="92">
        <f t="shared" si="45"/>
        <v>0</v>
      </c>
      <c r="AP175" s="92">
        <f t="shared" si="45"/>
        <v>0</v>
      </c>
      <c r="BH175" s="3"/>
    </row>
    <row r="176" spans="3:60" x14ac:dyDescent="0.25">
      <c r="C176" s="32"/>
      <c r="F176" s="37" t="s">
        <v>235</v>
      </c>
      <c r="G176" s="37" t="s">
        <v>208</v>
      </c>
      <c r="H176" s="133"/>
      <c r="I176" s="37"/>
      <c r="J176" s="82">
        <f t="shared" ref="J176:AP176" si="46">J150 * (1 - J31)</f>
        <v>0</v>
      </c>
      <c r="K176" s="82">
        <f t="shared" si="46"/>
        <v>0</v>
      </c>
      <c r="L176" s="82">
        <f t="shared" si="46"/>
        <v>0</v>
      </c>
      <c r="M176" s="82">
        <f t="shared" si="46"/>
        <v>0</v>
      </c>
      <c r="N176" s="82">
        <f t="shared" si="46"/>
        <v>0</v>
      </c>
      <c r="O176" s="82">
        <f t="shared" si="46"/>
        <v>0</v>
      </c>
      <c r="P176" s="82">
        <f t="shared" si="46"/>
        <v>0</v>
      </c>
      <c r="Q176" s="82">
        <f t="shared" si="46"/>
        <v>0</v>
      </c>
      <c r="R176" s="82">
        <f t="shared" si="46"/>
        <v>0</v>
      </c>
      <c r="S176" s="82">
        <f t="shared" si="46"/>
        <v>0</v>
      </c>
      <c r="T176" s="82">
        <f t="shared" si="46"/>
        <v>0</v>
      </c>
      <c r="U176" s="82">
        <f t="shared" si="46"/>
        <v>0</v>
      </c>
      <c r="V176" s="82">
        <f t="shared" si="46"/>
        <v>0</v>
      </c>
      <c r="W176" s="82">
        <f t="shared" si="46"/>
        <v>0</v>
      </c>
      <c r="X176" s="82">
        <f t="shared" si="46"/>
        <v>1.555316800106449</v>
      </c>
      <c r="Y176" s="82">
        <f t="shared" si="46"/>
        <v>1.9926412981247794</v>
      </c>
      <c r="Z176" s="82">
        <f t="shared" si="46"/>
        <v>0.63588987040100597</v>
      </c>
      <c r="AA176" s="82">
        <f t="shared" si="46"/>
        <v>4.919919996198477E-3</v>
      </c>
      <c r="AB176" s="82">
        <f t="shared" si="46"/>
        <v>10.131440013636055</v>
      </c>
      <c r="AC176" s="82">
        <f t="shared" si="46"/>
        <v>0</v>
      </c>
      <c r="AD176" s="82">
        <f t="shared" si="46"/>
        <v>0</v>
      </c>
      <c r="AE176" s="82">
        <f t="shared" si="46"/>
        <v>0</v>
      </c>
      <c r="AF176" s="82">
        <f t="shared" si="46"/>
        <v>0</v>
      </c>
      <c r="AG176" s="82">
        <f t="shared" si="46"/>
        <v>0</v>
      </c>
      <c r="AH176" s="82">
        <f t="shared" si="46"/>
        <v>0</v>
      </c>
      <c r="AI176" s="82">
        <f t="shared" si="46"/>
        <v>0</v>
      </c>
      <c r="AJ176" s="82">
        <f t="shared" si="46"/>
        <v>0</v>
      </c>
      <c r="AK176" s="82">
        <f t="shared" si="46"/>
        <v>0</v>
      </c>
      <c r="AL176" s="82">
        <f t="shared" si="46"/>
        <v>0</v>
      </c>
      <c r="AM176" s="82">
        <f t="shared" si="46"/>
        <v>0</v>
      </c>
      <c r="AN176" s="82">
        <f t="shared" si="46"/>
        <v>0</v>
      </c>
      <c r="AO176" s="82">
        <f t="shared" si="46"/>
        <v>0</v>
      </c>
      <c r="AP176" s="82">
        <f t="shared" si="46"/>
        <v>0</v>
      </c>
      <c r="BH176" s="3"/>
    </row>
    <row r="177" spans="2:60" x14ac:dyDescent="0.25">
      <c r="C177" s="32"/>
      <c r="F177" s="111" t="s">
        <v>101</v>
      </c>
      <c r="G177" s="111" t="s">
        <v>208</v>
      </c>
      <c r="H177" s="185"/>
      <c r="I177" s="111"/>
      <c r="J177" s="184">
        <f t="shared" ref="J177:AP177" si="47">SUM(J168:J176)</f>
        <v>2428.6452036875885</v>
      </c>
      <c r="K177" s="184">
        <f t="shared" si="47"/>
        <v>372.13258245524537</v>
      </c>
      <c r="L177" s="184">
        <f t="shared" si="47"/>
        <v>171.4768174694739</v>
      </c>
      <c r="M177" s="184">
        <f t="shared" si="47"/>
        <v>885.26071481526537</v>
      </c>
      <c r="N177" s="184">
        <f t="shared" si="47"/>
        <v>203.87316908201461</v>
      </c>
      <c r="O177" s="184">
        <f t="shared" si="47"/>
        <v>10.338321934852791</v>
      </c>
      <c r="P177" s="184">
        <f t="shared" si="47"/>
        <v>33.154477150938291</v>
      </c>
      <c r="Q177" s="184">
        <f t="shared" si="47"/>
        <v>0</v>
      </c>
      <c r="R177" s="184">
        <f t="shared" si="47"/>
        <v>0.25067230721835904</v>
      </c>
      <c r="S177" s="184">
        <f t="shared" si="47"/>
        <v>0.38112368541295261</v>
      </c>
      <c r="T177" s="184">
        <f t="shared" si="47"/>
        <v>75.753658184871227</v>
      </c>
      <c r="U177" s="184">
        <f t="shared" si="47"/>
        <v>985.73814774444554</v>
      </c>
      <c r="V177" s="184">
        <f t="shared" si="47"/>
        <v>53.495185837086424</v>
      </c>
      <c r="W177" s="184">
        <f t="shared" si="47"/>
        <v>229.23041614043308</v>
      </c>
      <c r="X177" s="184">
        <f t="shared" si="47"/>
        <v>9.8161925138379118</v>
      </c>
      <c r="Y177" s="184">
        <f t="shared" si="47"/>
        <v>12.705950913677858</v>
      </c>
      <c r="Z177" s="184">
        <f t="shared" si="47"/>
        <v>4.0786094917254259</v>
      </c>
      <c r="AA177" s="184">
        <f t="shared" si="47"/>
        <v>3.0808178358863732E-2</v>
      </c>
      <c r="AB177" s="184">
        <f t="shared" si="47"/>
        <v>64.611561239780244</v>
      </c>
      <c r="AC177" s="184">
        <f t="shared" si="47"/>
        <v>-3.8875267554925972</v>
      </c>
      <c r="AD177" s="184">
        <f t="shared" si="47"/>
        <v>0</v>
      </c>
      <c r="AE177" s="184">
        <f t="shared" si="47"/>
        <v>-217.80976203608338</v>
      </c>
      <c r="AF177" s="184">
        <f t="shared" si="47"/>
        <v>0</v>
      </c>
      <c r="AG177" s="184">
        <f t="shared" si="47"/>
        <v>-33.402230230887518</v>
      </c>
      <c r="AH177" s="184">
        <f t="shared" si="47"/>
        <v>0</v>
      </c>
      <c r="AI177" s="184">
        <f t="shared" si="47"/>
        <v>-1.6643403610100416</v>
      </c>
      <c r="AJ177" s="184">
        <f t="shared" si="47"/>
        <v>0</v>
      </c>
      <c r="AK177" s="184">
        <f t="shared" si="47"/>
        <v>0</v>
      </c>
      <c r="AL177" s="184">
        <f t="shared" si="47"/>
        <v>0</v>
      </c>
      <c r="AM177" s="184">
        <f t="shared" si="47"/>
        <v>-228.23133466047432</v>
      </c>
      <c r="AN177" s="184">
        <f t="shared" si="47"/>
        <v>0</v>
      </c>
      <c r="AO177" s="184">
        <f t="shared" si="47"/>
        <v>-329.16524810557235</v>
      </c>
      <c r="AP177" s="184">
        <f t="shared" si="47"/>
        <v>0</v>
      </c>
      <c r="BH177" s="3"/>
    </row>
    <row r="178" spans="2:60" x14ac:dyDescent="0.25">
      <c r="H178" s="181"/>
    </row>
    <row r="179" spans="2:60" x14ac:dyDescent="0.25">
      <c r="B179" s="30" t="s">
        <v>635</v>
      </c>
      <c r="C179" s="30"/>
      <c r="D179" s="30"/>
      <c r="E179" s="30"/>
      <c r="F179" s="30"/>
      <c r="G179" s="30"/>
      <c r="H179" s="30"/>
      <c r="I179" s="30"/>
      <c r="J179" s="136"/>
      <c r="K179" s="136"/>
      <c r="L179" s="136"/>
      <c r="M179" s="136"/>
      <c r="N179" s="136"/>
      <c r="O179" s="136"/>
      <c r="P179" s="136"/>
      <c r="Q179" s="136"/>
      <c r="R179" s="136"/>
      <c r="S179" s="136"/>
      <c r="T179" s="30"/>
      <c r="U179" s="30"/>
      <c r="V179" s="30"/>
      <c r="W179" s="30"/>
      <c r="X179" s="30"/>
      <c r="Y179" s="30"/>
      <c r="Z179" s="30"/>
      <c r="AA179" s="30"/>
      <c r="AB179" s="30"/>
      <c r="AC179" s="30"/>
      <c r="AD179" s="30"/>
      <c r="AE179" s="30"/>
      <c r="AF179" s="30"/>
      <c r="AG179" s="30"/>
      <c r="AH179" s="30"/>
      <c r="AI179" s="30"/>
      <c r="AJ179" s="30"/>
      <c r="AK179" s="30"/>
      <c r="AL179" s="30"/>
      <c r="AM179" s="30"/>
      <c r="AN179" s="30"/>
      <c r="AO179" s="30"/>
      <c r="AP179" s="30"/>
      <c r="AQ179" s="30"/>
      <c r="AR179" s="30"/>
      <c r="BH179" s="3"/>
    </row>
    <row r="180" spans="2:60" x14ac:dyDescent="0.25">
      <c r="C180" s="32"/>
      <c r="J180" s="63"/>
      <c r="K180" s="63"/>
      <c r="L180" s="63"/>
      <c r="M180" s="63"/>
      <c r="N180" s="63"/>
      <c r="O180" s="63"/>
      <c r="P180" s="63"/>
      <c r="Q180" s="63"/>
      <c r="R180" s="63"/>
      <c r="S180" s="63"/>
      <c r="BH180" s="3"/>
    </row>
    <row r="181" spans="2:60" x14ac:dyDescent="0.25">
      <c r="C181" s="29" t="s">
        <v>636</v>
      </c>
      <c r="J181" s="63"/>
      <c r="K181" s="63"/>
      <c r="L181" s="63"/>
      <c r="M181" s="63"/>
      <c r="N181" s="63"/>
      <c r="O181" s="63"/>
      <c r="P181" s="63"/>
      <c r="Q181" s="63"/>
      <c r="R181" s="63"/>
      <c r="S181" s="63"/>
      <c r="BH181" s="3"/>
    </row>
    <row r="182" spans="2:60" x14ac:dyDescent="0.25">
      <c r="C182" s="29" t="s">
        <v>637</v>
      </c>
      <c r="J182" s="63"/>
      <c r="K182" s="63"/>
      <c r="L182" s="63"/>
      <c r="M182" s="63"/>
      <c r="N182" s="63"/>
      <c r="O182" s="63"/>
      <c r="P182" s="63"/>
      <c r="Q182" s="63"/>
      <c r="R182" s="63"/>
      <c r="S182" s="63"/>
      <c r="BH182" s="3"/>
    </row>
    <row r="183" spans="2:60" x14ac:dyDescent="0.25">
      <c r="C183" s="32"/>
      <c r="J183" s="63"/>
      <c r="K183" s="63"/>
      <c r="L183" s="63"/>
      <c r="M183" s="63"/>
      <c r="N183" s="63"/>
      <c r="O183" s="63"/>
      <c r="P183" s="63"/>
      <c r="Q183" s="63"/>
      <c r="R183" s="63"/>
      <c r="S183" s="63"/>
      <c r="BH183" s="3"/>
    </row>
    <row r="184" spans="2:60" x14ac:dyDescent="0.25">
      <c r="C184" s="31" t="str">
        <f ca="1">INDEX('Version control'!$H$34:$H$56,MATCH($A$1,'Version control'!$F$34:$F$56,0),1)&amp;"-E: Adjustment of import and exceeded capacity"</f>
        <v>Section 106-E: Adjustment of import and exceeded capacity</v>
      </c>
      <c r="D184" s="31"/>
      <c r="E184" s="31"/>
      <c r="F184" s="31"/>
      <c r="G184" s="31"/>
      <c r="H184" s="31"/>
      <c r="I184" s="31"/>
      <c r="J184" s="31"/>
      <c r="K184" s="31"/>
      <c r="L184" s="31"/>
      <c r="M184" s="31"/>
      <c r="N184" s="31"/>
      <c r="O184" s="31"/>
      <c r="P184" s="31"/>
      <c r="Q184" s="31"/>
      <c r="R184" s="31"/>
      <c r="S184" s="31"/>
      <c r="T184" s="31"/>
      <c r="U184" s="31"/>
      <c r="V184" s="31"/>
      <c r="W184" s="31"/>
      <c r="X184" s="31"/>
      <c r="Y184" s="31"/>
      <c r="Z184" s="31"/>
      <c r="AA184" s="31"/>
      <c r="AB184" s="31"/>
      <c r="AC184" s="31"/>
      <c r="AD184" s="31"/>
      <c r="AE184" s="31"/>
      <c r="AF184" s="31"/>
      <c r="AG184" s="31"/>
      <c r="AH184" s="31"/>
      <c r="AI184" s="31"/>
      <c r="AJ184" s="31"/>
      <c r="AK184" s="31"/>
      <c r="AL184" s="31"/>
      <c r="AM184" s="31"/>
      <c r="AN184" s="31"/>
      <c r="AO184" s="31"/>
      <c r="AP184" s="31"/>
      <c r="AQ184" s="31"/>
      <c r="AR184" s="31"/>
      <c r="BH184" s="3"/>
    </row>
    <row r="185" spans="2:60" x14ac:dyDescent="0.25">
      <c r="C185" s="32"/>
      <c r="J185" s="63"/>
      <c r="K185" s="63"/>
      <c r="L185" s="63"/>
      <c r="M185" s="63"/>
      <c r="N185" s="63"/>
      <c r="O185" s="63"/>
      <c r="P185" s="63"/>
      <c r="Q185" s="63"/>
      <c r="R185" s="63"/>
      <c r="S185" s="63"/>
      <c r="BH185" s="3"/>
    </row>
    <row r="186" spans="2:60" x14ac:dyDescent="0.25">
      <c r="D186" s="29" t="s">
        <v>638</v>
      </c>
      <c r="E186" s="29"/>
      <c r="J186" s="63"/>
      <c r="K186" s="63"/>
      <c r="L186" s="63"/>
      <c r="M186" s="63"/>
      <c r="N186" s="63"/>
      <c r="O186" s="63"/>
      <c r="P186" s="63"/>
      <c r="Q186" s="63"/>
      <c r="R186" s="63"/>
      <c r="S186" s="63"/>
      <c r="BH186" s="3"/>
    </row>
    <row r="187" spans="2:60" x14ac:dyDescent="0.25">
      <c r="J187" s="63"/>
      <c r="K187" s="63"/>
      <c r="L187" s="63"/>
      <c r="M187" s="63"/>
      <c r="N187" s="63"/>
      <c r="O187" s="63"/>
      <c r="P187" s="63"/>
      <c r="Q187" s="63"/>
      <c r="R187" s="63"/>
      <c r="S187" s="63"/>
      <c r="BH187" s="3"/>
    </row>
    <row r="188" spans="2:60" x14ac:dyDescent="0.25">
      <c r="C188" s="32"/>
      <c r="E188" t="s">
        <v>300</v>
      </c>
      <c r="G188" t="s">
        <v>301</v>
      </c>
      <c r="J188" s="123">
        <f>'Volume adjustments'!J114</f>
        <v>0</v>
      </c>
      <c r="K188" s="123">
        <f>'Volume adjustments'!K114</f>
        <v>0</v>
      </c>
      <c r="L188" s="123">
        <f>'Volume adjustments'!L114</f>
        <v>0</v>
      </c>
      <c r="M188" s="123">
        <f>'Volume adjustments'!M114</f>
        <v>0</v>
      </c>
      <c r="N188" s="123">
        <f>'Volume adjustments'!N114</f>
        <v>0</v>
      </c>
      <c r="O188" s="123">
        <f>'Volume adjustments'!O114</f>
        <v>0</v>
      </c>
      <c r="P188" s="123">
        <f>'Volume adjustments'!P114</f>
        <v>0</v>
      </c>
      <c r="Q188" s="123">
        <f>'Volume adjustments'!Q114</f>
        <v>0</v>
      </c>
      <c r="R188" s="123">
        <f>'Volume adjustments'!R114</f>
        <v>0</v>
      </c>
      <c r="S188" s="123">
        <f>'Volume adjustments'!S114</f>
        <v>0</v>
      </c>
      <c r="T188" s="123">
        <f>'Volume adjustments'!T114</f>
        <v>0</v>
      </c>
      <c r="U188" s="123">
        <f>'Volume adjustments'!U114</f>
        <v>865207.30769612629</v>
      </c>
      <c r="V188" s="123">
        <f>'Volume adjustments'!V114</f>
        <v>31863.811242778251</v>
      </c>
      <c r="W188" s="123">
        <f>'Volume adjustments'!W114</f>
        <v>417431.11194524198</v>
      </c>
      <c r="X188" s="123">
        <f>'Volume adjustments'!X114</f>
        <v>0</v>
      </c>
      <c r="Y188" s="123">
        <f>'Volume adjustments'!Y114</f>
        <v>0</v>
      </c>
      <c r="Z188" s="123">
        <f>'Volume adjustments'!Z114</f>
        <v>0</v>
      </c>
      <c r="AA188" s="123">
        <f>'Volume adjustments'!AA114</f>
        <v>0</v>
      </c>
      <c r="AB188" s="123">
        <f>'Volume adjustments'!AB114</f>
        <v>0</v>
      </c>
      <c r="AC188" s="123">
        <f>'Volume adjustments'!AC114</f>
        <v>0</v>
      </c>
      <c r="AD188" s="123">
        <f>'Volume adjustments'!AD114</f>
        <v>0</v>
      </c>
      <c r="AE188" s="123">
        <f>'Volume adjustments'!AE114</f>
        <v>0</v>
      </c>
      <c r="AF188" s="123">
        <f>'Volume adjustments'!AF114</f>
        <v>0</v>
      </c>
      <c r="AG188" s="123">
        <f>'Volume adjustments'!AG114</f>
        <v>0</v>
      </c>
      <c r="AH188" s="123">
        <f>'Volume adjustments'!AH114</f>
        <v>0</v>
      </c>
      <c r="AI188" s="123">
        <f>'Volume adjustments'!AI114</f>
        <v>0</v>
      </c>
      <c r="AJ188" s="123">
        <f>'Volume adjustments'!AJ114</f>
        <v>0</v>
      </c>
      <c r="AK188" s="123">
        <f>'Volume adjustments'!AK114</f>
        <v>0</v>
      </c>
      <c r="AL188" s="123">
        <f>'Volume adjustments'!AL114</f>
        <v>0</v>
      </c>
      <c r="AM188" s="123">
        <f>'Volume adjustments'!AM114</f>
        <v>0</v>
      </c>
      <c r="AN188" s="123">
        <f>'Volume adjustments'!AN114</f>
        <v>0</v>
      </c>
      <c r="AO188" s="123">
        <f>'Volume adjustments'!AO114</f>
        <v>0</v>
      </c>
      <c r="AP188" s="123">
        <f>'Volume adjustments'!AP114</f>
        <v>0</v>
      </c>
      <c r="BH188" s="3"/>
    </row>
    <row r="189" spans="2:60" x14ac:dyDescent="0.25">
      <c r="C189" s="32"/>
      <c r="E189" t="s">
        <v>302</v>
      </c>
      <c r="G189" t="s">
        <v>301</v>
      </c>
      <c r="J189" s="123">
        <f>'Volume adjustments'!J125</f>
        <v>0</v>
      </c>
      <c r="K189" s="123">
        <f>'Volume adjustments'!K125</f>
        <v>0</v>
      </c>
      <c r="L189" s="123">
        <f>'Volume adjustments'!L125</f>
        <v>0</v>
      </c>
      <c r="M189" s="123">
        <f>'Volume adjustments'!M125</f>
        <v>0</v>
      </c>
      <c r="N189" s="123">
        <f>'Volume adjustments'!N125</f>
        <v>0</v>
      </c>
      <c r="O189" s="123">
        <f>'Volume adjustments'!O125</f>
        <v>0</v>
      </c>
      <c r="P189" s="123">
        <f>'Volume adjustments'!P125</f>
        <v>0</v>
      </c>
      <c r="Q189" s="123">
        <f>'Volume adjustments'!Q125</f>
        <v>0</v>
      </c>
      <c r="R189" s="123">
        <f>'Volume adjustments'!R125</f>
        <v>0</v>
      </c>
      <c r="S189" s="123">
        <f>'Volume adjustments'!S125</f>
        <v>0</v>
      </c>
      <c r="T189" s="123">
        <f>'Volume adjustments'!T125</f>
        <v>0</v>
      </c>
      <c r="U189" s="123">
        <f>'Volume adjustments'!U125</f>
        <v>19860.688270861865</v>
      </c>
      <c r="V189" s="123">
        <f>'Volume adjustments'!V125</f>
        <v>1241.120857125464</v>
      </c>
      <c r="W189" s="123">
        <f>'Volume adjustments'!W125</f>
        <v>11113.625162499586</v>
      </c>
      <c r="X189" s="123">
        <f>'Volume adjustments'!X125</f>
        <v>0</v>
      </c>
      <c r="Y189" s="123">
        <f>'Volume adjustments'!Y125</f>
        <v>0</v>
      </c>
      <c r="Z189" s="123">
        <f>'Volume adjustments'!Z125</f>
        <v>0</v>
      </c>
      <c r="AA189" s="123">
        <f>'Volume adjustments'!AA125</f>
        <v>0</v>
      </c>
      <c r="AB189" s="123">
        <f>'Volume adjustments'!AB125</f>
        <v>0</v>
      </c>
      <c r="AC189" s="123">
        <f>'Volume adjustments'!AC125</f>
        <v>0</v>
      </c>
      <c r="AD189" s="123">
        <f>'Volume adjustments'!AD125</f>
        <v>0</v>
      </c>
      <c r="AE189" s="123">
        <f>'Volume adjustments'!AE125</f>
        <v>0</v>
      </c>
      <c r="AF189" s="123">
        <f>'Volume adjustments'!AF125</f>
        <v>0</v>
      </c>
      <c r="AG189" s="123">
        <f>'Volume adjustments'!AG125</f>
        <v>0</v>
      </c>
      <c r="AH189" s="123">
        <f>'Volume adjustments'!AH125</f>
        <v>0</v>
      </c>
      <c r="AI189" s="123">
        <f>'Volume adjustments'!AI125</f>
        <v>0</v>
      </c>
      <c r="AJ189" s="123">
        <f>'Volume adjustments'!AJ125</f>
        <v>0</v>
      </c>
      <c r="AK189" s="123">
        <f>'Volume adjustments'!AK125</f>
        <v>0</v>
      </c>
      <c r="AL189" s="123">
        <f>'Volume adjustments'!AL125</f>
        <v>0</v>
      </c>
      <c r="AM189" s="123">
        <f>'Volume adjustments'!AM125</f>
        <v>0</v>
      </c>
      <c r="AN189" s="123">
        <f>'Volume adjustments'!AN125</f>
        <v>0</v>
      </c>
      <c r="AO189" s="123">
        <f>'Volume adjustments'!AO125</f>
        <v>0</v>
      </c>
      <c r="AP189" s="123">
        <f>'Volume adjustments'!AP125</f>
        <v>0</v>
      </c>
      <c r="BH189" s="3"/>
    </row>
    <row r="190" spans="2:60" x14ac:dyDescent="0.25">
      <c r="C190" s="32"/>
      <c r="J190" s="123"/>
      <c r="K190" s="123"/>
      <c r="L190" s="123"/>
      <c r="M190" s="123"/>
      <c r="N190" s="123"/>
      <c r="O190" s="123"/>
      <c r="P190" s="123"/>
      <c r="Q190" s="123"/>
      <c r="R190" s="123"/>
      <c r="S190" s="123"/>
      <c r="T190" s="123"/>
      <c r="U190" s="123"/>
      <c r="V190" s="123"/>
      <c r="W190" s="123"/>
      <c r="X190" s="123"/>
      <c r="Y190" s="123"/>
      <c r="Z190" s="123"/>
      <c r="AA190" s="123"/>
      <c r="AB190" s="123"/>
      <c r="AC190" s="123"/>
      <c r="AD190" s="123"/>
      <c r="AE190" s="123"/>
      <c r="AF190" s="123"/>
      <c r="AG190" s="123"/>
      <c r="AH190" s="123"/>
      <c r="AI190" s="123"/>
      <c r="AJ190" s="123"/>
      <c r="AK190" s="123"/>
      <c r="AL190" s="123"/>
      <c r="AM190" s="123"/>
      <c r="AN190" s="123"/>
      <c r="AO190" s="123"/>
      <c r="AP190" s="123"/>
      <c r="BH190" s="3"/>
    </row>
    <row r="191" spans="2:60" x14ac:dyDescent="0.25">
      <c r="C191" s="32"/>
      <c r="E191" t="s">
        <v>639</v>
      </c>
      <c r="G191" t="s">
        <v>301</v>
      </c>
      <c r="J191" s="92">
        <f>SUM(J188:J189)</f>
        <v>0</v>
      </c>
      <c r="K191" s="92">
        <f t="shared" ref="K191:AP191" si="48">SUM(K188:K189)</f>
        <v>0</v>
      </c>
      <c r="L191" s="92">
        <f t="shared" si="48"/>
        <v>0</v>
      </c>
      <c r="M191" s="92">
        <f t="shared" si="48"/>
        <v>0</v>
      </c>
      <c r="N191" s="92">
        <f t="shared" si="48"/>
        <v>0</v>
      </c>
      <c r="O191" s="92">
        <f t="shared" si="48"/>
        <v>0</v>
      </c>
      <c r="P191" s="92">
        <f t="shared" si="48"/>
        <v>0</v>
      </c>
      <c r="Q191" s="92">
        <f t="shared" si="48"/>
        <v>0</v>
      </c>
      <c r="R191" s="92">
        <f t="shared" si="48"/>
        <v>0</v>
      </c>
      <c r="S191" s="92">
        <f t="shared" si="48"/>
        <v>0</v>
      </c>
      <c r="T191" s="92">
        <f t="shared" si="48"/>
        <v>0</v>
      </c>
      <c r="U191" s="92">
        <f t="shared" si="48"/>
        <v>885067.99596698815</v>
      </c>
      <c r="V191" s="92">
        <f t="shared" si="48"/>
        <v>33104.932099903715</v>
      </c>
      <c r="W191" s="92">
        <f t="shared" si="48"/>
        <v>428544.73710774159</v>
      </c>
      <c r="X191" s="92">
        <f t="shared" si="48"/>
        <v>0</v>
      </c>
      <c r="Y191" s="92">
        <f t="shared" si="48"/>
        <v>0</v>
      </c>
      <c r="Z191" s="92">
        <f t="shared" si="48"/>
        <v>0</v>
      </c>
      <c r="AA191" s="92">
        <f t="shared" si="48"/>
        <v>0</v>
      </c>
      <c r="AB191" s="92">
        <f t="shared" si="48"/>
        <v>0</v>
      </c>
      <c r="AC191" s="92">
        <f t="shared" si="48"/>
        <v>0</v>
      </c>
      <c r="AD191" s="92">
        <f t="shared" si="48"/>
        <v>0</v>
      </c>
      <c r="AE191" s="92">
        <f t="shared" si="48"/>
        <v>0</v>
      </c>
      <c r="AF191" s="92">
        <f t="shared" si="48"/>
        <v>0</v>
      </c>
      <c r="AG191" s="92">
        <f t="shared" si="48"/>
        <v>0</v>
      </c>
      <c r="AH191" s="92">
        <f t="shared" si="48"/>
        <v>0</v>
      </c>
      <c r="AI191" s="92">
        <f t="shared" si="48"/>
        <v>0</v>
      </c>
      <c r="AJ191" s="92">
        <f t="shared" si="48"/>
        <v>0</v>
      </c>
      <c r="AK191" s="92">
        <f t="shared" si="48"/>
        <v>0</v>
      </c>
      <c r="AL191" s="92">
        <f t="shared" si="48"/>
        <v>0</v>
      </c>
      <c r="AM191" s="92">
        <f t="shared" si="48"/>
        <v>0</v>
      </c>
      <c r="AN191" s="92">
        <f t="shared" si="48"/>
        <v>0</v>
      </c>
      <c r="AO191" s="92">
        <f t="shared" si="48"/>
        <v>0</v>
      </c>
      <c r="AP191" s="92">
        <f t="shared" si="48"/>
        <v>0</v>
      </c>
      <c r="BH191" s="3"/>
    </row>
    <row r="192" spans="2:60" x14ac:dyDescent="0.25">
      <c r="C192" s="32"/>
      <c r="E192" t="s">
        <v>640</v>
      </c>
      <c r="G192" t="s">
        <v>208</v>
      </c>
      <c r="J192" s="92">
        <f t="shared" ref="J192:AP192" si="49">J191 * PowerFactor / thousand</f>
        <v>0</v>
      </c>
      <c r="K192" s="92">
        <f t="shared" si="49"/>
        <v>0</v>
      </c>
      <c r="L192" s="92">
        <f t="shared" si="49"/>
        <v>0</v>
      </c>
      <c r="M192" s="92">
        <f t="shared" si="49"/>
        <v>0</v>
      </c>
      <c r="N192" s="92">
        <f t="shared" si="49"/>
        <v>0</v>
      </c>
      <c r="O192" s="92">
        <f t="shared" si="49"/>
        <v>0</v>
      </c>
      <c r="P192" s="92">
        <f t="shared" si="49"/>
        <v>0</v>
      </c>
      <c r="Q192" s="92">
        <f t="shared" si="49"/>
        <v>0</v>
      </c>
      <c r="R192" s="92">
        <f t="shared" si="49"/>
        <v>0</v>
      </c>
      <c r="S192" s="92">
        <f t="shared" si="49"/>
        <v>0</v>
      </c>
      <c r="T192" s="92">
        <f t="shared" si="49"/>
        <v>0</v>
      </c>
      <c r="U192" s="92">
        <f t="shared" si="49"/>
        <v>840.81459616863867</v>
      </c>
      <c r="V192" s="92">
        <f t="shared" si="49"/>
        <v>31.449685494908529</v>
      </c>
      <c r="W192" s="92">
        <f t="shared" si="49"/>
        <v>407.11750025235449</v>
      </c>
      <c r="X192" s="92">
        <f t="shared" si="49"/>
        <v>0</v>
      </c>
      <c r="Y192" s="92">
        <f t="shared" si="49"/>
        <v>0</v>
      </c>
      <c r="Z192" s="92">
        <f t="shared" si="49"/>
        <v>0</v>
      </c>
      <c r="AA192" s="92">
        <f t="shared" si="49"/>
        <v>0</v>
      </c>
      <c r="AB192" s="92">
        <f t="shared" si="49"/>
        <v>0</v>
      </c>
      <c r="AC192" s="92">
        <f t="shared" si="49"/>
        <v>0</v>
      </c>
      <c r="AD192" s="92">
        <f t="shared" si="49"/>
        <v>0</v>
      </c>
      <c r="AE192" s="92">
        <f t="shared" si="49"/>
        <v>0</v>
      </c>
      <c r="AF192" s="92">
        <f t="shared" si="49"/>
        <v>0</v>
      </c>
      <c r="AG192" s="92">
        <f t="shared" si="49"/>
        <v>0</v>
      </c>
      <c r="AH192" s="92">
        <f t="shared" si="49"/>
        <v>0</v>
      </c>
      <c r="AI192" s="92">
        <f t="shared" si="49"/>
        <v>0</v>
      </c>
      <c r="AJ192" s="92">
        <f t="shared" si="49"/>
        <v>0</v>
      </c>
      <c r="AK192" s="92">
        <f t="shared" si="49"/>
        <v>0</v>
      </c>
      <c r="AL192" s="92">
        <f t="shared" si="49"/>
        <v>0</v>
      </c>
      <c r="AM192" s="92">
        <f t="shared" si="49"/>
        <v>0</v>
      </c>
      <c r="AN192" s="92">
        <f t="shared" si="49"/>
        <v>0</v>
      </c>
      <c r="AO192" s="92">
        <f t="shared" si="49"/>
        <v>0</v>
      </c>
      <c r="AP192" s="92">
        <f t="shared" si="49"/>
        <v>0</v>
      </c>
      <c r="BH192" s="3"/>
    </row>
    <row r="193" spans="3:60" x14ac:dyDescent="0.25">
      <c r="C193" s="32"/>
      <c r="J193" s="63"/>
      <c r="K193" s="63"/>
      <c r="L193" s="63"/>
      <c r="M193" s="63"/>
      <c r="N193" s="63"/>
      <c r="O193" s="63"/>
      <c r="P193" s="63"/>
      <c r="Q193" s="63"/>
      <c r="R193" s="63"/>
      <c r="S193" s="63"/>
      <c r="BH193" s="3"/>
    </row>
    <row r="194" spans="3:60" x14ac:dyDescent="0.25">
      <c r="C194" s="31" t="str">
        <f ca="1">INDEX('Version control'!$H$34:$H$56,MATCH($A$1,'Version control'!$F$34:$F$56,0),1)&amp;"-F: Calculation of LV circuit diversity factor"</f>
        <v>Section 106-F: Calculation of LV circuit diversity factor</v>
      </c>
      <c r="D194" s="31"/>
      <c r="E194" s="31"/>
      <c r="F194" s="31"/>
      <c r="G194" s="31"/>
      <c r="H194" s="31"/>
      <c r="I194" s="31"/>
      <c r="J194" s="31"/>
      <c r="K194" s="31"/>
      <c r="L194" s="31"/>
      <c r="M194" s="31"/>
      <c r="N194" s="31"/>
      <c r="O194" s="31"/>
      <c r="P194" s="31"/>
      <c r="Q194" s="31"/>
      <c r="R194" s="31"/>
      <c r="S194" s="31"/>
      <c r="T194" s="31"/>
      <c r="U194" s="31"/>
      <c r="V194" s="31"/>
      <c r="W194" s="31"/>
      <c r="X194" s="31"/>
      <c r="Y194" s="31"/>
      <c r="Z194" s="31"/>
      <c r="AA194" s="31"/>
      <c r="AB194" s="31"/>
      <c r="AC194" s="31"/>
      <c r="AD194" s="31"/>
      <c r="AE194" s="31"/>
      <c r="AF194" s="31"/>
      <c r="AG194" s="31"/>
      <c r="AH194" s="31"/>
      <c r="AI194" s="31"/>
      <c r="AJ194" s="31"/>
      <c r="AK194" s="31"/>
      <c r="AL194" s="31"/>
      <c r="AM194" s="31"/>
      <c r="AN194" s="31"/>
      <c r="AO194" s="31"/>
      <c r="AP194" s="31"/>
      <c r="AQ194" s="31"/>
      <c r="AR194" s="31"/>
      <c r="BH194" s="3"/>
    </row>
    <row r="195" spans="3:60" x14ac:dyDescent="0.25">
      <c r="C195" s="32"/>
      <c r="J195" s="63"/>
      <c r="K195" s="63"/>
      <c r="L195" s="63"/>
      <c r="M195" s="63"/>
      <c r="N195" s="63"/>
      <c r="O195" s="63"/>
      <c r="P195" s="63"/>
      <c r="Q195" s="63"/>
      <c r="R195" s="63"/>
      <c r="S195" s="63"/>
      <c r="T195" s="63"/>
      <c r="U195" s="63"/>
      <c r="V195" s="63"/>
      <c r="W195" s="63"/>
      <c r="X195" s="63"/>
      <c r="Y195" s="63"/>
      <c r="Z195" s="63"/>
      <c r="AA195" s="63"/>
      <c r="AB195" s="63"/>
      <c r="AC195" s="63"/>
      <c r="AD195" s="63"/>
      <c r="AE195" s="63"/>
      <c r="AF195" s="63"/>
      <c r="AG195" s="63"/>
      <c r="AH195" s="63"/>
      <c r="AI195" s="63"/>
      <c r="AJ195" s="63"/>
      <c r="AK195" s="63"/>
      <c r="AL195" s="63"/>
      <c r="AM195" s="63"/>
      <c r="AN195" s="63"/>
      <c r="AO195" s="63"/>
      <c r="AP195" s="63"/>
      <c r="BH195" s="3"/>
    </row>
    <row r="196" spans="3:60" x14ac:dyDescent="0.25">
      <c r="C196" s="32"/>
      <c r="D196" s="29" t="s">
        <v>641</v>
      </c>
      <c r="J196" s="63"/>
      <c r="K196" s="63"/>
      <c r="L196" s="63"/>
      <c r="M196" s="63"/>
      <c r="N196" s="63"/>
      <c r="O196" s="63"/>
      <c r="P196" s="63"/>
      <c r="Q196" s="63"/>
      <c r="R196" s="63"/>
      <c r="S196" s="63"/>
      <c r="T196" s="63"/>
      <c r="U196" s="63"/>
      <c r="V196" s="63"/>
      <c r="W196" s="63"/>
      <c r="X196" s="63"/>
      <c r="Y196" s="63"/>
      <c r="Z196" s="63"/>
      <c r="AA196" s="63"/>
      <c r="AB196" s="63"/>
      <c r="AC196" s="63"/>
      <c r="AD196" s="63"/>
      <c r="AE196" s="63"/>
      <c r="AF196" s="63"/>
      <c r="AG196" s="63"/>
      <c r="AH196" s="63"/>
      <c r="AI196" s="63"/>
      <c r="AJ196" s="63"/>
      <c r="AK196" s="63"/>
      <c r="AL196" s="63"/>
      <c r="AM196" s="63"/>
      <c r="AN196" s="63"/>
      <c r="AO196" s="63"/>
      <c r="AP196" s="63"/>
      <c r="BH196" s="3"/>
    </row>
    <row r="197" spans="3:60" x14ac:dyDescent="0.25">
      <c r="D197" s="32"/>
      <c r="J197" s="63"/>
      <c r="K197" s="63"/>
      <c r="L197" s="63"/>
      <c r="M197" s="63"/>
      <c r="N197" s="63"/>
      <c r="O197" s="63"/>
      <c r="P197" s="63"/>
      <c r="Q197" s="63"/>
      <c r="R197" s="63"/>
      <c r="S197" s="63"/>
      <c r="T197" s="63"/>
      <c r="U197" s="63"/>
      <c r="V197" s="63"/>
      <c r="W197" s="63"/>
      <c r="X197" s="63"/>
      <c r="Y197" s="63"/>
      <c r="Z197" s="63"/>
      <c r="AA197" s="63"/>
      <c r="AB197" s="63"/>
      <c r="AC197" s="63"/>
      <c r="AD197" s="63"/>
      <c r="AE197" s="63"/>
      <c r="AF197" s="63"/>
      <c r="AG197" s="63"/>
      <c r="AH197" s="63"/>
      <c r="AI197" s="63"/>
      <c r="AJ197" s="63"/>
      <c r="AK197" s="63"/>
      <c r="AL197" s="63"/>
      <c r="AM197" s="63"/>
      <c r="AN197" s="63"/>
      <c r="AO197" s="63"/>
      <c r="AP197" s="63"/>
      <c r="BH197" s="3"/>
    </row>
    <row r="198" spans="3:60" x14ac:dyDescent="0.25">
      <c r="E198" t="s">
        <v>260</v>
      </c>
      <c r="G198" t="s">
        <v>245</v>
      </c>
      <c r="H198" s="181"/>
      <c r="I198" t="s">
        <v>190</v>
      </c>
      <c r="J198" s="186" t="b">
        <f>'Fixed inputs'!J136</f>
        <v>1</v>
      </c>
      <c r="K198" s="186" t="b">
        <f>'Fixed inputs'!K136</f>
        <v>1</v>
      </c>
      <c r="L198" s="186" t="b">
        <f>'Fixed inputs'!L136</f>
        <v>0</v>
      </c>
      <c r="M198" s="186" t="b">
        <f>'Fixed inputs'!M136</f>
        <v>1</v>
      </c>
      <c r="N198" s="186" t="b">
        <f>'Fixed inputs'!N136</f>
        <v>1</v>
      </c>
      <c r="O198" s="186" t="b">
        <f>'Fixed inputs'!O136</f>
        <v>0</v>
      </c>
      <c r="P198" s="186" t="b">
        <f>'Fixed inputs'!P136</f>
        <v>1</v>
      </c>
      <c r="Q198" s="186" t="b">
        <f>'Fixed inputs'!Q136</f>
        <v>1</v>
      </c>
      <c r="R198" s="186" t="b">
        <f>'Fixed inputs'!R136</f>
        <v>1</v>
      </c>
      <c r="S198" s="186" t="b">
        <f>'Fixed inputs'!S136</f>
        <v>1</v>
      </c>
      <c r="T198" s="186" t="b">
        <f>'Fixed inputs'!T136</f>
        <v>1</v>
      </c>
      <c r="U198" s="186" t="b">
        <f>'Fixed inputs'!U136</f>
        <v>1</v>
      </c>
      <c r="V198" s="186" t="b">
        <f>'Fixed inputs'!V136</f>
        <v>1</v>
      </c>
      <c r="W198" s="186" t="b">
        <f>'Fixed inputs'!W136</f>
        <v>1</v>
      </c>
      <c r="X198" s="186" t="b">
        <f>'Fixed inputs'!X136</f>
        <v>1</v>
      </c>
      <c r="Y198" s="186" t="b">
        <f>'Fixed inputs'!Y136</f>
        <v>1</v>
      </c>
      <c r="Z198" s="186" t="b">
        <f>'Fixed inputs'!Z136</f>
        <v>1</v>
      </c>
      <c r="AA198" s="186" t="b">
        <f>'Fixed inputs'!AA136</f>
        <v>1</v>
      </c>
      <c r="AB198" s="186" t="b">
        <f>'Fixed inputs'!AB136</f>
        <v>1</v>
      </c>
      <c r="AC198" s="186" t="b">
        <f>'Fixed inputs'!AC136</f>
        <v>1</v>
      </c>
      <c r="AD198" s="186" t="b">
        <f>'Fixed inputs'!AD136</f>
        <v>1</v>
      </c>
      <c r="AE198" s="186" t="b">
        <f>'Fixed inputs'!AE136</f>
        <v>1</v>
      </c>
      <c r="AF198" s="186" t="b">
        <f>'Fixed inputs'!AF136</f>
        <v>1</v>
      </c>
      <c r="AG198" s="186" t="b">
        <f>'Fixed inputs'!AG136</f>
        <v>1</v>
      </c>
      <c r="AH198" s="186" t="b">
        <f>'Fixed inputs'!AH136</f>
        <v>1</v>
      </c>
      <c r="AI198" s="186" t="b">
        <f>'Fixed inputs'!AI136</f>
        <v>1</v>
      </c>
      <c r="AJ198" s="186" t="b">
        <f>'Fixed inputs'!AJ136</f>
        <v>1</v>
      </c>
      <c r="AK198" s="186" t="b">
        <f>'Fixed inputs'!AK136</f>
        <v>1</v>
      </c>
      <c r="AL198" s="186" t="b">
        <f>'Fixed inputs'!AL136</f>
        <v>1</v>
      </c>
      <c r="AM198" s="186" t="b">
        <f>'Fixed inputs'!AM136</f>
        <v>1</v>
      </c>
      <c r="AN198" s="186" t="b">
        <f>'Fixed inputs'!AN136</f>
        <v>1</v>
      </c>
      <c r="AO198" s="186" t="b">
        <f>'Fixed inputs'!AO136</f>
        <v>1</v>
      </c>
      <c r="AP198" s="186" t="b">
        <f>'Fixed inputs'!AP136</f>
        <v>1</v>
      </c>
      <c r="AR198" t="s">
        <v>642</v>
      </c>
    </row>
    <row r="199" spans="3:60" x14ac:dyDescent="0.25">
      <c r="D199" s="32"/>
      <c r="H199" s="187"/>
      <c r="J199" s="63"/>
      <c r="K199" s="63"/>
      <c r="L199" s="63"/>
      <c r="M199" s="63"/>
      <c r="N199" s="63"/>
      <c r="O199" s="63"/>
      <c r="P199" s="63"/>
      <c r="Q199" s="63"/>
      <c r="R199" s="63"/>
      <c r="S199" s="63"/>
      <c r="BH199" s="3"/>
    </row>
    <row r="200" spans="3:60" x14ac:dyDescent="0.25">
      <c r="C200" s="32"/>
      <c r="E200" t="s">
        <v>643</v>
      </c>
      <c r="G200" t="s">
        <v>208</v>
      </c>
      <c r="H200" s="63"/>
      <c r="I200" t="s">
        <v>190</v>
      </c>
      <c r="J200" s="124">
        <f t="shared" ref="J200:AB200" si="50">J59 / (hours_in_year * J61)</f>
        <v>648.79162720860757</v>
      </c>
      <c r="K200" s="124">
        <f t="shared" si="50"/>
        <v>151.15829586774899</v>
      </c>
      <c r="L200" s="124">
        <f t="shared" si="50"/>
        <v>253.1453441613065</v>
      </c>
      <c r="M200" s="124">
        <f t="shared" si="50"/>
        <v>258.4684167330704</v>
      </c>
      <c r="N200" s="124">
        <f t="shared" si="50"/>
        <v>60.831420962722191</v>
      </c>
      <c r="O200" s="124">
        <f t="shared" si="50"/>
        <v>14.407461745004731</v>
      </c>
      <c r="P200" s="124">
        <f t="shared" si="50"/>
        <v>10.360140495610143</v>
      </c>
      <c r="Q200" s="124">
        <f t="shared" si="50"/>
        <v>0</v>
      </c>
      <c r="R200" s="124">
        <f t="shared" si="50"/>
        <v>0.19961919303429873</v>
      </c>
      <c r="S200" s="124">
        <f t="shared" si="50"/>
        <v>0.13903260336676321</v>
      </c>
      <c r="T200" s="124">
        <f t="shared" si="50"/>
        <v>21.123529180657041</v>
      </c>
      <c r="U200" s="124">
        <f t="shared" si="50"/>
        <v>317.59316182807214</v>
      </c>
      <c r="V200" s="124">
        <f t="shared" si="50"/>
        <v>21.223011889144445</v>
      </c>
      <c r="W200" s="124">
        <f t="shared" si="50"/>
        <v>152.14335863752032</v>
      </c>
      <c r="X200" s="124">
        <f t="shared" si="50"/>
        <v>1.6146846664002523</v>
      </c>
      <c r="Y200" s="124">
        <f t="shared" si="50"/>
        <v>4.186046786041751</v>
      </c>
      <c r="Z200" s="124">
        <f t="shared" si="50"/>
        <v>1.5538428838320368</v>
      </c>
      <c r="AA200" s="124">
        <f t="shared" si="50"/>
        <v>9.5676675343516829E-3</v>
      </c>
      <c r="AB200" s="124">
        <f t="shared" si="50"/>
        <v>20.65356256179945</v>
      </c>
      <c r="AC200" s="77"/>
      <c r="AD200" s="77"/>
      <c r="AE200" s="77"/>
      <c r="AF200" s="77"/>
      <c r="AG200" s="77"/>
      <c r="AH200" s="77"/>
      <c r="AI200" s="77"/>
      <c r="AJ200" s="77"/>
      <c r="AK200" s="77"/>
      <c r="AL200" s="77"/>
      <c r="AM200" s="77"/>
      <c r="AN200" s="77"/>
      <c r="AO200" s="77"/>
      <c r="AP200" s="77"/>
      <c r="AR200" t="s">
        <v>642</v>
      </c>
      <c r="BH200" s="3"/>
    </row>
    <row r="201" spans="3:60" x14ac:dyDescent="0.25">
      <c r="C201" s="32"/>
      <c r="H201" s="63"/>
      <c r="J201" s="92"/>
      <c r="K201" s="92"/>
      <c r="L201" s="92"/>
      <c r="M201" s="92"/>
      <c r="N201" s="92"/>
      <c r="O201" s="92"/>
      <c r="P201" s="92"/>
      <c r="Q201" s="92"/>
      <c r="R201" s="92"/>
      <c r="S201" s="92"/>
      <c r="T201" s="92"/>
      <c r="U201" s="92"/>
      <c r="V201" s="92"/>
      <c r="W201" s="92"/>
      <c r="X201" s="92"/>
      <c r="Y201" s="92"/>
      <c r="Z201" s="92"/>
      <c r="AA201" s="92"/>
      <c r="AB201" s="92"/>
      <c r="AC201" s="63"/>
      <c r="AD201" s="63"/>
      <c r="AE201" s="63"/>
      <c r="AF201" s="63"/>
      <c r="AG201" s="63"/>
      <c r="AH201" s="63"/>
      <c r="AI201" s="63"/>
      <c r="AJ201" s="63"/>
      <c r="AK201" s="63"/>
      <c r="AL201" s="63"/>
      <c r="AM201" s="63"/>
      <c r="AN201" s="63"/>
      <c r="AO201" s="63"/>
      <c r="AP201" s="63"/>
      <c r="BH201" s="3"/>
    </row>
    <row r="202" spans="3:60" x14ac:dyDescent="0.25">
      <c r="E202" t="s">
        <v>644</v>
      </c>
      <c r="G202" t="s">
        <v>208</v>
      </c>
      <c r="H202" s="63"/>
      <c r="I202" t="s">
        <v>190</v>
      </c>
      <c r="J202" s="92">
        <f t="shared" ref="J202:AP202" si="51">J192 * J42 / $H53</f>
        <v>0</v>
      </c>
      <c r="K202" s="92">
        <f t="shared" si="51"/>
        <v>0</v>
      </c>
      <c r="L202" s="92">
        <f t="shared" si="51"/>
        <v>0</v>
      </c>
      <c r="M202" s="92">
        <f t="shared" si="51"/>
        <v>0</v>
      </c>
      <c r="N202" s="92">
        <f t="shared" si="51"/>
        <v>0</v>
      </c>
      <c r="O202" s="92">
        <f t="shared" si="51"/>
        <v>0</v>
      </c>
      <c r="P202" s="92">
        <f t="shared" si="51"/>
        <v>0</v>
      </c>
      <c r="Q202" s="92">
        <f t="shared" si="51"/>
        <v>0</v>
      </c>
      <c r="R202" s="92">
        <f t="shared" si="51"/>
        <v>0</v>
      </c>
      <c r="S202" s="92">
        <f t="shared" si="51"/>
        <v>0</v>
      </c>
      <c r="T202" s="92">
        <f t="shared" si="51"/>
        <v>0</v>
      </c>
      <c r="U202" s="92">
        <f t="shared" si="51"/>
        <v>840.81459616863867</v>
      </c>
      <c r="V202" s="92">
        <f t="shared" si="51"/>
        <v>0</v>
      </c>
      <c r="W202" s="92">
        <f t="shared" si="51"/>
        <v>0</v>
      </c>
      <c r="X202" s="92">
        <f t="shared" si="51"/>
        <v>0</v>
      </c>
      <c r="Y202" s="92">
        <f t="shared" si="51"/>
        <v>0</v>
      </c>
      <c r="Z202" s="92">
        <f t="shared" si="51"/>
        <v>0</v>
      </c>
      <c r="AA202" s="92">
        <f t="shared" si="51"/>
        <v>0</v>
      </c>
      <c r="AB202" s="92">
        <f t="shared" si="51"/>
        <v>0</v>
      </c>
      <c r="AC202" s="63">
        <f t="shared" si="51"/>
        <v>0</v>
      </c>
      <c r="AD202" s="63">
        <f t="shared" si="51"/>
        <v>0</v>
      </c>
      <c r="AE202" s="63">
        <f t="shared" si="51"/>
        <v>0</v>
      </c>
      <c r="AF202" s="63">
        <f t="shared" si="51"/>
        <v>0</v>
      </c>
      <c r="AG202" s="63">
        <f t="shared" si="51"/>
        <v>0</v>
      </c>
      <c r="AH202" s="63">
        <f t="shared" si="51"/>
        <v>0</v>
      </c>
      <c r="AI202" s="63">
        <f t="shared" si="51"/>
        <v>0</v>
      </c>
      <c r="AJ202" s="63">
        <f t="shared" si="51"/>
        <v>0</v>
      </c>
      <c r="AK202" s="63">
        <f t="shared" si="51"/>
        <v>0</v>
      </c>
      <c r="AL202" s="63">
        <f t="shared" si="51"/>
        <v>0</v>
      </c>
      <c r="AM202" s="63">
        <f t="shared" si="51"/>
        <v>0</v>
      </c>
      <c r="AN202" s="63">
        <f t="shared" si="51"/>
        <v>0</v>
      </c>
      <c r="AO202" s="63">
        <f t="shared" si="51"/>
        <v>0</v>
      </c>
      <c r="AP202" s="63">
        <f t="shared" si="51"/>
        <v>0</v>
      </c>
      <c r="AR202" t="s">
        <v>642</v>
      </c>
    </row>
    <row r="203" spans="3:60" x14ac:dyDescent="0.25">
      <c r="H203" s="63"/>
      <c r="J203" s="92"/>
      <c r="K203" s="92"/>
      <c r="L203" s="92"/>
      <c r="M203" s="92"/>
      <c r="N203" s="92"/>
      <c r="O203" s="92"/>
      <c r="P203" s="92"/>
      <c r="Q203" s="92"/>
      <c r="R203" s="92"/>
      <c r="S203" s="92"/>
      <c r="T203" s="92"/>
      <c r="U203" s="92"/>
      <c r="V203" s="92"/>
      <c r="W203" s="92"/>
      <c r="X203" s="92"/>
      <c r="Y203" s="92"/>
      <c r="Z203" s="92"/>
      <c r="AA203" s="92"/>
      <c r="AB203" s="92"/>
      <c r="AC203" s="63"/>
      <c r="AD203" s="63"/>
      <c r="AE203" s="63"/>
      <c r="AF203" s="63"/>
      <c r="AG203" s="63"/>
      <c r="AH203" s="63"/>
      <c r="AI203" s="63"/>
      <c r="AJ203" s="63"/>
      <c r="AK203" s="63"/>
      <c r="AL203" s="63"/>
      <c r="AM203" s="63"/>
      <c r="AN203" s="63"/>
      <c r="AO203" s="63"/>
      <c r="AP203" s="63"/>
    </row>
    <row r="204" spans="3:60" x14ac:dyDescent="0.25">
      <c r="E204" t="s">
        <v>645</v>
      </c>
      <c r="G204" t="s">
        <v>208</v>
      </c>
      <c r="H204" s="63"/>
      <c r="J204" s="92">
        <f t="shared" ref="J204:AP204" si="52">IF(J198, J$200 * J42 / $H53, 0)</f>
        <v>648.79162720860757</v>
      </c>
      <c r="K204" s="92">
        <f t="shared" si="52"/>
        <v>151.15829586774899</v>
      </c>
      <c r="L204" s="92">
        <f t="shared" si="52"/>
        <v>0</v>
      </c>
      <c r="M204" s="92">
        <f t="shared" si="52"/>
        <v>258.4684167330704</v>
      </c>
      <c r="N204" s="92">
        <f t="shared" si="52"/>
        <v>60.831420962722191</v>
      </c>
      <c r="O204" s="92">
        <f t="shared" si="52"/>
        <v>0</v>
      </c>
      <c r="P204" s="92">
        <f t="shared" si="52"/>
        <v>10.360140495610143</v>
      </c>
      <c r="Q204" s="92">
        <f t="shared" si="52"/>
        <v>0</v>
      </c>
      <c r="R204" s="92">
        <f t="shared" si="52"/>
        <v>0</v>
      </c>
      <c r="S204" s="92">
        <f t="shared" si="52"/>
        <v>0.13903260336676321</v>
      </c>
      <c r="T204" s="92">
        <f t="shared" si="52"/>
        <v>21.123529180657041</v>
      </c>
      <c r="U204" s="92">
        <f t="shared" si="52"/>
        <v>317.59316182807214</v>
      </c>
      <c r="V204" s="92">
        <f t="shared" si="52"/>
        <v>0</v>
      </c>
      <c r="W204" s="92">
        <f t="shared" si="52"/>
        <v>0</v>
      </c>
      <c r="X204" s="92">
        <f t="shared" si="52"/>
        <v>1.6146846664002523</v>
      </c>
      <c r="Y204" s="92">
        <f t="shared" si="52"/>
        <v>4.186046786041751</v>
      </c>
      <c r="Z204" s="92">
        <f t="shared" si="52"/>
        <v>1.5538428838320368</v>
      </c>
      <c r="AA204" s="92">
        <f t="shared" si="52"/>
        <v>9.5676675343516829E-3</v>
      </c>
      <c r="AB204" s="92">
        <f t="shared" si="52"/>
        <v>20.65356256179945</v>
      </c>
      <c r="AC204" s="63">
        <f t="shared" si="52"/>
        <v>0</v>
      </c>
      <c r="AD204" s="63">
        <f t="shared" si="52"/>
        <v>0</v>
      </c>
      <c r="AE204" s="63">
        <f t="shared" si="52"/>
        <v>0</v>
      </c>
      <c r="AF204" s="63">
        <f t="shared" si="52"/>
        <v>0</v>
      </c>
      <c r="AG204" s="63">
        <f t="shared" si="52"/>
        <v>0</v>
      </c>
      <c r="AH204" s="63">
        <f t="shared" si="52"/>
        <v>0</v>
      </c>
      <c r="AI204" s="63">
        <f t="shared" si="52"/>
        <v>0</v>
      </c>
      <c r="AJ204" s="63">
        <f t="shared" si="52"/>
        <v>0</v>
      </c>
      <c r="AK204" s="63">
        <f t="shared" si="52"/>
        <v>0</v>
      </c>
      <c r="AL204" s="63">
        <f t="shared" si="52"/>
        <v>0</v>
      </c>
      <c r="AM204" s="63">
        <f t="shared" si="52"/>
        <v>0</v>
      </c>
      <c r="AN204" s="63">
        <f t="shared" si="52"/>
        <v>0</v>
      </c>
      <c r="AO204" s="63">
        <f t="shared" si="52"/>
        <v>0</v>
      </c>
      <c r="AP204" s="63">
        <f t="shared" si="52"/>
        <v>0</v>
      </c>
    </row>
    <row r="205" spans="3:60" x14ac:dyDescent="0.25">
      <c r="H205" s="63"/>
      <c r="J205" s="92"/>
      <c r="K205" s="92"/>
      <c r="L205" s="92"/>
      <c r="M205" s="92"/>
      <c r="N205" s="92"/>
      <c r="O205" s="92"/>
      <c r="P205" s="92"/>
      <c r="Q205" s="92"/>
      <c r="R205" s="92"/>
      <c r="S205" s="92"/>
      <c r="T205" s="92"/>
      <c r="U205" s="92"/>
      <c r="V205" s="92"/>
      <c r="W205" s="92"/>
      <c r="X205" s="92"/>
      <c r="Y205" s="92"/>
      <c r="Z205" s="92"/>
      <c r="AA205" s="92"/>
      <c r="AB205" s="92"/>
      <c r="AC205" s="63"/>
      <c r="AD205" s="63"/>
      <c r="AE205" s="63"/>
      <c r="AF205" s="63"/>
      <c r="AG205" s="63"/>
      <c r="AH205" s="63"/>
      <c r="AI205" s="63"/>
      <c r="AJ205" s="63"/>
      <c r="AK205" s="63"/>
      <c r="AL205" s="63"/>
      <c r="AM205" s="63"/>
      <c r="AN205" s="63"/>
      <c r="AO205" s="63"/>
      <c r="AP205" s="63"/>
    </row>
    <row r="206" spans="3:60" x14ac:dyDescent="0.25">
      <c r="E206" t="s">
        <v>646</v>
      </c>
      <c r="G206" t="s">
        <v>208</v>
      </c>
      <c r="H206" s="63"/>
      <c r="J206" s="92">
        <f t="shared" ref="J206:AP206" si="53">IF(J202 = 0, J204, J202)</f>
        <v>648.79162720860757</v>
      </c>
      <c r="K206" s="92">
        <f t="shared" si="53"/>
        <v>151.15829586774899</v>
      </c>
      <c r="L206" s="92">
        <f t="shared" si="53"/>
        <v>0</v>
      </c>
      <c r="M206" s="92">
        <f t="shared" si="53"/>
        <v>258.4684167330704</v>
      </c>
      <c r="N206" s="92">
        <f t="shared" si="53"/>
        <v>60.831420962722191</v>
      </c>
      <c r="O206" s="92">
        <f t="shared" si="53"/>
        <v>0</v>
      </c>
      <c r="P206" s="92">
        <f t="shared" si="53"/>
        <v>10.360140495610143</v>
      </c>
      <c r="Q206" s="92">
        <f t="shared" si="53"/>
        <v>0</v>
      </c>
      <c r="R206" s="92">
        <f t="shared" si="53"/>
        <v>0</v>
      </c>
      <c r="S206" s="92">
        <f t="shared" si="53"/>
        <v>0.13903260336676321</v>
      </c>
      <c r="T206" s="92">
        <f t="shared" si="53"/>
        <v>21.123529180657041</v>
      </c>
      <c r="U206" s="92">
        <f t="shared" si="53"/>
        <v>840.81459616863867</v>
      </c>
      <c r="V206" s="92">
        <f t="shared" si="53"/>
        <v>0</v>
      </c>
      <c r="W206" s="92">
        <f t="shared" si="53"/>
        <v>0</v>
      </c>
      <c r="X206" s="92">
        <f t="shared" si="53"/>
        <v>1.6146846664002523</v>
      </c>
      <c r="Y206" s="92">
        <f t="shared" si="53"/>
        <v>4.186046786041751</v>
      </c>
      <c r="Z206" s="92">
        <f t="shared" si="53"/>
        <v>1.5538428838320368</v>
      </c>
      <c r="AA206" s="92">
        <f t="shared" si="53"/>
        <v>9.5676675343516829E-3</v>
      </c>
      <c r="AB206" s="92">
        <f t="shared" si="53"/>
        <v>20.65356256179945</v>
      </c>
      <c r="AC206" s="63">
        <f t="shared" si="53"/>
        <v>0</v>
      </c>
      <c r="AD206" s="63">
        <f t="shared" si="53"/>
        <v>0</v>
      </c>
      <c r="AE206" s="63">
        <f t="shared" si="53"/>
        <v>0</v>
      </c>
      <c r="AF206" s="63">
        <f t="shared" si="53"/>
        <v>0</v>
      </c>
      <c r="AG206" s="63">
        <f t="shared" si="53"/>
        <v>0</v>
      </c>
      <c r="AH206" s="63">
        <f t="shared" si="53"/>
        <v>0</v>
      </c>
      <c r="AI206" s="63">
        <f t="shared" si="53"/>
        <v>0</v>
      </c>
      <c r="AJ206" s="63">
        <f t="shared" si="53"/>
        <v>0</v>
      </c>
      <c r="AK206" s="63">
        <f t="shared" si="53"/>
        <v>0</v>
      </c>
      <c r="AL206" s="63">
        <f t="shared" si="53"/>
        <v>0</v>
      </c>
      <c r="AM206" s="63">
        <f t="shared" si="53"/>
        <v>0</v>
      </c>
      <c r="AN206" s="63">
        <f t="shared" si="53"/>
        <v>0</v>
      </c>
      <c r="AO206" s="63">
        <f t="shared" si="53"/>
        <v>0</v>
      </c>
      <c r="AP206" s="63">
        <f t="shared" si="53"/>
        <v>0</v>
      </c>
    </row>
    <row r="207" spans="3:60" x14ac:dyDescent="0.25">
      <c r="H207" s="63"/>
      <c r="J207" s="92"/>
      <c r="K207" s="92"/>
      <c r="L207" s="92"/>
      <c r="M207" s="92"/>
      <c r="N207" s="92"/>
      <c r="O207" s="92"/>
      <c r="P207" s="92"/>
      <c r="Q207" s="92"/>
      <c r="R207" s="92"/>
      <c r="S207" s="92"/>
      <c r="T207" s="92"/>
      <c r="U207" s="92"/>
      <c r="V207" s="92"/>
      <c r="W207" s="92"/>
      <c r="X207" s="92"/>
      <c r="Y207" s="92"/>
      <c r="Z207" s="92"/>
      <c r="AA207" s="92"/>
      <c r="AB207" s="92"/>
      <c r="AC207" s="63"/>
      <c r="AD207" s="63"/>
      <c r="AE207" s="63"/>
      <c r="AF207" s="63"/>
      <c r="AG207" s="63"/>
      <c r="AH207" s="63"/>
      <c r="AI207" s="63"/>
      <c r="AJ207" s="63"/>
      <c r="AK207" s="63"/>
      <c r="AL207" s="63"/>
      <c r="AM207" s="63"/>
      <c r="AN207" s="63"/>
      <c r="AO207" s="63"/>
      <c r="AP207" s="63"/>
    </row>
    <row r="208" spans="3:60" x14ac:dyDescent="0.25">
      <c r="E208" t="s">
        <v>647</v>
      </c>
      <c r="G208" t="s">
        <v>208</v>
      </c>
      <c r="H208" s="63"/>
      <c r="I208" t="s">
        <v>190</v>
      </c>
      <c r="J208" s="92">
        <f t="shared" ref="J208:AP208" si="54">J150</f>
        <v>455.77270378720698</v>
      </c>
      <c r="K208" s="92">
        <f t="shared" si="54"/>
        <v>70.010664876096598</v>
      </c>
      <c r="L208" s="92">
        <f t="shared" si="54"/>
        <v>32.672431627141684</v>
      </c>
      <c r="M208" s="92">
        <f t="shared" si="54"/>
        <v>166.55020971414638</v>
      </c>
      <c r="N208" s="92">
        <f t="shared" si="54"/>
        <v>38.388411440580242</v>
      </c>
      <c r="O208" s="92">
        <f t="shared" si="54"/>
        <v>1.9732457874906555</v>
      </c>
      <c r="P208" s="92">
        <f t="shared" si="54"/>
        <v>6.2360413060128943</v>
      </c>
      <c r="Q208" s="92">
        <f t="shared" si="54"/>
        <v>0</v>
      </c>
      <c r="R208" s="92">
        <f t="shared" si="54"/>
        <v>0</v>
      </c>
      <c r="S208" s="92">
        <f t="shared" si="54"/>
        <v>7.1300939595603921E-2</v>
      </c>
      <c r="T208" s="92">
        <f t="shared" si="54"/>
        <v>14.24603919747612</v>
      </c>
      <c r="U208" s="92">
        <f t="shared" si="54"/>
        <v>241.86805056521766</v>
      </c>
      <c r="V208" s="92">
        <f t="shared" si="54"/>
        <v>0</v>
      </c>
      <c r="W208" s="92">
        <f t="shared" si="54"/>
        <v>0</v>
      </c>
      <c r="X208" s="92">
        <f t="shared" si="54"/>
        <v>1.555316800106449</v>
      </c>
      <c r="Y208" s="92">
        <f t="shared" si="54"/>
        <v>1.9926412981247794</v>
      </c>
      <c r="Z208" s="92">
        <f t="shared" si="54"/>
        <v>0.63588987040100597</v>
      </c>
      <c r="AA208" s="92">
        <f t="shared" si="54"/>
        <v>4.919919996198477E-3</v>
      </c>
      <c r="AB208" s="92">
        <f t="shared" si="54"/>
        <v>10.131440013636055</v>
      </c>
      <c r="AC208" s="63">
        <f t="shared" si="54"/>
        <v>0</v>
      </c>
      <c r="AD208" s="63">
        <f t="shared" si="54"/>
        <v>0</v>
      </c>
      <c r="AE208" s="63">
        <f t="shared" si="54"/>
        <v>0</v>
      </c>
      <c r="AF208" s="63">
        <f t="shared" si="54"/>
        <v>0</v>
      </c>
      <c r="AG208" s="63">
        <f t="shared" si="54"/>
        <v>0</v>
      </c>
      <c r="AH208" s="63">
        <f t="shared" si="54"/>
        <v>0</v>
      </c>
      <c r="AI208" s="63">
        <f t="shared" si="54"/>
        <v>0</v>
      </c>
      <c r="AJ208" s="63">
        <f t="shared" si="54"/>
        <v>0</v>
      </c>
      <c r="AK208" s="63">
        <f t="shared" si="54"/>
        <v>0</v>
      </c>
      <c r="AL208" s="63">
        <f t="shared" si="54"/>
        <v>0</v>
      </c>
      <c r="AM208" s="63">
        <f t="shared" si="54"/>
        <v>0</v>
      </c>
      <c r="AN208" s="63">
        <f t="shared" si="54"/>
        <v>0</v>
      </c>
      <c r="AO208" s="63">
        <f t="shared" si="54"/>
        <v>0</v>
      </c>
      <c r="AP208" s="63">
        <f t="shared" si="54"/>
        <v>0</v>
      </c>
      <c r="AR208" t="s">
        <v>642</v>
      </c>
    </row>
    <row r="209" spans="5:60" x14ac:dyDescent="0.25">
      <c r="H209" s="63"/>
      <c r="J209" s="63"/>
      <c r="K209" s="63"/>
      <c r="L209" s="63"/>
      <c r="M209" s="63"/>
      <c r="N209" s="63"/>
      <c r="O209" s="63"/>
      <c r="P209" s="63"/>
      <c r="Q209" s="63"/>
      <c r="R209" s="63"/>
      <c r="S209" s="63"/>
      <c r="T209" s="63"/>
      <c r="U209" s="63"/>
      <c r="V209" s="63"/>
      <c r="W209" s="63"/>
      <c r="X209" s="63"/>
      <c r="Y209" s="63"/>
      <c r="Z209" s="63"/>
      <c r="AA209" s="63"/>
      <c r="AB209" s="63"/>
      <c r="AC209" s="63"/>
      <c r="AD209" s="63"/>
      <c r="AE209" s="63"/>
      <c r="AF209" s="63"/>
      <c r="AG209" s="63"/>
      <c r="AH209" s="63"/>
      <c r="AI209" s="63"/>
      <c r="AJ209" s="63"/>
      <c r="AK209" s="63"/>
      <c r="AL209" s="63"/>
      <c r="AM209" s="63"/>
      <c r="AN209" s="63"/>
      <c r="AO209" s="63"/>
      <c r="AP209" s="63"/>
    </row>
    <row r="210" spans="5:60" x14ac:dyDescent="0.25">
      <c r="E210" t="s">
        <v>648</v>
      </c>
      <c r="G210" t="s">
        <v>203</v>
      </c>
      <c r="H210" s="188">
        <f>SUM(J206:AP206) / SUM(J208:AP208) - 1</f>
        <v>0.93809300995757972</v>
      </c>
      <c r="J210" s="63"/>
      <c r="K210" s="63"/>
      <c r="L210" s="63"/>
      <c r="M210" s="63"/>
      <c r="N210" s="63"/>
      <c r="O210" s="63"/>
      <c r="P210" s="63"/>
      <c r="Q210" s="63"/>
      <c r="R210" s="63"/>
      <c r="S210" s="63"/>
      <c r="T210" s="63"/>
      <c r="U210" s="63"/>
      <c r="V210" s="63"/>
      <c r="W210" s="63"/>
      <c r="X210" s="63"/>
      <c r="Y210" s="63"/>
      <c r="Z210" s="63"/>
      <c r="AA210" s="63"/>
      <c r="AB210" s="63"/>
      <c r="AC210" s="63"/>
      <c r="AD210" s="63"/>
      <c r="AE210" s="63"/>
      <c r="AF210" s="63"/>
      <c r="AG210" s="63"/>
      <c r="AH210" s="63"/>
      <c r="AI210" s="63"/>
      <c r="AJ210" s="63"/>
      <c r="AK210" s="63"/>
      <c r="AL210" s="63"/>
      <c r="AM210" s="63"/>
      <c r="AN210" s="63"/>
      <c r="AO210" s="63"/>
      <c r="AP210" s="63"/>
    </row>
    <row r="211" spans="5:60" x14ac:dyDescent="0.25">
      <c r="H211" s="181"/>
    </row>
    <row r="212" spans="5:60" x14ac:dyDescent="0.25">
      <c r="E212" s="32" t="s">
        <v>450</v>
      </c>
      <c r="J212" s="63"/>
      <c r="K212" s="63"/>
      <c r="L212" s="63"/>
      <c r="M212" s="63"/>
      <c r="N212" s="63"/>
      <c r="O212" s="63"/>
      <c r="P212" s="63"/>
      <c r="Q212" s="63"/>
      <c r="R212" s="63"/>
      <c r="S212" s="63"/>
      <c r="AR212" t="s">
        <v>642</v>
      </c>
      <c r="BH212" s="3"/>
    </row>
    <row r="213" spans="5:60" x14ac:dyDescent="0.25">
      <c r="E213" s="29" t="s">
        <v>649</v>
      </c>
      <c r="F213" s="29"/>
      <c r="J213" s="63"/>
      <c r="K213" s="63"/>
      <c r="L213" s="63"/>
      <c r="M213" s="63"/>
      <c r="N213" s="63"/>
      <c r="O213" s="63"/>
      <c r="P213" s="63"/>
      <c r="Q213" s="63"/>
      <c r="R213" s="63"/>
      <c r="S213" s="63"/>
      <c r="BH213" s="3"/>
    </row>
    <row r="214" spans="5:60" x14ac:dyDescent="0.25">
      <c r="E214" s="32"/>
      <c r="F214" s="23" t="s">
        <v>227</v>
      </c>
      <c r="G214" s="23" t="s">
        <v>203</v>
      </c>
      <c r="H214" s="110">
        <f t="array" ref="H214:H222">TRANSPOSE('Load &amp; loss characteristics'!K23:S23)</f>
        <v>7.4999999999999956E-2</v>
      </c>
      <c r="J214" s="63"/>
      <c r="K214" s="63"/>
      <c r="L214" s="63"/>
      <c r="M214" s="63"/>
      <c r="N214" s="63"/>
      <c r="O214" s="63"/>
      <c r="P214" s="63"/>
      <c r="Q214" s="63"/>
      <c r="R214" s="63"/>
      <c r="S214" s="63"/>
      <c r="T214" s="84"/>
      <c r="BH214" s="3"/>
    </row>
    <row r="215" spans="5:60" x14ac:dyDescent="0.25">
      <c r="E215" s="32"/>
      <c r="F215" t="s">
        <v>228</v>
      </c>
      <c r="G215" t="s">
        <v>203</v>
      </c>
      <c r="H215" s="25">
        <v>7.4999999999999956E-2</v>
      </c>
      <c r="J215" s="63"/>
      <c r="K215" s="63"/>
      <c r="L215" s="63"/>
      <c r="M215" s="63"/>
      <c r="N215" s="63"/>
      <c r="O215" s="63"/>
      <c r="P215" s="63"/>
      <c r="Q215" s="63"/>
      <c r="R215" s="63"/>
      <c r="S215" s="63"/>
      <c r="BH215" s="3"/>
    </row>
    <row r="216" spans="5:60" x14ac:dyDescent="0.25">
      <c r="E216" s="32"/>
      <c r="F216" t="s">
        <v>229</v>
      </c>
      <c r="G216" t="s">
        <v>203</v>
      </c>
      <c r="H216" s="25">
        <v>7.4999999999999956E-2</v>
      </c>
      <c r="J216" s="63"/>
      <c r="K216" s="63"/>
      <c r="L216" s="63"/>
      <c r="M216" s="63"/>
      <c r="N216" s="63"/>
      <c r="O216" s="63"/>
      <c r="P216" s="63"/>
      <c r="Q216" s="63"/>
      <c r="R216" s="63"/>
      <c r="S216" s="63"/>
      <c r="BH216" s="3"/>
    </row>
    <row r="217" spans="5:60" x14ac:dyDescent="0.25">
      <c r="E217" s="32"/>
      <c r="F217" t="s">
        <v>230</v>
      </c>
      <c r="G217" t="s">
        <v>203</v>
      </c>
      <c r="H217" s="25">
        <v>0.17153500000000022</v>
      </c>
      <c r="J217" s="63"/>
      <c r="K217" s="63"/>
      <c r="L217" s="63"/>
      <c r="M217" s="63"/>
      <c r="N217" s="63"/>
      <c r="O217" s="63"/>
      <c r="P217" s="63"/>
      <c r="Q217" s="63"/>
      <c r="R217" s="63"/>
      <c r="S217" s="63"/>
      <c r="BH217" s="3"/>
    </row>
    <row r="218" spans="5:60" x14ac:dyDescent="0.25">
      <c r="E218" s="32"/>
      <c r="F218" t="s">
        <v>231</v>
      </c>
      <c r="G218" t="s">
        <v>203</v>
      </c>
      <c r="H218" s="25">
        <v>0.17153500000000022</v>
      </c>
      <c r="J218" s="63"/>
      <c r="K218" s="63"/>
      <c r="L218" s="63"/>
      <c r="M218" s="63"/>
      <c r="N218" s="63"/>
      <c r="O218" s="63"/>
      <c r="P218" s="63"/>
      <c r="Q218" s="63"/>
      <c r="R218" s="63"/>
      <c r="S218" s="63"/>
      <c r="BH218" s="3"/>
    </row>
    <row r="219" spans="5:60" x14ac:dyDescent="0.25">
      <c r="E219" s="32"/>
      <c r="F219" t="s">
        <v>232</v>
      </c>
      <c r="G219" t="s">
        <v>203</v>
      </c>
      <c r="H219" s="25">
        <v>7.4999999999999956E-2</v>
      </c>
      <c r="J219" s="63"/>
      <c r="K219" s="63"/>
      <c r="L219" s="63"/>
      <c r="M219" s="63"/>
      <c r="N219" s="63"/>
      <c r="O219" s="63"/>
      <c r="P219" s="63"/>
      <c r="Q219" s="63"/>
      <c r="R219" s="63"/>
      <c r="S219" s="63"/>
      <c r="BH219" s="3"/>
    </row>
    <row r="220" spans="5:60" x14ac:dyDescent="0.25">
      <c r="E220" s="32"/>
      <c r="F220" t="s">
        <v>233</v>
      </c>
      <c r="G220" t="s">
        <v>203</v>
      </c>
      <c r="H220" s="25">
        <v>0.80006352750000032</v>
      </c>
      <c r="J220" s="63"/>
      <c r="K220" s="63"/>
      <c r="L220" s="63"/>
      <c r="M220" s="63"/>
      <c r="N220" s="63"/>
      <c r="O220" s="63"/>
      <c r="P220" s="63"/>
      <c r="Q220" s="63"/>
      <c r="R220" s="63"/>
      <c r="S220" s="63"/>
      <c r="BH220" s="3"/>
    </row>
    <row r="221" spans="5:60" x14ac:dyDescent="0.25">
      <c r="E221" s="32"/>
      <c r="F221" t="s">
        <v>234</v>
      </c>
      <c r="G221" t="s">
        <v>203</v>
      </c>
      <c r="H221" s="25">
        <v>0.80006352750000032</v>
      </c>
      <c r="J221" s="63"/>
      <c r="K221" s="63"/>
      <c r="L221" s="63"/>
      <c r="M221" s="63"/>
      <c r="N221" s="63"/>
      <c r="O221" s="63"/>
      <c r="P221" s="63"/>
      <c r="Q221" s="63"/>
      <c r="R221" s="63"/>
      <c r="S221" s="63"/>
      <c r="BH221" s="3"/>
    </row>
    <row r="222" spans="5:60" x14ac:dyDescent="0.25">
      <c r="E222" s="32"/>
      <c r="F222" s="37" t="s">
        <v>235</v>
      </c>
      <c r="G222" s="37" t="s">
        <v>203</v>
      </c>
      <c r="H222" s="144">
        <v>0.80006352750000032</v>
      </c>
      <c r="J222" s="63"/>
      <c r="K222" s="63"/>
      <c r="L222" s="63"/>
      <c r="M222" s="63"/>
      <c r="N222" s="63"/>
      <c r="O222" s="63"/>
      <c r="P222" s="63"/>
      <c r="Q222" s="63"/>
      <c r="R222" s="63"/>
      <c r="S222" s="63"/>
      <c r="BH222" s="3"/>
    </row>
    <row r="223" spans="5:60" x14ac:dyDescent="0.25">
      <c r="H223" s="181"/>
    </row>
    <row r="224" spans="5:60" x14ac:dyDescent="0.25">
      <c r="E224" s="32" t="s">
        <v>650</v>
      </c>
      <c r="J224" s="63"/>
      <c r="K224" s="63"/>
      <c r="L224" s="63"/>
      <c r="M224" s="63"/>
      <c r="N224" s="63"/>
      <c r="O224" s="63"/>
      <c r="P224" s="63"/>
      <c r="Q224" s="63"/>
      <c r="R224" s="63"/>
      <c r="S224" s="63"/>
      <c r="AR224" t="s">
        <v>642</v>
      </c>
      <c r="BH224" s="3"/>
    </row>
    <row r="225" spans="3:60" x14ac:dyDescent="0.25">
      <c r="E225" s="29" t="s">
        <v>651</v>
      </c>
      <c r="F225" s="29"/>
      <c r="J225" s="63"/>
      <c r="K225" s="63"/>
      <c r="L225" s="63"/>
      <c r="M225" s="63"/>
      <c r="N225" s="63"/>
      <c r="O225" s="63"/>
      <c r="P225" s="63"/>
      <c r="Q225" s="63"/>
      <c r="R225" s="63"/>
      <c r="S225" s="63"/>
      <c r="BH225" s="3"/>
    </row>
    <row r="226" spans="3:60" x14ac:dyDescent="0.25">
      <c r="C226" s="32"/>
      <c r="F226" s="23" t="s">
        <v>227</v>
      </c>
      <c r="G226" s="23" t="s">
        <v>203</v>
      </c>
      <c r="H226" s="189">
        <f t="shared" ref="H226:H234" si="55">IF(F226 = $F$234, $H$210, H214)</f>
        <v>7.4999999999999956E-2</v>
      </c>
      <c r="J226" s="63"/>
      <c r="K226" s="63"/>
      <c r="L226" s="63"/>
      <c r="M226" s="63"/>
      <c r="N226" s="63"/>
      <c r="O226" s="63"/>
      <c r="P226" s="63"/>
      <c r="Q226" s="63"/>
      <c r="R226" s="63"/>
      <c r="S226" s="63"/>
      <c r="BH226" s="3"/>
    </row>
    <row r="227" spans="3:60" x14ac:dyDescent="0.25">
      <c r="C227" s="32"/>
      <c r="F227" t="s">
        <v>228</v>
      </c>
      <c r="G227" t="s">
        <v>203</v>
      </c>
      <c r="H227" s="114">
        <f t="shared" si="55"/>
        <v>7.4999999999999956E-2</v>
      </c>
      <c r="J227" s="63"/>
      <c r="K227" s="63"/>
      <c r="L227" s="63"/>
      <c r="M227" s="63"/>
      <c r="N227" s="63"/>
      <c r="O227" s="63"/>
      <c r="P227" s="63"/>
      <c r="Q227" s="63"/>
      <c r="R227" s="63"/>
      <c r="S227" s="63"/>
      <c r="BH227" s="3"/>
    </row>
    <row r="228" spans="3:60" x14ac:dyDescent="0.25">
      <c r="C228" s="32"/>
      <c r="F228" t="s">
        <v>229</v>
      </c>
      <c r="G228" t="s">
        <v>203</v>
      </c>
      <c r="H228" s="114">
        <f t="shared" si="55"/>
        <v>7.4999999999999956E-2</v>
      </c>
      <c r="J228" s="63"/>
      <c r="K228" s="63"/>
      <c r="L228" s="63"/>
      <c r="M228" s="63"/>
      <c r="N228" s="63"/>
      <c r="O228" s="63"/>
      <c r="P228" s="63"/>
      <c r="Q228" s="63"/>
      <c r="R228" s="63"/>
      <c r="S228" s="63"/>
      <c r="BH228" s="3"/>
    </row>
    <row r="229" spans="3:60" x14ac:dyDescent="0.25">
      <c r="C229" s="32"/>
      <c r="F229" t="s">
        <v>230</v>
      </c>
      <c r="G229" t="s">
        <v>203</v>
      </c>
      <c r="H229" s="114">
        <f t="shared" si="55"/>
        <v>0.17153500000000022</v>
      </c>
      <c r="J229" s="63"/>
      <c r="K229" s="63"/>
      <c r="L229" s="63"/>
      <c r="M229" s="63"/>
      <c r="N229" s="63"/>
      <c r="O229" s="63"/>
      <c r="P229" s="63"/>
      <c r="Q229" s="63"/>
      <c r="R229" s="63"/>
      <c r="S229" s="63"/>
      <c r="BH229" s="3"/>
    </row>
    <row r="230" spans="3:60" x14ac:dyDescent="0.25">
      <c r="C230" s="32"/>
      <c r="F230" t="s">
        <v>231</v>
      </c>
      <c r="G230" t="s">
        <v>203</v>
      </c>
      <c r="H230" s="114">
        <f t="shared" si="55"/>
        <v>0.17153500000000022</v>
      </c>
      <c r="J230" s="63"/>
      <c r="K230" s="63"/>
      <c r="L230" s="63"/>
      <c r="M230" s="63"/>
      <c r="N230" s="63"/>
      <c r="O230" s="63"/>
      <c r="P230" s="63"/>
      <c r="Q230" s="63"/>
      <c r="R230" s="63"/>
      <c r="S230" s="63"/>
      <c r="BH230" s="3"/>
    </row>
    <row r="231" spans="3:60" x14ac:dyDescent="0.25">
      <c r="C231" s="32"/>
      <c r="F231" t="s">
        <v>232</v>
      </c>
      <c r="G231" t="s">
        <v>203</v>
      </c>
      <c r="H231" s="114">
        <f t="shared" si="55"/>
        <v>7.4999999999999956E-2</v>
      </c>
      <c r="J231" s="63"/>
      <c r="K231" s="63"/>
      <c r="L231" s="63"/>
      <c r="M231" s="63"/>
      <c r="N231" s="63"/>
      <c r="O231" s="63"/>
      <c r="P231" s="63"/>
      <c r="Q231" s="63"/>
      <c r="R231" s="63"/>
      <c r="S231" s="63"/>
      <c r="BH231" s="3"/>
    </row>
    <row r="232" spans="3:60" x14ac:dyDescent="0.25">
      <c r="C232" s="32"/>
      <c r="F232" t="s">
        <v>233</v>
      </c>
      <c r="G232" t="s">
        <v>203</v>
      </c>
      <c r="H232" s="114">
        <f t="shared" si="55"/>
        <v>0.80006352750000032</v>
      </c>
      <c r="J232" s="63"/>
      <c r="K232" s="63"/>
      <c r="L232" s="63"/>
      <c r="M232" s="63"/>
      <c r="N232" s="63"/>
      <c r="O232" s="63"/>
      <c r="P232" s="63"/>
      <c r="Q232" s="63"/>
      <c r="R232" s="63"/>
      <c r="S232" s="63"/>
      <c r="BH232" s="3"/>
    </row>
    <row r="233" spans="3:60" x14ac:dyDescent="0.25">
      <c r="C233" s="32"/>
      <c r="F233" t="s">
        <v>234</v>
      </c>
      <c r="G233" t="s">
        <v>203</v>
      </c>
      <c r="H233" s="114">
        <f t="shared" si="55"/>
        <v>0.80006352750000032</v>
      </c>
      <c r="J233" s="63"/>
      <c r="K233" s="63"/>
      <c r="L233" s="63"/>
      <c r="M233" s="63"/>
      <c r="N233" s="63"/>
      <c r="O233" s="63"/>
      <c r="P233" s="63"/>
      <c r="Q233" s="63"/>
      <c r="R233" s="63"/>
      <c r="S233" s="63"/>
      <c r="BH233" s="3"/>
    </row>
    <row r="234" spans="3:60" x14ac:dyDescent="0.25">
      <c r="C234" s="32"/>
      <c r="F234" s="37" t="s">
        <v>235</v>
      </c>
      <c r="G234" s="37" t="s">
        <v>203</v>
      </c>
      <c r="H234" s="146">
        <f t="shared" si="55"/>
        <v>0.93809300995757972</v>
      </c>
      <c r="J234" s="63"/>
      <c r="K234" s="63"/>
      <c r="L234" s="63"/>
      <c r="M234" s="63"/>
      <c r="N234" s="63"/>
      <c r="O234" s="63"/>
      <c r="P234" s="63"/>
      <c r="Q234" s="63"/>
      <c r="R234" s="63"/>
      <c r="S234" s="63"/>
      <c r="BH234" s="3"/>
    </row>
    <row r="235" spans="3:60" x14ac:dyDescent="0.25">
      <c r="H235" s="181"/>
    </row>
    <row r="236" spans="3:60" x14ac:dyDescent="0.25">
      <c r="C236" s="31" t="str">
        <f ca="1">INDEX('Version control'!$H$34:$H$56,MATCH($A$1,'Version control'!$F$34:$F$56,0),1)&amp;"-G: Import/exceeded capacity contribution to system peak"</f>
        <v>Section 106-G: Import/exceeded capacity contribution to system peak</v>
      </c>
      <c r="D236" s="31"/>
      <c r="E236" s="31"/>
      <c r="F236" s="31"/>
      <c r="G236" s="31"/>
      <c r="H236" s="31"/>
      <c r="I236" s="31"/>
      <c r="J236" s="31"/>
      <c r="K236" s="31"/>
      <c r="L236" s="31"/>
      <c r="M236" s="31"/>
      <c r="N236" s="31"/>
      <c r="O236" s="31"/>
      <c r="P236" s="31"/>
      <c r="Q236" s="31"/>
      <c r="R236" s="31"/>
      <c r="S236" s="31"/>
      <c r="T236" s="31"/>
      <c r="U236" s="31"/>
      <c r="V236" s="31"/>
      <c r="W236" s="31"/>
      <c r="X236" s="31"/>
      <c r="Y236" s="31"/>
      <c r="Z236" s="31"/>
      <c r="AA236" s="31"/>
      <c r="AB236" s="31"/>
      <c r="AC236" s="31"/>
      <c r="AD236" s="31"/>
      <c r="AE236" s="31"/>
      <c r="AF236" s="31"/>
      <c r="AG236" s="31"/>
      <c r="AH236" s="31"/>
      <c r="AI236" s="31"/>
      <c r="AJ236" s="31"/>
      <c r="AK236" s="31"/>
      <c r="AL236" s="31"/>
      <c r="AM236" s="31"/>
      <c r="AN236" s="31"/>
      <c r="AO236" s="31"/>
      <c r="AP236" s="31"/>
      <c r="AQ236" s="31"/>
      <c r="AR236" s="31"/>
      <c r="BH236" s="3"/>
    </row>
    <row r="237" spans="3:60" x14ac:dyDescent="0.25">
      <c r="H237" s="181"/>
    </row>
    <row r="238" spans="3:60" x14ac:dyDescent="0.25">
      <c r="E238" s="32" t="s">
        <v>652</v>
      </c>
      <c r="F238" s="29"/>
      <c r="H238" s="190"/>
    </row>
    <row r="239" spans="3:60" x14ac:dyDescent="0.25">
      <c r="C239" s="32"/>
      <c r="F239" s="23" t="s">
        <v>227</v>
      </c>
      <c r="G239" s="23" t="s">
        <v>208</v>
      </c>
      <c r="H239" s="132"/>
      <c r="I239" s="23"/>
      <c r="J239" s="163">
        <f t="shared" ref="J239:AP239" si="56">J$192 * J23 * J34 / (1 + $H226) / $H45</f>
        <v>0</v>
      </c>
      <c r="K239" s="163">
        <f t="shared" si="56"/>
        <v>0</v>
      </c>
      <c r="L239" s="163">
        <f t="shared" si="56"/>
        <v>0</v>
      </c>
      <c r="M239" s="163">
        <f t="shared" si="56"/>
        <v>0</v>
      </c>
      <c r="N239" s="163">
        <f t="shared" si="56"/>
        <v>0</v>
      </c>
      <c r="O239" s="163">
        <f t="shared" si="56"/>
        <v>0</v>
      </c>
      <c r="P239" s="163">
        <f t="shared" si="56"/>
        <v>0</v>
      </c>
      <c r="Q239" s="163">
        <f t="shared" si="56"/>
        <v>0</v>
      </c>
      <c r="R239" s="163">
        <f t="shared" si="56"/>
        <v>0</v>
      </c>
      <c r="S239" s="163">
        <f t="shared" si="56"/>
        <v>0</v>
      </c>
      <c r="T239" s="163">
        <f t="shared" si="56"/>
        <v>0</v>
      </c>
      <c r="U239" s="163">
        <f t="shared" si="56"/>
        <v>0</v>
      </c>
      <c r="V239" s="163">
        <f t="shared" si="56"/>
        <v>0</v>
      </c>
      <c r="W239" s="163">
        <f t="shared" si="56"/>
        <v>0</v>
      </c>
      <c r="X239" s="163">
        <f t="shared" si="56"/>
        <v>0</v>
      </c>
      <c r="Y239" s="163">
        <f t="shared" si="56"/>
        <v>0</v>
      </c>
      <c r="Z239" s="163">
        <f t="shared" si="56"/>
        <v>0</v>
      </c>
      <c r="AA239" s="163">
        <f t="shared" si="56"/>
        <v>0</v>
      </c>
      <c r="AB239" s="163">
        <f t="shared" si="56"/>
        <v>0</v>
      </c>
      <c r="AC239" s="163">
        <f t="shared" si="56"/>
        <v>0</v>
      </c>
      <c r="AD239" s="163">
        <f t="shared" si="56"/>
        <v>0</v>
      </c>
      <c r="AE239" s="163">
        <f t="shared" si="56"/>
        <v>0</v>
      </c>
      <c r="AF239" s="163">
        <f t="shared" si="56"/>
        <v>0</v>
      </c>
      <c r="AG239" s="163">
        <f t="shared" si="56"/>
        <v>0</v>
      </c>
      <c r="AH239" s="163">
        <f t="shared" si="56"/>
        <v>0</v>
      </c>
      <c r="AI239" s="163">
        <f t="shared" si="56"/>
        <v>0</v>
      </c>
      <c r="AJ239" s="163">
        <f t="shared" si="56"/>
        <v>0</v>
      </c>
      <c r="AK239" s="163">
        <f t="shared" si="56"/>
        <v>0</v>
      </c>
      <c r="AL239" s="163">
        <f t="shared" si="56"/>
        <v>0</v>
      </c>
      <c r="AM239" s="163">
        <f t="shared" si="56"/>
        <v>0</v>
      </c>
      <c r="AN239" s="163">
        <f t="shared" si="56"/>
        <v>0</v>
      </c>
      <c r="AO239" s="163">
        <f t="shared" si="56"/>
        <v>0</v>
      </c>
      <c r="AP239" s="163">
        <f t="shared" si="56"/>
        <v>0</v>
      </c>
      <c r="BH239" s="3"/>
    </row>
    <row r="240" spans="3:60" x14ac:dyDescent="0.25">
      <c r="C240" s="32"/>
      <c r="F240" t="s">
        <v>228</v>
      </c>
      <c r="G240" t="s">
        <v>208</v>
      </c>
      <c r="H240" s="63"/>
      <c r="J240" s="92">
        <f t="shared" ref="J240:AP240" si="57">J$192 * J24 * J35 / (1 + $H227) / $H46</f>
        <v>0</v>
      </c>
      <c r="K240" s="92">
        <f t="shared" si="57"/>
        <v>0</v>
      </c>
      <c r="L240" s="92">
        <f t="shared" si="57"/>
        <v>0</v>
      </c>
      <c r="M240" s="92">
        <f t="shared" si="57"/>
        <v>0</v>
      </c>
      <c r="N240" s="92">
        <f t="shared" si="57"/>
        <v>0</v>
      </c>
      <c r="O240" s="92">
        <f t="shared" si="57"/>
        <v>0</v>
      </c>
      <c r="P240" s="92">
        <f t="shared" si="57"/>
        <v>0</v>
      </c>
      <c r="Q240" s="92">
        <f t="shared" si="57"/>
        <v>0</v>
      </c>
      <c r="R240" s="92">
        <f t="shared" si="57"/>
        <v>0</v>
      </c>
      <c r="S240" s="92">
        <f t="shared" si="57"/>
        <v>0</v>
      </c>
      <c r="T240" s="92">
        <f t="shared" si="57"/>
        <v>0</v>
      </c>
      <c r="U240" s="92">
        <f t="shared" si="57"/>
        <v>0</v>
      </c>
      <c r="V240" s="92">
        <f t="shared" si="57"/>
        <v>0</v>
      </c>
      <c r="W240" s="92">
        <f t="shared" si="57"/>
        <v>0</v>
      </c>
      <c r="X240" s="92">
        <f t="shared" si="57"/>
        <v>0</v>
      </c>
      <c r="Y240" s="92">
        <f t="shared" si="57"/>
        <v>0</v>
      </c>
      <c r="Z240" s="92">
        <f t="shared" si="57"/>
        <v>0</v>
      </c>
      <c r="AA240" s="92">
        <f t="shared" si="57"/>
        <v>0</v>
      </c>
      <c r="AB240" s="92">
        <f t="shared" si="57"/>
        <v>0</v>
      </c>
      <c r="AC240" s="92">
        <f t="shared" si="57"/>
        <v>0</v>
      </c>
      <c r="AD240" s="92">
        <f t="shared" si="57"/>
        <v>0</v>
      </c>
      <c r="AE240" s="92">
        <f t="shared" si="57"/>
        <v>0</v>
      </c>
      <c r="AF240" s="92">
        <f t="shared" si="57"/>
        <v>0</v>
      </c>
      <c r="AG240" s="92">
        <f t="shared" si="57"/>
        <v>0</v>
      </c>
      <c r="AH240" s="92">
        <f t="shared" si="57"/>
        <v>0</v>
      </c>
      <c r="AI240" s="92">
        <f t="shared" si="57"/>
        <v>0</v>
      </c>
      <c r="AJ240" s="92">
        <f t="shared" si="57"/>
        <v>0</v>
      </c>
      <c r="AK240" s="92">
        <f t="shared" si="57"/>
        <v>0</v>
      </c>
      <c r="AL240" s="92">
        <f t="shared" si="57"/>
        <v>0</v>
      </c>
      <c r="AM240" s="92">
        <f t="shared" si="57"/>
        <v>0</v>
      </c>
      <c r="AN240" s="92">
        <f t="shared" si="57"/>
        <v>0</v>
      </c>
      <c r="AO240" s="92">
        <f t="shared" si="57"/>
        <v>0</v>
      </c>
      <c r="AP240" s="92">
        <f t="shared" si="57"/>
        <v>0</v>
      </c>
      <c r="BH240" s="3"/>
    </row>
    <row r="241" spans="3:60" x14ac:dyDescent="0.25">
      <c r="C241" s="32"/>
      <c r="F241" t="s">
        <v>229</v>
      </c>
      <c r="G241" t="s">
        <v>208</v>
      </c>
      <c r="H241" s="63"/>
      <c r="J241" s="92">
        <f t="shared" ref="J241:AP241" si="58">J$192 * J25 * J36 / (1 + $H228) / $H47</f>
        <v>0</v>
      </c>
      <c r="K241" s="92">
        <f t="shared" si="58"/>
        <v>0</v>
      </c>
      <c r="L241" s="92">
        <f t="shared" si="58"/>
        <v>0</v>
      </c>
      <c r="M241" s="92">
        <f t="shared" si="58"/>
        <v>0</v>
      </c>
      <c r="N241" s="92">
        <f t="shared" si="58"/>
        <v>0</v>
      </c>
      <c r="O241" s="92">
        <f t="shared" si="58"/>
        <v>0</v>
      </c>
      <c r="P241" s="92">
        <f t="shared" si="58"/>
        <v>0</v>
      </c>
      <c r="Q241" s="92">
        <f t="shared" si="58"/>
        <v>0</v>
      </c>
      <c r="R241" s="92">
        <f t="shared" si="58"/>
        <v>0</v>
      </c>
      <c r="S241" s="92">
        <f t="shared" si="58"/>
        <v>0</v>
      </c>
      <c r="T241" s="92">
        <f t="shared" si="58"/>
        <v>0</v>
      </c>
      <c r="U241" s="92">
        <f t="shared" si="58"/>
        <v>0</v>
      </c>
      <c r="V241" s="92">
        <f t="shared" si="58"/>
        <v>0</v>
      </c>
      <c r="W241" s="92">
        <f t="shared" si="58"/>
        <v>0</v>
      </c>
      <c r="X241" s="92">
        <f t="shared" si="58"/>
        <v>0</v>
      </c>
      <c r="Y241" s="92">
        <f t="shared" si="58"/>
        <v>0</v>
      </c>
      <c r="Z241" s="92">
        <f t="shared" si="58"/>
        <v>0</v>
      </c>
      <c r="AA241" s="92">
        <f t="shared" si="58"/>
        <v>0</v>
      </c>
      <c r="AB241" s="92">
        <f t="shared" si="58"/>
        <v>0</v>
      </c>
      <c r="AC241" s="92">
        <f t="shared" si="58"/>
        <v>0</v>
      </c>
      <c r="AD241" s="92">
        <f t="shared" si="58"/>
        <v>0</v>
      </c>
      <c r="AE241" s="92">
        <f t="shared" si="58"/>
        <v>0</v>
      </c>
      <c r="AF241" s="92">
        <f t="shared" si="58"/>
        <v>0</v>
      </c>
      <c r="AG241" s="92">
        <f t="shared" si="58"/>
        <v>0</v>
      </c>
      <c r="AH241" s="92">
        <f t="shared" si="58"/>
        <v>0</v>
      </c>
      <c r="AI241" s="92">
        <f t="shared" si="58"/>
        <v>0</v>
      </c>
      <c r="AJ241" s="92">
        <f t="shared" si="58"/>
        <v>0</v>
      </c>
      <c r="AK241" s="92">
        <f t="shared" si="58"/>
        <v>0</v>
      </c>
      <c r="AL241" s="92">
        <f t="shared" si="58"/>
        <v>0</v>
      </c>
      <c r="AM241" s="92">
        <f t="shared" si="58"/>
        <v>0</v>
      </c>
      <c r="AN241" s="92">
        <f t="shared" si="58"/>
        <v>0</v>
      </c>
      <c r="AO241" s="92">
        <f t="shared" si="58"/>
        <v>0</v>
      </c>
      <c r="AP241" s="92">
        <f t="shared" si="58"/>
        <v>0</v>
      </c>
      <c r="BH241" s="3"/>
    </row>
    <row r="242" spans="3:60" x14ac:dyDescent="0.25">
      <c r="C242" s="32"/>
      <c r="F242" t="s">
        <v>230</v>
      </c>
      <c r="G242" t="s">
        <v>208</v>
      </c>
      <c r="H242" s="63"/>
      <c r="J242" s="92">
        <f t="shared" ref="J242:AP242" si="59">J$192 * J26 * J37 / (1 + $H229) / $H48</f>
        <v>0</v>
      </c>
      <c r="K242" s="92">
        <f t="shared" si="59"/>
        <v>0</v>
      </c>
      <c r="L242" s="92">
        <f t="shared" si="59"/>
        <v>0</v>
      </c>
      <c r="M242" s="92">
        <f t="shared" si="59"/>
        <v>0</v>
      </c>
      <c r="N242" s="92">
        <f t="shared" si="59"/>
        <v>0</v>
      </c>
      <c r="O242" s="92">
        <f t="shared" si="59"/>
        <v>0</v>
      </c>
      <c r="P242" s="92">
        <f t="shared" si="59"/>
        <v>0</v>
      </c>
      <c r="Q242" s="92">
        <f t="shared" si="59"/>
        <v>0</v>
      </c>
      <c r="R242" s="92">
        <f t="shared" si="59"/>
        <v>0</v>
      </c>
      <c r="S242" s="92">
        <f t="shared" si="59"/>
        <v>0</v>
      </c>
      <c r="T242" s="92">
        <f t="shared" si="59"/>
        <v>0</v>
      </c>
      <c r="U242" s="92">
        <f t="shared" si="59"/>
        <v>0</v>
      </c>
      <c r="V242" s="92">
        <f t="shared" si="59"/>
        <v>0</v>
      </c>
      <c r="W242" s="92">
        <f t="shared" si="59"/>
        <v>70.871040124581924</v>
      </c>
      <c r="X242" s="92">
        <f t="shared" si="59"/>
        <v>0</v>
      </c>
      <c r="Y242" s="92">
        <f t="shared" si="59"/>
        <v>0</v>
      </c>
      <c r="Z242" s="92">
        <f t="shared" si="59"/>
        <v>0</v>
      </c>
      <c r="AA242" s="92">
        <f t="shared" si="59"/>
        <v>0</v>
      </c>
      <c r="AB242" s="92">
        <f t="shared" si="59"/>
        <v>0</v>
      </c>
      <c r="AC242" s="92">
        <f t="shared" si="59"/>
        <v>0</v>
      </c>
      <c r="AD242" s="92">
        <f t="shared" si="59"/>
        <v>0</v>
      </c>
      <c r="AE242" s="92">
        <f t="shared" si="59"/>
        <v>0</v>
      </c>
      <c r="AF242" s="92">
        <f t="shared" si="59"/>
        <v>0</v>
      </c>
      <c r="AG242" s="92">
        <f t="shared" si="59"/>
        <v>0</v>
      </c>
      <c r="AH242" s="92">
        <f t="shared" si="59"/>
        <v>0</v>
      </c>
      <c r="AI242" s="92">
        <f t="shared" si="59"/>
        <v>0</v>
      </c>
      <c r="AJ242" s="92">
        <f t="shared" si="59"/>
        <v>0</v>
      </c>
      <c r="AK242" s="92">
        <f t="shared" si="59"/>
        <v>0</v>
      </c>
      <c r="AL242" s="92">
        <f t="shared" si="59"/>
        <v>0</v>
      </c>
      <c r="AM242" s="92">
        <f t="shared" si="59"/>
        <v>0</v>
      </c>
      <c r="AN242" s="92">
        <f t="shared" si="59"/>
        <v>0</v>
      </c>
      <c r="AO242" s="92">
        <f t="shared" si="59"/>
        <v>0</v>
      </c>
      <c r="AP242" s="92">
        <f t="shared" si="59"/>
        <v>0</v>
      </c>
      <c r="BH242" s="3"/>
    </row>
    <row r="243" spans="3:60" x14ac:dyDescent="0.25">
      <c r="C243" s="32"/>
      <c r="F243" t="s">
        <v>231</v>
      </c>
      <c r="G243" t="s">
        <v>208</v>
      </c>
      <c r="H243" s="63"/>
      <c r="J243" s="92">
        <f t="shared" ref="J243:AP243" si="60">J$192 * J27 * J38 / (1 + $H230) / $H49</f>
        <v>0</v>
      </c>
      <c r="K243" s="92">
        <f t="shared" si="60"/>
        <v>0</v>
      </c>
      <c r="L243" s="92">
        <f t="shared" si="60"/>
        <v>0</v>
      </c>
      <c r="M243" s="92">
        <f t="shared" si="60"/>
        <v>0</v>
      </c>
      <c r="N243" s="92">
        <f t="shared" si="60"/>
        <v>0</v>
      </c>
      <c r="O243" s="92">
        <f t="shared" si="60"/>
        <v>0</v>
      </c>
      <c r="P243" s="92">
        <f t="shared" si="60"/>
        <v>0</v>
      </c>
      <c r="Q243" s="92">
        <f t="shared" si="60"/>
        <v>0</v>
      </c>
      <c r="R243" s="92">
        <f t="shared" si="60"/>
        <v>0</v>
      </c>
      <c r="S243" s="92">
        <f t="shared" si="60"/>
        <v>0</v>
      </c>
      <c r="T243" s="92">
        <f t="shared" si="60"/>
        <v>0</v>
      </c>
      <c r="U243" s="92">
        <f t="shared" si="60"/>
        <v>0</v>
      </c>
      <c r="V243" s="92">
        <f t="shared" si="60"/>
        <v>0</v>
      </c>
      <c r="W243" s="92">
        <f t="shared" si="60"/>
        <v>350.55607079166975</v>
      </c>
      <c r="X243" s="92">
        <f t="shared" si="60"/>
        <v>0</v>
      </c>
      <c r="Y243" s="92">
        <f t="shared" si="60"/>
        <v>0</v>
      </c>
      <c r="Z243" s="92">
        <f t="shared" si="60"/>
        <v>0</v>
      </c>
      <c r="AA243" s="92">
        <f t="shared" si="60"/>
        <v>0</v>
      </c>
      <c r="AB243" s="92">
        <f t="shared" si="60"/>
        <v>0</v>
      </c>
      <c r="AC243" s="92">
        <f t="shared" si="60"/>
        <v>0</v>
      </c>
      <c r="AD243" s="92">
        <f t="shared" si="60"/>
        <v>0</v>
      </c>
      <c r="AE243" s="92">
        <f t="shared" si="60"/>
        <v>0</v>
      </c>
      <c r="AF243" s="92">
        <f t="shared" si="60"/>
        <v>0</v>
      </c>
      <c r="AG243" s="92">
        <f t="shared" si="60"/>
        <v>0</v>
      </c>
      <c r="AH243" s="92">
        <f t="shared" si="60"/>
        <v>0</v>
      </c>
      <c r="AI243" s="92">
        <f t="shared" si="60"/>
        <v>0</v>
      </c>
      <c r="AJ243" s="92">
        <f t="shared" si="60"/>
        <v>0</v>
      </c>
      <c r="AK243" s="92">
        <f t="shared" si="60"/>
        <v>0</v>
      </c>
      <c r="AL243" s="92">
        <f t="shared" si="60"/>
        <v>0</v>
      </c>
      <c r="AM243" s="92">
        <f t="shared" si="60"/>
        <v>0</v>
      </c>
      <c r="AN243" s="92">
        <f t="shared" si="60"/>
        <v>0</v>
      </c>
      <c r="AO243" s="92">
        <f t="shared" si="60"/>
        <v>0</v>
      </c>
      <c r="AP243" s="92">
        <f t="shared" si="60"/>
        <v>0</v>
      </c>
      <c r="BH243" s="3"/>
    </row>
    <row r="244" spans="3:60" x14ac:dyDescent="0.25">
      <c r="C244" s="32"/>
      <c r="F244" t="s">
        <v>232</v>
      </c>
      <c r="G244" t="s">
        <v>208</v>
      </c>
      <c r="H244" s="63"/>
      <c r="J244" s="92">
        <f t="shared" ref="J244:AP244" si="61">J$192 * J28 * J39 / (1 + $H231) / $H50</f>
        <v>0</v>
      </c>
      <c r="K244" s="92">
        <f t="shared" si="61"/>
        <v>0</v>
      </c>
      <c r="L244" s="92">
        <f t="shared" si="61"/>
        <v>0</v>
      </c>
      <c r="M244" s="92">
        <f t="shared" si="61"/>
        <v>0</v>
      </c>
      <c r="N244" s="92">
        <f t="shared" si="61"/>
        <v>0</v>
      </c>
      <c r="O244" s="92">
        <f t="shared" si="61"/>
        <v>0</v>
      </c>
      <c r="P244" s="92">
        <f t="shared" si="61"/>
        <v>0</v>
      </c>
      <c r="Q244" s="92">
        <f t="shared" si="61"/>
        <v>0</v>
      </c>
      <c r="R244" s="92">
        <f t="shared" si="61"/>
        <v>0</v>
      </c>
      <c r="S244" s="92">
        <f t="shared" si="61"/>
        <v>0</v>
      </c>
      <c r="T244" s="92">
        <f t="shared" si="61"/>
        <v>0</v>
      </c>
      <c r="U244" s="92">
        <f t="shared" si="61"/>
        <v>0</v>
      </c>
      <c r="V244" s="92">
        <f t="shared" si="61"/>
        <v>0</v>
      </c>
      <c r="W244" s="92">
        <f t="shared" si="61"/>
        <v>0</v>
      </c>
      <c r="X244" s="92">
        <f t="shared" si="61"/>
        <v>0</v>
      </c>
      <c r="Y244" s="92">
        <f t="shared" si="61"/>
        <v>0</v>
      </c>
      <c r="Z244" s="92">
        <f t="shared" si="61"/>
        <v>0</v>
      </c>
      <c r="AA244" s="92">
        <f t="shared" si="61"/>
        <v>0</v>
      </c>
      <c r="AB244" s="92">
        <f t="shared" si="61"/>
        <v>0</v>
      </c>
      <c r="AC244" s="92">
        <f t="shared" si="61"/>
        <v>0</v>
      </c>
      <c r="AD244" s="92">
        <f t="shared" si="61"/>
        <v>0</v>
      </c>
      <c r="AE244" s="92">
        <f t="shared" si="61"/>
        <v>0</v>
      </c>
      <c r="AF244" s="92">
        <f t="shared" si="61"/>
        <v>0</v>
      </c>
      <c r="AG244" s="92">
        <f t="shared" si="61"/>
        <v>0</v>
      </c>
      <c r="AH244" s="92">
        <f t="shared" si="61"/>
        <v>0</v>
      </c>
      <c r="AI244" s="92">
        <f t="shared" si="61"/>
        <v>0</v>
      </c>
      <c r="AJ244" s="92">
        <f t="shared" si="61"/>
        <v>0</v>
      </c>
      <c r="AK244" s="92">
        <f t="shared" si="61"/>
        <v>0</v>
      </c>
      <c r="AL244" s="92">
        <f t="shared" si="61"/>
        <v>0</v>
      </c>
      <c r="AM244" s="92">
        <f t="shared" si="61"/>
        <v>0</v>
      </c>
      <c r="AN244" s="92">
        <f t="shared" si="61"/>
        <v>0</v>
      </c>
      <c r="AO244" s="92">
        <f t="shared" si="61"/>
        <v>0</v>
      </c>
      <c r="AP244" s="92">
        <f t="shared" si="61"/>
        <v>0</v>
      </c>
      <c r="BH244" s="3"/>
    </row>
    <row r="245" spans="3:60" x14ac:dyDescent="0.25">
      <c r="C245" s="32"/>
      <c r="F245" t="s">
        <v>233</v>
      </c>
      <c r="G245" t="s">
        <v>208</v>
      </c>
      <c r="H245" s="63"/>
      <c r="J245" s="92">
        <f t="shared" ref="J245:AP245" si="62">J$192 * J29 * J40 / (1 + $H232) / $H51</f>
        <v>0</v>
      </c>
      <c r="K245" s="92">
        <f t="shared" si="62"/>
        <v>0</v>
      </c>
      <c r="L245" s="92">
        <f t="shared" si="62"/>
        <v>0</v>
      </c>
      <c r="M245" s="92">
        <f t="shared" si="62"/>
        <v>0</v>
      </c>
      <c r="N245" s="92">
        <f t="shared" si="62"/>
        <v>0</v>
      </c>
      <c r="O245" s="92">
        <f t="shared" si="62"/>
        <v>0</v>
      </c>
      <c r="P245" s="92">
        <f t="shared" si="62"/>
        <v>0</v>
      </c>
      <c r="Q245" s="92">
        <f t="shared" si="62"/>
        <v>0</v>
      </c>
      <c r="R245" s="92">
        <f t="shared" si="62"/>
        <v>0</v>
      </c>
      <c r="S245" s="92">
        <f t="shared" si="62"/>
        <v>0</v>
      </c>
      <c r="T245" s="92">
        <f t="shared" si="62"/>
        <v>0</v>
      </c>
      <c r="U245" s="92">
        <f t="shared" si="62"/>
        <v>98.384923811769795</v>
      </c>
      <c r="V245" s="92">
        <f t="shared" si="62"/>
        <v>17.842804286936527</v>
      </c>
      <c r="W245" s="92">
        <f t="shared" si="62"/>
        <v>226.16840685493773</v>
      </c>
      <c r="X245" s="92">
        <f t="shared" si="62"/>
        <v>0</v>
      </c>
      <c r="Y245" s="92">
        <f t="shared" si="62"/>
        <v>0</v>
      </c>
      <c r="Z245" s="92">
        <f t="shared" si="62"/>
        <v>0</v>
      </c>
      <c r="AA245" s="92">
        <f t="shared" si="62"/>
        <v>0</v>
      </c>
      <c r="AB245" s="92">
        <f t="shared" si="62"/>
        <v>0</v>
      </c>
      <c r="AC245" s="92">
        <f t="shared" si="62"/>
        <v>0</v>
      </c>
      <c r="AD245" s="92">
        <f t="shared" si="62"/>
        <v>0</v>
      </c>
      <c r="AE245" s="92">
        <f t="shared" si="62"/>
        <v>0</v>
      </c>
      <c r="AF245" s="92">
        <f t="shared" si="62"/>
        <v>0</v>
      </c>
      <c r="AG245" s="92">
        <f t="shared" si="62"/>
        <v>0</v>
      </c>
      <c r="AH245" s="92">
        <f t="shared" si="62"/>
        <v>0</v>
      </c>
      <c r="AI245" s="92">
        <f t="shared" si="62"/>
        <v>0</v>
      </c>
      <c r="AJ245" s="92">
        <f t="shared" si="62"/>
        <v>0</v>
      </c>
      <c r="AK245" s="92">
        <f t="shared" si="62"/>
        <v>0</v>
      </c>
      <c r="AL245" s="92">
        <f t="shared" si="62"/>
        <v>0</v>
      </c>
      <c r="AM245" s="92">
        <f t="shared" si="62"/>
        <v>0</v>
      </c>
      <c r="AN245" s="92">
        <f t="shared" si="62"/>
        <v>0</v>
      </c>
      <c r="AO245" s="92">
        <f t="shared" si="62"/>
        <v>0</v>
      </c>
      <c r="AP245" s="92">
        <f t="shared" si="62"/>
        <v>0</v>
      </c>
      <c r="BH245" s="3"/>
    </row>
    <row r="246" spans="3:60" x14ac:dyDescent="0.25">
      <c r="C246" s="32"/>
      <c r="F246" t="s">
        <v>234</v>
      </c>
      <c r="G246" t="s">
        <v>208</v>
      </c>
      <c r="H246" s="63"/>
      <c r="J246" s="92">
        <f t="shared" ref="J246:AP246" si="63">J$192 * J30 * J41 / (1 + $H233) / $H52</f>
        <v>0</v>
      </c>
      <c r="K246" s="92">
        <f t="shared" si="63"/>
        <v>0</v>
      </c>
      <c r="L246" s="92">
        <f t="shared" si="63"/>
        <v>0</v>
      </c>
      <c r="M246" s="92">
        <f t="shared" si="63"/>
        <v>0</v>
      </c>
      <c r="N246" s="92">
        <f t="shared" si="63"/>
        <v>0</v>
      </c>
      <c r="O246" s="92">
        <f t="shared" si="63"/>
        <v>0</v>
      </c>
      <c r="P246" s="92">
        <f t="shared" si="63"/>
        <v>0</v>
      </c>
      <c r="Q246" s="92">
        <f t="shared" si="63"/>
        <v>0</v>
      </c>
      <c r="R246" s="92">
        <f t="shared" si="63"/>
        <v>0</v>
      </c>
      <c r="S246" s="92">
        <f t="shared" si="63"/>
        <v>0</v>
      </c>
      <c r="T246" s="92">
        <f t="shared" si="63"/>
        <v>0</v>
      </c>
      <c r="U246" s="92">
        <f t="shared" si="63"/>
        <v>481.68588526576031</v>
      </c>
      <c r="V246" s="92">
        <f t="shared" si="63"/>
        <v>17.471430876990826</v>
      </c>
      <c r="W246" s="92">
        <f t="shared" si="63"/>
        <v>0</v>
      </c>
      <c r="X246" s="92">
        <f t="shared" si="63"/>
        <v>0</v>
      </c>
      <c r="Y246" s="92">
        <f t="shared" si="63"/>
        <v>0</v>
      </c>
      <c r="Z246" s="92">
        <f t="shared" si="63"/>
        <v>0</v>
      </c>
      <c r="AA246" s="92">
        <f t="shared" si="63"/>
        <v>0</v>
      </c>
      <c r="AB246" s="92">
        <f t="shared" si="63"/>
        <v>0</v>
      </c>
      <c r="AC246" s="92">
        <f t="shared" si="63"/>
        <v>0</v>
      </c>
      <c r="AD246" s="92">
        <f t="shared" si="63"/>
        <v>0</v>
      </c>
      <c r="AE246" s="92">
        <f t="shared" si="63"/>
        <v>0</v>
      </c>
      <c r="AF246" s="92">
        <f t="shared" si="63"/>
        <v>0</v>
      </c>
      <c r="AG246" s="92">
        <f t="shared" si="63"/>
        <v>0</v>
      </c>
      <c r="AH246" s="92">
        <f t="shared" si="63"/>
        <v>0</v>
      </c>
      <c r="AI246" s="92">
        <f t="shared" si="63"/>
        <v>0</v>
      </c>
      <c r="AJ246" s="92">
        <f t="shared" si="63"/>
        <v>0</v>
      </c>
      <c r="AK246" s="92">
        <f t="shared" si="63"/>
        <v>0</v>
      </c>
      <c r="AL246" s="92">
        <f t="shared" si="63"/>
        <v>0</v>
      </c>
      <c r="AM246" s="92">
        <f t="shared" si="63"/>
        <v>0</v>
      </c>
      <c r="AN246" s="92">
        <f t="shared" si="63"/>
        <v>0</v>
      </c>
      <c r="AO246" s="92">
        <f t="shared" si="63"/>
        <v>0</v>
      </c>
      <c r="AP246" s="92">
        <f t="shared" si="63"/>
        <v>0</v>
      </c>
      <c r="BH246" s="3"/>
    </row>
    <row r="247" spans="3:60" x14ac:dyDescent="0.25">
      <c r="C247" s="32"/>
      <c r="F247" s="37" t="s">
        <v>235</v>
      </c>
      <c r="G247" s="37" t="s">
        <v>208</v>
      </c>
      <c r="H247" s="133"/>
      <c r="I247" s="37"/>
      <c r="J247" s="82">
        <f t="shared" ref="J247:AP247" si="64">J$192 * J31 * J42 / (1 + $H234) / $H53</f>
        <v>0</v>
      </c>
      <c r="K247" s="82">
        <f t="shared" si="64"/>
        <v>0</v>
      </c>
      <c r="L247" s="82">
        <f t="shared" si="64"/>
        <v>0</v>
      </c>
      <c r="M247" s="82">
        <f t="shared" si="64"/>
        <v>0</v>
      </c>
      <c r="N247" s="82">
        <f t="shared" si="64"/>
        <v>0</v>
      </c>
      <c r="O247" s="82">
        <f t="shared" si="64"/>
        <v>0</v>
      </c>
      <c r="P247" s="82">
        <f t="shared" si="64"/>
        <v>0</v>
      </c>
      <c r="Q247" s="82">
        <f t="shared" si="64"/>
        <v>0</v>
      </c>
      <c r="R247" s="82">
        <f t="shared" si="64"/>
        <v>0</v>
      </c>
      <c r="S247" s="82">
        <f t="shared" si="64"/>
        <v>0</v>
      </c>
      <c r="T247" s="82">
        <f t="shared" si="64"/>
        <v>0</v>
      </c>
      <c r="U247" s="82">
        <f t="shared" si="64"/>
        <v>433.83603978172448</v>
      </c>
      <c r="V247" s="82">
        <f t="shared" si="64"/>
        <v>0</v>
      </c>
      <c r="W247" s="82">
        <f t="shared" si="64"/>
        <v>0</v>
      </c>
      <c r="X247" s="82">
        <f t="shared" si="64"/>
        <v>0</v>
      </c>
      <c r="Y247" s="82">
        <f t="shared" si="64"/>
        <v>0</v>
      </c>
      <c r="Z247" s="82">
        <f t="shared" si="64"/>
        <v>0</v>
      </c>
      <c r="AA247" s="82">
        <f t="shared" si="64"/>
        <v>0</v>
      </c>
      <c r="AB247" s="82">
        <f t="shared" si="64"/>
        <v>0</v>
      </c>
      <c r="AC247" s="82">
        <f t="shared" si="64"/>
        <v>0</v>
      </c>
      <c r="AD247" s="82">
        <f t="shared" si="64"/>
        <v>0</v>
      </c>
      <c r="AE247" s="82">
        <f t="shared" si="64"/>
        <v>0</v>
      </c>
      <c r="AF247" s="82">
        <f t="shared" si="64"/>
        <v>0</v>
      </c>
      <c r="AG247" s="82">
        <f t="shared" si="64"/>
        <v>0</v>
      </c>
      <c r="AH247" s="82">
        <f t="shared" si="64"/>
        <v>0</v>
      </c>
      <c r="AI247" s="82">
        <f t="shared" si="64"/>
        <v>0</v>
      </c>
      <c r="AJ247" s="82">
        <f t="shared" si="64"/>
        <v>0</v>
      </c>
      <c r="AK247" s="82">
        <f t="shared" si="64"/>
        <v>0</v>
      </c>
      <c r="AL247" s="82">
        <f t="shared" si="64"/>
        <v>0</v>
      </c>
      <c r="AM247" s="82">
        <f t="shared" si="64"/>
        <v>0</v>
      </c>
      <c r="AN247" s="82">
        <f t="shared" si="64"/>
        <v>0</v>
      </c>
      <c r="AO247" s="82">
        <f t="shared" si="64"/>
        <v>0</v>
      </c>
      <c r="AP247" s="82">
        <f t="shared" si="64"/>
        <v>0</v>
      </c>
      <c r="BH247" s="3"/>
    </row>
    <row r="248" spans="3:60" x14ac:dyDescent="0.25">
      <c r="H248" s="18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3:60" x14ac:dyDescent="0.25">
      <c r="C249" s="31" t="str">
        <f ca="1">INDEX('Version control'!$H$34:$H$56,MATCH($A$1,'Version control'!$F$34:$F$56,0),1)&amp;"-H: Estimated capacity contribution to system peak"</f>
        <v>Section 106-H: Estimated capacity contribution to system peak</v>
      </c>
      <c r="D249" s="31"/>
      <c r="E249" s="31"/>
      <c r="F249" s="31"/>
      <c r="G249" s="31"/>
      <c r="H249" s="31"/>
      <c r="I249" s="31"/>
      <c r="J249" s="93"/>
      <c r="K249" s="93"/>
      <c r="L249" s="93"/>
      <c r="M249" s="93"/>
      <c r="N249" s="93"/>
      <c r="O249" s="93"/>
      <c r="P249" s="93"/>
      <c r="Q249" s="93"/>
      <c r="R249" s="93"/>
      <c r="S249" s="93"/>
      <c r="T249" s="93"/>
      <c r="U249" s="93"/>
      <c r="V249" s="93"/>
      <c r="W249" s="93"/>
      <c r="X249" s="93"/>
      <c r="Y249" s="93"/>
      <c r="Z249" s="93"/>
      <c r="AA249" s="93"/>
      <c r="AB249" s="93"/>
      <c r="AC249" s="93"/>
      <c r="AD249" s="93"/>
      <c r="AE249" s="93"/>
      <c r="AF249" s="93"/>
      <c r="AG249" s="93"/>
      <c r="AH249" s="93"/>
      <c r="AI249" s="93"/>
      <c r="AJ249" s="93"/>
      <c r="AK249" s="93"/>
      <c r="AL249" s="93"/>
      <c r="AM249" s="93"/>
      <c r="AN249" s="93"/>
      <c r="AO249" s="93"/>
      <c r="AP249" s="93"/>
      <c r="AQ249" s="31"/>
      <c r="AR249" s="31"/>
      <c r="BH249" s="3"/>
    </row>
    <row r="250" spans="3:60" x14ac:dyDescent="0.25">
      <c r="H250" s="181"/>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3:60" x14ac:dyDescent="0.25">
      <c r="E251" s="32" t="s">
        <v>653</v>
      </c>
      <c r="F251" s="29"/>
      <c r="H251" s="18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3:60" x14ac:dyDescent="0.25">
      <c r="C252" s="32"/>
      <c r="F252" s="23" t="s">
        <v>227</v>
      </c>
      <c r="G252" s="132" t="s">
        <v>208</v>
      </c>
      <c r="H252" s="132"/>
      <c r="I252" s="23"/>
      <c r="J252" s="163">
        <f t="shared" ref="J252:AP252" si="65">IF(AND(J$192 = 0, J$198), J$200 * J23 * J34 / (1 + $H226) / $H45, 0)</f>
        <v>0</v>
      </c>
      <c r="K252" s="163">
        <f t="shared" si="65"/>
        <v>0</v>
      </c>
      <c r="L252" s="163">
        <f t="shared" si="65"/>
        <v>0</v>
      </c>
      <c r="M252" s="163">
        <f t="shared" si="65"/>
        <v>0</v>
      </c>
      <c r="N252" s="163">
        <f t="shared" si="65"/>
        <v>0</v>
      </c>
      <c r="O252" s="163">
        <f t="shared" si="65"/>
        <v>0</v>
      </c>
      <c r="P252" s="163">
        <f t="shared" si="65"/>
        <v>0</v>
      </c>
      <c r="Q252" s="163">
        <f t="shared" si="65"/>
        <v>0</v>
      </c>
      <c r="R252" s="163">
        <f t="shared" si="65"/>
        <v>0</v>
      </c>
      <c r="S252" s="163">
        <f t="shared" si="65"/>
        <v>0</v>
      </c>
      <c r="T252" s="163">
        <f t="shared" si="65"/>
        <v>0</v>
      </c>
      <c r="U252" s="163">
        <f t="shared" si="65"/>
        <v>0</v>
      </c>
      <c r="V252" s="163">
        <f t="shared" si="65"/>
        <v>0</v>
      </c>
      <c r="W252" s="163">
        <f t="shared" si="65"/>
        <v>0</v>
      </c>
      <c r="X252" s="163">
        <f t="shared" si="65"/>
        <v>0</v>
      </c>
      <c r="Y252" s="163">
        <f t="shared" si="65"/>
        <v>0</v>
      </c>
      <c r="Z252" s="163">
        <f t="shared" si="65"/>
        <v>0</v>
      </c>
      <c r="AA252" s="163">
        <f t="shared" si="65"/>
        <v>0</v>
      </c>
      <c r="AB252" s="163">
        <f t="shared" si="65"/>
        <v>0</v>
      </c>
      <c r="AC252" s="163">
        <f t="shared" si="65"/>
        <v>0</v>
      </c>
      <c r="AD252" s="163">
        <f t="shared" si="65"/>
        <v>0</v>
      </c>
      <c r="AE252" s="163">
        <f t="shared" si="65"/>
        <v>0</v>
      </c>
      <c r="AF252" s="163">
        <f t="shared" si="65"/>
        <v>0</v>
      </c>
      <c r="AG252" s="163">
        <f t="shared" si="65"/>
        <v>0</v>
      </c>
      <c r="AH252" s="163">
        <f t="shared" si="65"/>
        <v>0</v>
      </c>
      <c r="AI252" s="163">
        <f t="shared" si="65"/>
        <v>0</v>
      </c>
      <c r="AJ252" s="163">
        <f t="shared" si="65"/>
        <v>0</v>
      </c>
      <c r="AK252" s="163">
        <f t="shared" si="65"/>
        <v>0</v>
      </c>
      <c r="AL252" s="163">
        <f t="shared" si="65"/>
        <v>0</v>
      </c>
      <c r="AM252" s="163">
        <f t="shared" si="65"/>
        <v>0</v>
      </c>
      <c r="AN252" s="163">
        <f t="shared" si="65"/>
        <v>0</v>
      </c>
      <c r="AO252" s="163">
        <f t="shared" si="65"/>
        <v>0</v>
      </c>
      <c r="AP252" s="163">
        <f t="shared" si="65"/>
        <v>0</v>
      </c>
      <c r="BH252" s="3"/>
    </row>
    <row r="253" spans="3:60" x14ac:dyDescent="0.25">
      <c r="C253" s="32"/>
      <c r="F253" t="s">
        <v>228</v>
      </c>
      <c r="G253" s="63" t="s">
        <v>208</v>
      </c>
      <c r="H253" s="63"/>
      <c r="J253" s="92">
        <f t="shared" ref="J253:AP253" si="66">IF(AND(J$192 = 0, J$198), J$200 * J24 * J35 / (1 + $H227) / $H46, 0)</f>
        <v>0</v>
      </c>
      <c r="K253" s="92">
        <f t="shared" si="66"/>
        <v>0</v>
      </c>
      <c r="L253" s="92">
        <f t="shared" si="66"/>
        <v>0</v>
      </c>
      <c r="M253" s="92">
        <f t="shared" si="66"/>
        <v>0</v>
      </c>
      <c r="N253" s="92">
        <f t="shared" si="66"/>
        <v>0</v>
      </c>
      <c r="O253" s="92">
        <f t="shared" si="66"/>
        <v>0</v>
      </c>
      <c r="P253" s="92">
        <f t="shared" si="66"/>
        <v>0</v>
      </c>
      <c r="Q253" s="92">
        <f t="shared" si="66"/>
        <v>0</v>
      </c>
      <c r="R253" s="92">
        <f t="shared" si="66"/>
        <v>0</v>
      </c>
      <c r="S253" s="92">
        <f t="shared" si="66"/>
        <v>0</v>
      </c>
      <c r="T253" s="92">
        <f t="shared" si="66"/>
        <v>0</v>
      </c>
      <c r="U253" s="92">
        <f t="shared" si="66"/>
        <v>0</v>
      </c>
      <c r="V253" s="92">
        <f t="shared" si="66"/>
        <v>0</v>
      </c>
      <c r="W253" s="92">
        <f t="shared" si="66"/>
        <v>0</v>
      </c>
      <c r="X253" s="92">
        <f t="shared" si="66"/>
        <v>0</v>
      </c>
      <c r="Y253" s="92">
        <f t="shared" si="66"/>
        <v>0</v>
      </c>
      <c r="Z253" s="92">
        <f t="shared" si="66"/>
        <v>0</v>
      </c>
      <c r="AA253" s="92">
        <f t="shared" si="66"/>
        <v>0</v>
      </c>
      <c r="AB253" s="92">
        <f t="shared" si="66"/>
        <v>0</v>
      </c>
      <c r="AC253" s="92">
        <f t="shared" si="66"/>
        <v>0</v>
      </c>
      <c r="AD253" s="92">
        <f t="shared" si="66"/>
        <v>0</v>
      </c>
      <c r="AE253" s="92">
        <f t="shared" si="66"/>
        <v>0</v>
      </c>
      <c r="AF253" s="92">
        <f t="shared" si="66"/>
        <v>0</v>
      </c>
      <c r="AG253" s="92">
        <f t="shared" si="66"/>
        <v>0</v>
      </c>
      <c r="AH253" s="92">
        <f t="shared" si="66"/>
        <v>0</v>
      </c>
      <c r="AI253" s="92">
        <f t="shared" si="66"/>
        <v>0</v>
      </c>
      <c r="AJ253" s="92">
        <f t="shared" si="66"/>
        <v>0</v>
      </c>
      <c r="AK253" s="92">
        <f t="shared" si="66"/>
        <v>0</v>
      </c>
      <c r="AL253" s="92">
        <f t="shared" si="66"/>
        <v>0</v>
      </c>
      <c r="AM253" s="92">
        <f t="shared" si="66"/>
        <v>0</v>
      </c>
      <c r="AN253" s="92">
        <f t="shared" si="66"/>
        <v>0</v>
      </c>
      <c r="AO253" s="92">
        <f t="shared" si="66"/>
        <v>0</v>
      </c>
      <c r="AP253" s="92">
        <f t="shared" si="66"/>
        <v>0</v>
      </c>
      <c r="BH253" s="3"/>
    </row>
    <row r="254" spans="3:60" x14ac:dyDescent="0.25">
      <c r="C254" s="32"/>
      <c r="F254" t="s">
        <v>229</v>
      </c>
      <c r="G254" s="63" t="s">
        <v>208</v>
      </c>
      <c r="H254" s="63"/>
      <c r="J254" s="92">
        <f t="shared" ref="J254:AP254" si="67">IF(AND(J$192 = 0, J$198), J$200 * J25 * J36 / (1 + $H228) / $H47, 0)</f>
        <v>0</v>
      </c>
      <c r="K254" s="92">
        <f t="shared" si="67"/>
        <v>0</v>
      </c>
      <c r="L254" s="92">
        <f t="shared" si="67"/>
        <v>0</v>
      </c>
      <c r="M254" s="92">
        <f t="shared" si="67"/>
        <v>0</v>
      </c>
      <c r="N254" s="92">
        <f t="shared" si="67"/>
        <v>0</v>
      </c>
      <c r="O254" s="92">
        <f t="shared" si="67"/>
        <v>0</v>
      </c>
      <c r="P254" s="92">
        <f t="shared" si="67"/>
        <v>0</v>
      </c>
      <c r="Q254" s="92">
        <f t="shared" si="67"/>
        <v>0</v>
      </c>
      <c r="R254" s="92">
        <f t="shared" si="67"/>
        <v>0</v>
      </c>
      <c r="S254" s="92">
        <f t="shared" si="67"/>
        <v>0</v>
      </c>
      <c r="T254" s="92">
        <f t="shared" si="67"/>
        <v>0</v>
      </c>
      <c r="U254" s="92">
        <f t="shared" si="67"/>
        <v>0</v>
      </c>
      <c r="V254" s="92">
        <f t="shared" si="67"/>
        <v>0</v>
      </c>
      <c r="W254" s="92">
        <f t="shared" si="67"/>
        <v>0</v>
      </c>
      <c r="X254" s="92">
        <f t="shared" si="67"/>
        <v>0</v>
      </c>
      <c r="Y254" s="92">
        <f t="shared" si="67"/>
        <v>0</v>
      </c>
      <c r="Z254" s="92">
        <f t="shared" si="67"/>
        <v>0</v>
      </c>
      <c r="AA254" s="92">
        <f t="shared" si="67"/>
        <v>0</v>
      </c>
      <c r="AB254" s="92">
        <f t="shared" si="67"/>
        <v>0</v>
      </c>
      <c r="AC254" s="92">
        <f t="shared" si="67"/>
        <v>0</v>
      </c>
      <c r="AD254" s="92">
        <f t="shared" si="67"/>
        <v>0</v>
      </c>
      <c r="AE254" s="92">
        <f t="shared" si="67"/>
        <v>0</v>
      </c>
      <c r="AF254" s="92">
        <f t="shared" si="67"/>
        <v>0</v>
      </c>
      <c r="AG254" s="92">
        <f t="shared" si="67"/>
        <v>0</v>
      </c>
      <c r="AH254" s="92">
        <f t="shared" si="67"/>
        <v>0</v>
      </c>
      <c r="AI254" s="92">
        <f t="shared" si="67"/>
        <v>0</v>
      </c>
      <c r="AJ254" s="92">
        <f t="shared" si="67"/>
        <v>0</v>
      </c>
      <c r="AK254" s="92">
        <f t="shared" si="67"/>
        <v>0</v>
      </c>
      <c r="AL254" s="92">
        <f t="shared" si="67"/>
        <v>0</v>
      </c>
      <c r="AM254" s="92">
        <f t="shared" si="67"/>
        <v>0</v>
      </c>
      <c r="AN254" s="92">
        <f t="shared" si="67"/>
        <v>0</v>
      </c>
      <c r="AO254" s="92">
        <f t="shared" si="67"/>
        <v>0</v>
      </c>
      <c r="AP254" s="92">
        <f t="shared" si="67"/>
        <v>0</v>
      </c>
      <c r="BH254" s="3"/>
    </row>
    <row r="255" spans="3:60" x14ac:dyDescent="0.25">
      <c r="C255" s="32"/>
      <c r="F255" t="s">
        <v>230</v>
      </c>
      <c r="G255" s="63" t="s">
        <v>208</v>
      </c>
      <c r="H255" s="63"/>
      <c r="J255" s="92">
        <f t="shared" ref="J255:AP255" si="68">IF(AND(J$192 = 0, J$198), J$200 * J26 * J37 / (1 + $H229) / $H48, 0)</f>
        <v>0</v>
      </c>
      <c r="K255" s="92">
        <f t="shared" si="68"/>
        <v>0</v>
      </c>
      <c r="L255" s="92">
        <f t="shared" si="68"/>
        <v>0</v>
      </c>
      <c r="M255" s="92">
        <f t="shared" si="68"/>
        <v>0</v>
      </c>
      <c r="N255" s="92">
        <f t="shared" si="68"/>
        <v>0</v>
      </c>
      <c r="O255" s="92">
        <f t="shared" si="68"/>
        <v>0</v>
      </c>
      <c r="P255" s="92">
        <f t="shared" si="68"/>
        <v>0</v>
      </c>
      <c r="Q255" s="92">
        <f t="shared" si="68"/>
        <v>0</v>
      </c>
      <c r="R255" s="92">
        <f t="shared" si="68"/>
        <v>3.4749721715232586E-2</v>
      </c>
      <c r="S255" s="92">
        <f t="shared" si="68"/>
        <v>0</v>
      </c>
      <c r="T255" s="92">
        <f t="shared" si="68"/>
        <v>0</v>
      </c>
      <c r="U255" s="92">
        <f t="shared" si="68"/>
        <v>0</v>
      </c>
      <c r="V255" s="92">
        <f t="shared" si="68"/>
        <v>0</v>
      </c>
      <c r="W255" s="92">
        <f t="shared" si="68"/>
        <v>0</v>
      </c>
      <c r="X255" s="92">
        <f t="shared" si="68"/>
        <v>0</v>
      </c>
      <c r="Y255" s="92">
        <f t="shared" si="68"/>
        <v>0</v>
      </c>
      <c r="Z255" s="92">
        <f t="shared" si="68"/>
        <v>0</v>
      </c>
      <c r="AA255" s="92">
        <f t="shared" si="68"/>
        <v>0</v>
      </c>
      <c r="AB255" s="92">
        <f t="shared" si="68"/>
        <v>0</v>
      </c>
      <c r="AC255" s="92">
        <f t="shared" si="68"/>
        <v>0</v>
      </c>
      <c r="AD255" s="92">
        <f t="shared" si="68"/>
        <v>0</v>
      </c>
      <c r="AE255" s="92">
        <f t="shared" si="68"/>
        <v>0</v>
      </c>
      <c r="AF255" s="92">
        <f t="shared" si="68"/>
        <v>0</v>
      </c>
      <c r="AG255" s="92">
        <f t="shared" si="68"/>
        <v>0</v>
      </c>
      <c r="AH255" s="92">
        <f t="shared" si="68"/>
        <v>0</v>
      </c>
      <c r="AI255" s="92">
        <f t="shared" si="68"/>
        <v>0</v>
      </c>
      <c r="AJ255" s="92">
        <f t="shared" si="68"/>
        <v>0</v>
      </c>
      <c r="AK255" s="92">
        <f t="shared" si="68"/>
        <v>0</v>
      </c>
      <c r="AL255" s="92">
        <f t="shared" si="68"/>
        <v>0</v>
      </c>
      <c r="AM255" s="92">
        <f t="shared" si="68"/>
        <v>0</v>
      </c>
      <c r="AN255" s="92">
        <f t="shared" si="68"/>
        <v>0</v>
      </c>
      <c r="AO255" s="92">
        <f t="shared" si="68"/>
        <v>0</v>
      </c>
      <c r="AP255" s="92">
        <f t="shared" si="68"/>
        <v>0</v>
      </c>
      <c r="BH255" s="3"/>
    </row>
    <row r="256" spans="3:60" x14ac:dyDescent="0.25">
      <c r="C256" s="32"/>
      <c r="F256" t="s">
        <v>231</v>
      </c>
      <c r="G256" s="63" t="s">
        <v>208</v>
      </c>
      <c r="H256" s="63"/>
      <c r="J256" s="92">
        <f t="shared" ref="J256:AP256" si="69">IF(AND(J$192 = 0, J$198), J$200 * J27 * J38 / (1 + $H230) / $H49, 0)</f>
        <v>0</v>
      </c>
      <c r="K256" s="92">
        <f t="shared" si="69"/>
        <v>0</v>
      </c>
      <c r="L256" s="92">
        <f t="shared" si="69"/>
        <v>0</v>
      </c>
      <c r="M256" s="92">
        <f t="shared" si="69"/>
        <v>0</v>
      </c>
      <c r="N256" s="92">
        <f t="shared" si="69"/>
        <v>0</v>
      </c>
      <c r="O256" s="92">
        <f t="shared" si="69"/>
        <v>0</v>
      </c>
      <c r="P256" s="92">
        <f t="shared" si="69"/>
        <v>0</v>
      </c>
      <c r="Q256" s="92">
        <f t="shared" si="69"/>
        <v>0</v>
      </c>
      <c r="R256" s="92">
        <f t="shared" si="69"/>
        <v>0.17188580672982975</v>
      </c>
      <c r="S256" s="92">
        <f t="shared" si="69"/>
        <v>0</v>
      </c>
      <c r="T256" s="92">
        <f t="shared" si="69"/>
        <v>0</v>
      </c>
      <c r="U256" s="92">
        <f t="shared" si="69"/>
        <v>0</v>
      </c>
      <c r="V256" s="92">
        <f t="shared" si="69"/>
        <v>0</v>
      </c>
      <c r="W256" s="92">
        <f t="shared" si="69"/>
        <v>0</v>
      </c>
      <c r="X256" s="92">
        <f t="shared" si="69"/>
        <v>0</v>
      </c>
      <c r="Y256" s="92">
        <f t="shared" si="69"/>
        <v>0</v>
      </c>
      <c r="Z256" s="92">
        <f t="shared" si="69"/>
        <v>0</v>
      </c>
      <c r="AA256" s="92">
        <f t="shared" si="69"/>
        <v>0</v>
      </c>
      <c r="AB256" s="92">
        <f t="shared" si="69"/>
        <v>0</v>
      </c>
      <c r="AC256" s="92">
        <f t="shared" si="69"/>
        <v>0</v>
      </c>
      <c r="AD256" s="92">
        <f t="shared" si="69"/>
        <v>0</v>
      </c>
      <c r="AE256" s="92">
        <f t="shared" si="69"/>
        <v>0</v>
      </c>
      <c r="AF256" s="92">
        <f t="shared" si="69"/>
        <v>0</v>
      </c>
      <c r="AG256" s="92">
        <f t="shared" si="69"/>
        <v>0</v>
      </c>
      <c r="AH256" s="92">
        <f t="shared" si="69"/>
        <v>0</v>
      </c>
      <c r="AI256" s="92">
        <f t="shared" si="69"/>
        <v>0</v>
      </c>
      <c r="AJ256" s="92">
        <f t="shared" si="69"/>
        <v>0</v>
      </c>
      <c r="AK256" s="92">
        <f t="shared" si="69"/>
        <v>0</v>
      </c>
      <c r="AL256" s="92">
        <f t="shared" si="69"/>
        <v>0</v>
      </c>
      <c r="AM256" s="92">
        <f t="shared" si="69"/>
        <v>0</v>
      </c>
      <c r="AN256" s="92">
        <f t="shared" si="69"/>
        <v>0</v>
      </c>
      <c r="AO256" s="92">
        <f t="shared" si="69"/>
        <v>0</v>
      </c>
      <c r="AP256" s="92">
        <f t="shared" si="69"/>
        <v>0</v>
      </c>
      <c r="BH256" s="3"/>
    </row>
    <row r="257" spans="2:60" x14ac:dyDescent="0.25">
      <c r="C257" s="32"/>
      <c r="F257" t="s">
        <v>232</v>
      </c>
      <c r="G257" s="63" t="s">
        <v>208</v>
      </c>
      <c r="H257" s="63"/>
      <c r="J257" s="92">
        <f t="shared" ref="J257:AP257" si="70">IF(AND(J$192 = 0, J$198), J$200 * J28 * J39 / (1 + $H231) / $H50, 0)</f>
        <v>0</v>
      </c>
      <c r="K257" s="92">
        <f t="shared" si="70"/>
        <v>0</v>
      </c>
      <c r="L257" s="92">
        <f t="shared" si="70"/>
        <v>0</v>
      </c>
      <c r="M257" s="92">
        <f t="shared" si="70"/>
        <v>0</v>
      </c>
      <c r="N257" s="92">
        <f t="shared" si="70"/>
        <v>0</v>
      </c>
      <c r="O257" s="92">
        <f t="shared" si="70"/>
        <v>0</v>
      </c>
      <c r="P257" s="92">
        <f t="shared" si="70"/>
        <v>0</v>
      </c>
      <c r="Q257" s="92">
        <f t="shared" si="70"/>
        <v>0</v>
      </c>
      <c r="R257" s="92">
        <f t="shared" si="70"/>
        <v>0</v>
      </c>
      <c r="S257" s="92">
        <f t="shared" si="70"/>
        <v>0</v>
      </c>
      <c r="T257" s="92">
        <f t="shared" si="70"/>
        <v>0</v>
      </c>
      <c r="U257" s="92">
        <f t="shared" si="70"/>
        <v>0</v>
      </c>
      <c r="V257" s="92">
        <f t="shared" si="70"/>
        <v>0</v>
      </c>
      <c r="W257" s="92">
        <f t="shared" si="70"/>
        <v>0</v>
      </c>
      <c r="X257" s="92">
        <f t="shared" si="70"/>
        <v>0</v>
      </c>
      <c r="Y257" s="92">
        <f t="shared" si="70"/>
        <v>0</v>
      </c>
      <c r="Z257" s="92">
        <f t="shared" si="70"/>
        <v>0</v>
      </c>
      <c r="AA257" s="92">
        <f t="shared" si="70"/>
        <v>0</v>
      </c>
      <c r="AB257" s="92">
        <f t="shared" si="70"/>
        <v>0</v>
      </c>
      <c r="AC257" s="92">
        <f t="shared" si="70"/>
        <v>0</v>
      </c>
      <c r="AD257" s="92">
        <f t="shared" si="70"/>
        <v>0</v>
      </c>
      <c r="AE257" s="92">
        <f t="shared" si="70"/>
        <v>0</v>
      </c>
      <c r="AF257" s="92">
        <f t="shared" si="70"/>
        <v>0</v>
      </c>
      <c r="AG257" s="92">
        <f t="shared" si="70"/>
        <v>0</v>
      </c>
      <c r="AH257" s="92">
        <f t="shared" si="70"/>
        <v>0</v>
      </c>
      <c r="AI257" s="92">
        <f t="shared" si="70"/>
        <v>0</v>
      </c>
      <c r="AJ257" s="92">
        <f t="shared" si="70"/>
        <v>0</v>
      </c>
      <c r="AK257" s="92">
        <f t="shared" si="70"/>
        <v>0</v>
      </c>
      <c r="AL257" s="92">
        <f t="shared" si="70"/>
        <v>0</v>
      </c>
      <c r="AM257" s="92">
        <f t="shared" si="70"/>
        <v>0</v>
      </c>
      <c r="AN257" s="92">
        <f t="shared" si="70"/>
        <v>0</v>
      </c>
      <c r="AO257" s="92">
        <f t="shared" si="70"/>
        <v>0</v>
      </c>
      <c r="AP257" s="92">
        <f t="shared" si="70"/>
        <v>0</v>
      </c>
      <c r="BH257" s="3"/>
    </row>
    <row r="258" spans="2:60" x14ac:dyDescent="0.25">
      <c r="C258" s="32"/>
      <c r="F258" t="s">
        <v>233</v>
      </c>
      <c r="G258" s="63" t="s">
        <v>208</v>
      </c>
      <c r="H258" s="63"/>
      <c r="J258" s="92">
        <f t="shared" ref="J258:AP258" si="71">IF(AND(J$192 = 0, J$198), J$200 * J29 * J40 / (1 + $H232) / $H51, 0)</f>
        <v>0</v>
      </c>
      <c r="K258" s="92">
        <f t="shared" si="71"/>
        <v>0</v>
      </c>
      <c r="L258" s="92">
        <f t="shared" si="71"/>
        <v>0</v>
      </c>
      <c r="M258" s="92">
        <f t="shared" si="71"/>
        <v>0</v>
      </c>
      <c r="N258" s="92">
        <f t="shared" si="71"/>
        <v>0</v>
      </c>
      <c r="O258" s="92">
        <f t="shared" si="71"/>
        <v>0</v>
      </c>
      <c r="P258" s="92">
        <f t="shared" si="71"/>
        <v>0</v>
      </c>
      <c r="Q258" s="92">
        <f t="shared" si="71"/>
        <v>0</v>
      </c>
      <c r="R258" s="92">
        <f t="shared" si="71"/>
        <v>0.11089563783981435</v>
      </c>
      <c r="S258" s="92">
        <f t="shared" si="71"/>
        <v>0</v>
      </c>
      <c r="T258" s="92">
        <f t="shared" si="71"/>
        <v>0</v>
      </c>
      <c r="U258" s="92">
        <f t="shared" si="71"/>
        <v>0</v>
      </c>
      <c r="V258" s="92">
        <f t="shared" si="71"/>
        <v>0</v>
      </c>
      <c r="W258" s="92">
        <f t="shared" si="71"/>
        <v>0</v>
      </c>
      <c r="X258" s="92">
        <f t="shared" si="71"/>
        <v>0</v>
      </c>
      <c r="Y258" s="92">
        <f t="shared" si="71"/>
        <v>0</v>
      </c>
      <c r="Z258" s="92">
        <f t="shared" si="71"/>
        <v>0</v>
      </c>
      <c r="AA258" s="92">
        <f t="shared" si="71"/>
        <v>0</v>
      </c>
      <c r="AB258" s="92">
        <f t="shared" si="71"/>
        <v>0</v>
      </c>
      <c r="AC258" s="92">
        <f t="shared" si="71"/>
        <v>0</v>
      </c>
      <c r="AD258" s="92">
        <f t="shared" si="71"/>
        <v>0</v>
      </c>
      <c r="AE258" s="92">
        <f t="shared" si="71"/>
        <v>0</v>
      </c>
      <c r="AF258" s="92">
        <f t="shared" si="71"/>
        <v>0</v>
      </c>
      <c r="AG258" s="92">
        <f t="shared" si="71"/>
        <v>0</v>
      </c>
      <c r="AH258" s="92">
        <f t="shared" si="71"/>
        <v>0</v>
      </c>
      <c r="AI258" s="92">
        <f t="shared" si="71"/>
        <v>0</v>
      </c>
      <c r="AJ258" s="92">
        <f t="shared" si="71"/>
        <v>0</v>
      </c>
      <c r="AK258" s="92">
        <f t="shared" si="71"/>
        <v>0</v>
      </c>
      <c r="AL258" s="92">
        <f t="shared" si="71"/>
        <v>0</v>
      </c>
      <c r="AM258" s="92">
        <f t="shared" si="71"/>
        <v>0</v>
      </c>
      <c r="AN258" s="92">
        <f t="shared" si="71"/>
        <v>0</v>
      </c>
      <c r="AO258" s="92">
        <f t="shared" si="71"/>
        <v>0</v>
      </c>
      <c r="AP258" s="92">
        <f t="shared" si="71"/>
        <v>0</v>
      </c>
      <c r="BH258" s="3"/>
    </row>
    <row r="259" spans="2:60" x14ac:dyDescent="0.25">
      <c r="C259" s="32"/>
      <c r="F259" t="s">
        <v>234</v>
      </c>
      <c r="G259" s="63" t="s">
        <v>208</v>
      </c>
      <c r="H259" s="63"/>
      <c r="J259" s="92">
        <f t="shared" ref="J259:AP259" si="72">IF(AND(J$192 = 0, J$198), J$200 * J30 * J41 / (1 + $H233) / $H52, 0)</f>
        <v>0</v>
      </c>
      <c r="K259" s="92">
        <f t="shared" si="72"/>
        <v>0</v>
      </c>
      <c r="L259" s="92">
        <f t="shared" si="72"/>
        <v>0</v>
      </c>
      <c r="M259" s="92">
        <f t="shared" si="72"/>
        <v>0</v>
      </c>
      <c r="N259" s="92">
        <f t="shared" si="72"/>
        <v>0</v>
      </c>
      <c r="O259" s="92">
        <f t="shared" si="72"/>
        <v>0</v>
      </c>
      <c r="P259" s="92">
        <f t="shared" si="72"/>
        <v>0</v>
      </c>
      <c r="Q259" s="92">
        <f t="shared" si="72"/>
        <v>0</v>
      </c>
      <c r="R259" s="92">
        <f t="shared" si="72"/>
        <v>0</v>
      </c>
      <c r="S259" s="92">
        <f t="shared" si="72"/>
        <v>0</v>
      </c>
      <c r="T259" s="92">
        <f t="shared" si="72"/>
        <v>0</v>
      </c>
      <c r="U259" s="92">
        <f t="shared" si="72"/>
        <v>0</v>
      </c>
      <c r="V259" s="92">
        <f t="shared" si="72"/>
        <v>0</v>
      </c>
      <c r="W259" s="92">
        <f t="shared" si="72"/>
        <v>0</v>
      </c>
      <c r="X259" s="92">
        <f t="shared" si="72"/>
        <v>0</v>
      </c>
      <c r="Y259" s="92">
        <f t="shared" si="72"/>
        <v>0</v>
      </c>
      <c r="Z259" s="92">
        <f t="shared" si="72"/>
        <v>0</v>
      </c>
      <c r="AA259" s="92">
        <f t="shared" si="72"/>
        <v>0</v>
      </c>
      <c r="AB259" s="92">
        <f t="shared" si="72"/>
        <v>0</v>
      </c>
      <c r="AC259" s="92">
        <f t="shared" si="72"/>
        <v>0</v>
      </c>
      <c r="AD259" s="92">
        <f t="shared" si="72"/>
        <v>0</v>
      </c>
      <c r="AE259" s="92">
        <f t="shared" si="72"/>
        <v>0</v>
      </c>
      <c r="AF259" s="92">
        <f t="shared" si="72"/>
        <v>0</v>
      </c>
      <c r="AG259" s="92">
        <f t="shared" si="72"/>
        <v>0</v>
      </c>
      <c r="AH259" s="92">
        <f t="shared" si="72"/>
        <v>0</v>
      </c>
      <c r="AI259" s="92">
        <f t="shared" si="72"/>
        <v>0</v>
      </c>
      <c r="AJ259" s="92">
        <f t="shared" si="72"/>
        <v>0</v>
      </c>
      <c r="AK259" s="92">
        <f t="shared" si="72"/>
        <v>0</v>
      </c>
      <c r="AL259" s="92">
        <f t="shared" si="72"/>
        <v>0</v>
      </c>
      <c r="AM259" s="92">
        <f t="shared" si="72"/>
        <v>0</v>
      </c>
      <c r="AN259" s="92">
        <f t="shared" si="72"/>
        <v>0</v>
      </c>
      <c r="AO259" s="92">
        <f t="shared" si="72"/>
        <v>0</v>
      </c>
      <c r="AP259" s="92">
        <f t="shared" si="72"/>
        <v>0</v>
      </c>
      <c r="BH259" s="3"/>
    </row>
    <row r="260" spans="2:60" x14ac:dyDescent="0.25">
      <c r="C260" s="32"/>
      <c r="F260" s="37" t="s">
        <v>235</v>
      </c>
      <c r="G260" s="133" t="s">
        <v>208</v>
      </c>
      <c r="H260" s="133"/>
      <c r="I260" s="37"/>
      <c r="J260" s="82">
        <f t="shared" ref="J260:AP260" si="73">IF(AND(J$192 = 0, J$198), J$200 * J31 * J42 / (1 + $H234) / $H53, 0)</f>
        <v>334.75773550352369</v>
      </c>
      <c r="K260" s="82">
        <f t="shared" si="73"/>
        <v>77.993313577379595</v>
      </c>
      <c r="L260" s="82">
        <f t="shared" si="73"/>
        <v>0</v>
      </c>
      <c r="M260" s="82">
        <f t="shared" si="73"/>
        <v>133.36223566418397</v>
      </c>
      <c r="N260" s="82">
        <f t="shared" si="73"/>
        <v>31.387255745818745</v>
      </c>
      <c r="O260" s="82">
        <f t="shared" si="73"/>
        <v>0</v>
      </c>
      <c r="P260" s="82">
        <f t="shared" si="73"/>
        <v>5.3455331825570651</v>
      </c>
      <c r="Q260" s="82">
        <f t="shared" si="73"/>
        <v>0</v>
      </c>
      <c r="R260" s="82">
        <f t="shared" si="73"/>
        <v>0</v>
      </c>
      <c r="S260" s="82">
        <f t="shared" si="73"/>
        <v>7.1736806568331979E-2</v>
      </c>
      <c r="T260" s="82">
        <f t="shared" si="73"/>
        <v>10.899130780683938</v>
      </c>
      <c r="U260" s="82">
        <f t="shared" si="73"/>
        <v>0</v>
      </c>
      <c r="V260" s="82">
        <f t="shared" si="73"/>
        <v>0</v>
      </c>
      <c r="W260" s="82">
        <f t="shared" si="73"/>
        <v>0</v>
      </c>
      <c r="X260" s="82">
        <f t="shared" si="73"/>
        <v>0</v>
      </c>
      <c r="Y260" s="82">
        <f t="shared" si="73"/>
        <v>0</v>
      </c>
      <c r="Z260" s="82">
        <f t="shared" si="73"/>
        <v>0</v>
      </c>
      <c r="AA260" s="82">
        <f t="shared" si="73"/>
        <v>0</v>
      </c>
      <c r="AB260" s="82">
        <f t="shared" si="73"/>
        <v>0</v>
      </c>
      <c r="AC260" s="82">
        <f t="shared" si="73"/>
        <v>0</v>
      </c>
      <c r="AD260" s="82">
        <f t="shared" si="73"/>
        <v>0</v>
      </c>
      <c r="AE260" s="82">
        <f t="shared" si="73"/>
        <v>0</v>
      </c>
      <c r="AF260" s="82">
        <f t="shared" si="73"/>
        <v>0</v>
      </c>
      <c r="AG260" s="82">
        <f t="shared" si="73"/>
        <v>0</v>
      </c>
      <c r="AH260" s="82">
        <f t="shared" si="73"/>
        <v>0</v>
      </c>
      <c r="AI260" s="82">
        <f t="shared" si="73"/>
        <v>0</v>
      </c>
      <c r="AJ260" s="82">
        <f t="shared" si="73"/>
        <v>0</v>
      </c>
      <c r="AK260" s="82">
        <f t="shared" si="73"/>
        <v>0</v>
      </c>
      <c r="AL260" s="82">
        <f t="shared" si="73"/>
        <v>0</v>
      </c>
      <c r="AM260" s="82">
        <f t="shared" si="73"/>
        <v>0</v>
      </c>
      <c r="AN260" s="82">
        <f t="shared" si="73"/>
        <v>0</v>
      </c>
      <c r="AO260" s="82">
        <f t="shared" si="73"/>
        <v>0</v>
      </c>
      <c r="AP260" s="82">
        <f t="shared" si="73"/>
        <v>0</v>
      </c>
      <c r="BH260" s="3"/>
    </row>
    <row r="261" spans="2:60" x14ac:dyDescent="0.25">
      <c r="H261" s="181"/>
    </row>
    <row r="262" spans="2:60" x14ac:dyDescent="0.25">
      <c r="B262" s="30" t="s">
        <v>654</v>
      </c>
      <c r="C262" s="30"/>
      <c r="D262" s="30"/>
      <c r="E262" s="30"/>
      <c r="F262" s="30"/>
      <c r="G262" s="30"/>
      <c r="H262" s="30"/>
      <c r="I262" s="30"/>
      <c r="J262" s="30"/>
      <c r="K262" s="30"/>
      <c r="L262" s="30"/>
      <c r="M262" s="30"/>
      <c r="N262" s="30"/>
      <c r="O262" s="30"/>
      <c r="P262" s="30"/>
      <c r="Q262" s="30"/>
      <c r="R262" s="30"/>
      <c r="S262" s="30"/>
      <c r="T262" s="30"/>
      <c r="U262" s="30"/>
      <c r="V262" s="30"/>
      <c r="W262" s="30"/>
      <c r="X262" s="30"/>
      <c r="Y262" s="30"/>
      <c r="Z262" s="30"/>
      <c r="AA262" s="30"/>
      <c r="AB262" s="30"/>
      <c r="AC262" s="30"/>
      <c r="AD262" s="30"/>
      <c r="AE262" s="30"/>
      <c r="AF262" s="30"/>
      <c r="AG262" s="30"/>
      <c r="AH262" s="30"/>
      <c r="AI262" s="30"/>
      <c r="AJ262" s="30"/>
      <c r="AK262" s="30"/>
      <c r="AL262" s="30"/>
      <c r="AM262" s="30"/>
      <c r="AN262" s="30"/>
      <c r="AO262" s="30"/>
      <c r="AP262" s="30"/>
      <c r="AQ262" s="30"/>
      <c r="AR262" s="30"/>
      <c r="BH262" s="3"/>
    </row>
    <row r="263" spans="2:60" x14ac:dyDescent="0.25">
      <c r="H263" s="181"/>
      <c r="J263" s="63"/>
      <c r="K263" s="63"/>
      <c r="L263" s="63"/>
      <c r="M263" s="63"/>
      <c r="N263" s="63"/>
      <c r="O263" s="63"/>
      <c r="P263" s="63"/>
      <c r="Q263" s="63"/>
      <c r="R263" s="63"/>
      <c r="S263" s="63"/>
      <c r="T263" s="63"/>
      <c r="U263" s="63"/>
      <c r="V263" s="63"/>
      <c r="W263" s="63"/>
      <c r="X263" s="63"/>
      <c r="Y263" s="63"/>
      <c r="Z263" s="63"/>
      <c r="AA263" s="63"/>
      <c r="AB263" s="63"/>
      <c r="AC263" s="63"/>
      <c r="AD263" s="63"/>
      <c r="AE263" s="63"/>
      <c r="AF263" s="63"/>
      <c r="AG263" s="63"/>
      <c r="AH263" s="63"/>
      <c r="AI263" s="63"/>
      <c r="AJ263" s="63"/>
      <c r="AK263" s="63"/>
      <c r="AL263" s="63"/>
      <c r="AM263" s="63"/>
      <c r="AN263" s="63"/>
      <c r="AO263" s="63"/>
      <c r="AP263" s="63"/>
    </row>
    <row r="264" spans="2:60" x14ac:dyDescent="0.25">
      <c r="C264" s="29" t="s">
        <v>655</v>
      </c>
      <c r="H264" s="181"/>
      <c r="J264" s="63"/>
      <c r="K264" s="63"/>
      <c r="L264" s="63"/>
      <c r="M264" s="63"/>
      <c r="N264" s="63"/>
      <c r="O264" s="63"/>
      <c r="P264" s="63"/>
      <c r="Q264" s="63"/>
      <c r="R264" s="63"/>
      <c r="S264" s="63"/>
      <c r="T264" s="63"/>
      <c r="U264" s="63"/>
      <c r="V264" s="63"/>
      <c r="W264" s="63"/>
      <c r="X264" s="63"/>
      <c r="Y264" s="63"/>
      <c r="Z264" s="63"/>
      <c r="AA264" s="63"/>
      <c r="AB264" s="63"/>
      <c r="AC264" s="63"/>
      <c r="AD264" s="63"/>
      <c r="AE264" s="63"/>
      <c r="AF264" s="63"/>
      <c r="AG264" s="63"/>
      <c r="AH264" s="63"/>
      <c r="AI264" s="63"/>
      <c r="AJ264" s="63"/>
      <c r="AK264" s="63"/>
      <c r="AL264" s="63"/>
      <c r="AM264" s="63"/>
      <c r="AN264" s="63"/>
      <c r="AO264" s="63"/>
      <c r="AP264" s="63"/>
    </row>
    <row r="265" spans="2:60" x14ac:dyDescent="0.25">
      <c r="H265" s="181"/>
      <c r="J265" s="63"/>
      <c r="K265" s="63"/>
      <c r="L265" s="63"/>
      <c r="M265" s="63"/>
      <c r="N265" s="63"/>
      <c r="O265" s="63"/>
      <c r="P265" s="63"/>
      <c r="Q265" s="63"/>
      <c r="R265" s="63"/>
      <c r="S265" s="63"/>
      <c r="T265" s="63"/>
      <c r="U265" s="63"/>
      <c r="V265" s="63"/>
      <c r="W265" s="63"/>
      <c r="X265" s="63"/>
      <c r="Y265" s="63"/>
      <c r="Z265" s="63"/>
      <c r="AA265" s="63"/>
      <c r="AB265" s="63"/>
      <c r="AC265" s="63"/>
      <c r="AD265" s="63"/>
      <c r="AE265" s="63"/>
      <c r="AF265" s="63"/>
      <c r="AG265" s="63"/>
      <c r="AH265" s="63"/>
      <c r="AI265" s="63"/>
      <c r="AJ265" s="63"/>
      <c r="AK265" s="63"/>
      <c r="AL265" s="63"/>
      <c r="AM265" s="63"/>
      <c r="AN265" s="63"/>
      <c r="AO265" s="63"/>
      <c r="AP265" s="63"/>
    </row>
    <row r="266" spans="2:60" x14ac:dyDescent="0.25">
      <c r="C266" s="31" t="str">
        <f ca="1">INDEX('Version control'!$H$34:$H$56,MATCH($A$1,'Version control'!$F$34:$F$56,0),1)&amp;"-I: System peak based on chargeable load"</f>
        <v>Section 106-I: System peak based on chargeable load</v>
      </c>
      <c r="D266" s="31"/>
      <c r="E266" s="31"/>
      <c r="F266" s="31"/>
      <c r="G266" s="31"/>
      <c r="H266" s="31"/>
      <c r="I266" s="31"/>
      <c r="J266" s="31"/>
      <c r="K266" s="31"/>
      <c r="L266" s="31"/>
      <c r="M266" s="31"/>
      <c r="N266" s="31"/>
      <c r="O266" s="31"/>
      <c r="P266" s="31"/>
      <c r="Q266" s="31"/>
      <c r="R266" s="31"/>
      <c r="S266" s="31"/>
      <c r="T266" s="31"/>
      <c r="U266" s="31"/>
      <c r="V266" s="31"/>
      <c r="W266" s="31"/>
      <c r="X266" s="31"/>
      <c r="Y266" s="31"/>
      <c r="Z266" s="31"/>
      <c r="AA266" s="31"/>
      <c r="AB266" s="31"/>
      <c r="AC266" s="31"/>
      <c r="AD266" s="31"/>
      <c r="AE266" s="31"/>
      <c r="AF266" s="31"/>
      <c r="AG266" s="31"/>
      <c r="AH266" s="31"/>
      <c r="AI266" s="31"/>
      <c r="AJ266" s="31"/>
      <c r="AK266" s="31"/>
      <c r="AL266" s="31"/>
      <c r="AM266" s="31"/>
      <c r="AN266" s="31"/>
      <c r="AO266" s="31"/>
      <c r="AP266" s="31"/>
      <c r="AQ266" s="31"/>
      <c r="AR266" s="31"/>
      <c r="BH266" s="3"/>
    </row>
    <row r="267" spans="2:60" x14ac:dyDescent="0.25">
      <c r="H267" s="181"/>
    </row>
    <row r="268" spans="2:60" x14ac:dyDescent="0.25">
      <c r="E268" s="32" t="s">
        <v>656</v>
      </c>
      <c r="F268" s="29"/>
      <c r="H268" s="190" t="s">
        <v>657</v>
      </c>
      <c r="J268" s="63"/>
      <c r="K268" s="63"/>
      <c r="L268" s="63"/>
      <c r="M268" s="63"/>
      <c r="N268" s="63"/>
      <c r="O268" s="63"/>
      <c r="P268" s="63"/>
      <c r="Q268" s="63"/>
      <c r="R268" s="63"/>
      <c r="S268" s="63"/>
      <c r="T268" s="63"/>
      <c r="U268" s="63"/>
      <c r="V268" s="63"/>
      <c r="W268" s="63"/>
      <c r="X268" s="63"/>
      <c r="Y268" s="63"/>
      <c r="Z268" s="63"/>
      <c r="AA268" s="63"/>
      <c r="AB268" s="63"/>
      <c r="AC268" s="63"/>
      <c r="AD268" s="63"/>
      <c r="AE268" s="63"/>
      <c r="AF268" s="63"/>
      <c r="AG268" s="63"/>
      <c r="AH268" s="63"/>
      <c r="AI268" s="63"/>
      <c r="AJ268" s="63"/>
      <c r="AK268" s="63"/>
      <c r="AL268" s="63"/>
      <c r="AM268" s="63"/>
      <c r="AN268" s="63"/>
      <c r="AO268" s="63"/>
      <c r="AP268" s="63"/>
    </row>
    <row r="269" spans="2:60" x14ac:dyDescent="0.25">
      <c r="C269" s="32"/>
      <c r="F269" s="23" t="s">
        <v>227</v>
      </c>
      <c r="G269" s="23" t="s">
        <v>208</v>
      </c>
      <c r="H269" s="104">
        <f t="shared" ref="H269:H277" si="74">SUM(J269:AP269)</f>
        <v>1050.3506903089601</v>
      </c>
      <c r="I269" s="163"/>
      <c r="J269" s="163">
        <f t="shared" ref="J269:AP269" si="75">J239 + J252 + J168</f>
        <v>504.99710874443343</v>
      </c>
      <c r="K269" s="163">
        <f t="shared" si="75"/>
        <v>76.643447200921486</v>
      </c>
      <c r="L269" s="163">
        <f t="shared" si="75"/>
        <v>33.578561750203392</v>
      </c>
      <c r="M269" s="163">
        <f t="shared" si="75"/>
        <v>182.31384904907239</v>
      </c>
      <c r="N269" s="163">
        <f t="shared" si="75"/>
        <v>41.849875624660811</v>
      </c>
      <c r="O269" s="163">
        <f t="shared" si="75"/>
        <v>2.0099809253542964</v>
      </c>
      <c r="P269" s="163">
        <f t="shared" si="75"/>
        <v>6.8344521063949308</v>
      </c>
      <c r="Q269" s="163">
        <f t="shared" si="75"/>
        <v>0</v>
      </c>
      <c r="R269" s="163">
        <f t="shared" si="75"/>
        <v>0.1401997312092883</v>
      </c>
      <c r="S269" s="163">
        <f t="shared" si="75"/>
        <v>8.0188777549805773E-2</v>
      </c>
      <c r="T269" s="163">
        <f t="shared" si="75"/>
        <v>15.626393135876279</v>
      </c>
      <c r="U269" s="163">
        <f t="shared" si="75"/>
        <v>265.2659836550751</v>
      </c>
      <c r="V269" s="163">
        <f t="shared" si="75"/>
        <v>18.078424781366724</v>
      </c>
      <c r="W269" s="163">
        <f t="shared" si="75"/>
        <v>128.34070870267627</v>
      </c>
      <c r="X269" s="163">
        <f t="shared" si="75"/>
        <v>1.6964584621122953</v>
      </c>
      <c r="Y269" s="163">
        <f t="shared" si="75"/>
        <v>2.3031073257019976</v>
      </c>
      <c r="Z269" s="163">
        <f t="shared" si="75"/>
        <v>0.75886355090548818</v>
      </c>
      <c r="AA269" s="163">
        <f t="shared" si="75"/>
        <v>5.1230948297946739E-3</v>
      </c>
      <c r="AB269" s="163">
        <f t="shared" si="75"/>
        <v>11.719058267970393</v>
      </c>
      <c r="AC269" s="163">
        <f t="shared" si="75"/>
        <v>-0.79790983444730024</v>
      </c>
      <c r="AD269" s="163">
        <f t="shared" si="75"/>
        <v>0</v>
      </c>
      <c r="AE269" s="163">
        <f t="shared" si="75"/>
        <v>-44.705171719183575</v>
      </c>
      <c r="AF269" s="163">
        <f t="shared" si="75"/>
        <v>0</v>
      </c>
      <c r="AG269" s="163">
        <f t="shared" si="75"/>
        <v>-6.8782882829601828</v>
      </c>
      <c r="AH269" s="163">
        <f t="shared" si="75"/>
        <v>0</v>
      </c>
      <c r="AI269" s="163">
        <f t="shared" si="75"/>
        <v>-0.42392083025114152</v>
      </c>
      <c r="AJ269" s="163">
        <f t="shared" si="75"/>
        <v>0</v>
      </c>
      <c r="AK269" s="163">
        <f t="shared" si="75"/>
        <v>0</v>
      </c>
      <c r="AL269" s="163">
        <f t="shared" si="75"/>
        <v>0</v>
      </c>
      <c r="AM269" s="163">
        <f t="shared" si="75"/>
        <v>-77.108292462041263</v>
      </c>
      <c r="AN269" s="163">
        <f t="shared" si="75"/>
        <v>0</v>
      </c>
      <c r="AO269" s="163">
        <f t="shared" si="75"/>
        <v>-111.97751144847034</v>
      </c>
      <c r="AP269" s="163">
        <f t="shared" si="75"/>
        <v>0</v>
      </c>
      <c r="BH269" s="3"/>
    </row>
    <row r="270" spans="2:60" x14ac:dyDescent="0.25">
      <c r="C270" s="32"/>
      <c r="F270" t="s">
        <v>228</v>
      </c>
      <c r="G270" t="s">
        <v>208</v>
      </c>
      <c r="H270" s="124">
        <f t="shared" si="74"/>
        <v>0</v>
      </c>
      <c r="I270" s="92"/>
      <c r="J270" s="92">
        <f t="shared" ref="J270:AP270" si="76">J240 + J253 + J169</f>
        <v>0</v>
      </c>
      <c r="K270" s="92">
        <f t="shared" si="76"/>
        <v>0</v>
      </c>
      <c r="L270" s="92">
        <f t="shared" si="76"/>
        <v>0</v>
      </c>
      <c r="M270" s="92">
        <f t="shared" si="76"/>
        <v>0</v>
      </c>
      <c r="N270" s="92">
        <f t="shared" si="76"/>
        <v>0</v>
      </c>
      <c r="O270" s="92">
        <f t="shared" si="76"/>
        <v>0</v>
      </c>
      <c r="P270" s="92">
        <f t="shared" si="76"/>
        <v>0</v>
      </c>
      <c r="Q270" s="92">
        <f t="shared" si="76"/>
        <v>0</v>
      </c>
      <c r="R270" s="92">
        <f t="shared" si="76"/>
        <v>0</v>
      </c>
      <c r="S270" s="92">
        <f t="shared" si="76"/>
        <v>0</v>
      </c>
      <c r="T270" s="92">
        <f t="shared" si="76"/>
        <v>0</v>
      </c>
      <c r="U270" s="92">
        <f t="shared" si="76"/>
        <v>0</v>
      </c>
      <c r="V270" s="92">
        <f t="shared" si="76"/>
        <v>0</v>
      </c>
      <c r="W270" s="92">
        <f t="shared" si="76"/>
        <v>0</v>
      </c>
      <c r="X270" s="92">
        <f t="shared" si="76"/>
        <v>0</v>
      </c>
      <c r="Y270" s="92">
        <f t="shared" si="76"/>
        <v>0</v>
      </c>
      <c r="Z270" s="92">
        <f t="shared" si="76"/>
        <v>0</v>
      </c>
      <c r="AA270" s="92">
        <f t="shared" si="76"/>
        <v>0</v>
      </c>
      <c r="AB270" s="92">
        <f t="shared" si="76"/>
        <v>0</v>
      </c>
      <c r="AC270" s="92">
        <f t="shared" si="76"/>
        <v>0</v>
      </c>
      <c r="AD270" s="92">
        <f t="shared" si="76"/>
        <v>0</v>
      </c>
      <c r="AE270" s="92">
        <f t="shared" si="76"/>
        <v>0</v>
      </c>
      <c r="AF270" s="92">
        <f t="shared" si="76"/>
        <v>0</v>
      </c>
      <c r="AG270" s="92">
        <f t="shared" si="76"/>
        <v>0</v>
      </c>
      <c r="AH270" s="92">
        <f t="shared" si="76"/>
        <v>0</v>
      </c>
      <c r="AI270" s="92">
        <f t="shared" si="76"/>
        <v>0</v>
      </c>
      <c r="AJ270" s="92">
        <f t="shared" si="76"/>
        <v>0</v>
      </c>
      <c r="AK270" s="92">
        <f t="shared" si="76"/>
        <v>0</v>
      </c>
      <c r="AL270" s="92">
        <f t="shared" si="76"/>
        <v>0</v>
      </c>
      <c r="AM270" s="92">
        <f t="shared" si="76"/>
        <v>0</v>
      </c>
      <c r="AN270" s="92">
        <f t="shared" si="76"/>
        <v>0</v>
      </c>
      <c r="AO270" s="92">
        <f t="shared" si="76"/>
        <v>0</v>
      </c>
      <c r="AP270" s="92">
        <f t="shared" si="76"/>
        <v>0</v>
      </c>
      <c r="BH270" s="3"/>
    </row>
    <row r="271" spans="2:60" x14ac:dyDescent="0.25">
      <c r="C271" s="32"/>
      <c r="F271" t="s">
        <v>229</v>
      </c>
      <c r="G271" t="s">
        <v>208</v>
      </c>
      <c r="H271" s="124">
        <f t="shared" si="74"/>
        <v>0</v>
      </c>
      <c r="I271" s="92"/>
      <c r="J271" s="92">
        <f t="shared" ref="J271:AP271" si="77">J241 + J254 + J170</f>
        <v>0</v>
      </c>
      <c r="K271" s="92">
        <f t="shared" si="77"/>
        <v>0</v>
      </c>
      <c r="L271" s="92">
        <f t="shared" si="77"/>
        <v>0</v>
      </c>
      <c r="M271" s="92">
        <f t="shared" si="77"/>
        <v>0</v>
      </c>
      <c r="N271" s="92">
        <f t="shared" si="77"/>
        <v>0</v>
      </c>
      <c r="O271" s="92">
        <f t="shared" si="77"/>
        <v>0</v>
      </c>
      <c r="P271" s="92">
        <f t="shared" si="77"/>
        <v>0</v>
      </c>
      <c r="Q271" s="92">
        <f t="shared" si="77"/>
        <v>0</v>
      </c>
      <c r="R271" s="92">
        <f t="shared" si="77"/>
        <v>0</v>
      </c>
      <c r="S271" s="92">
        <f t="shared" si="77"/>
        <v>0</v>
      </c>
      <c r="T271" s="92">
        <f t="shared" si="77"/>
        <v>0</v>
      </c>
      <c r="U271" s="92">
        <f t="shared" si="77"/>
        <v>0</v>
      </c>
      <c r="V271" s="92">
        <f t="shared" si="77"/>
        <v>0</v>
      </c>
      <c r="W271" s="92">
        <f t="shared" si="77"/>
        <v>0</v>
      </c>
      <c r="X271" s="92">
        <f t="shared" si="77"/>
        <v>0</v>
      </c>
      <c r="Y271" s="92">
        <f t="shared" si="77"/>
        <v>0</v>
      </c>
      <c r="Z271" s="92">
        <f t="shared" si="77"/>
        <v>0</v>
      </c>
      <c r="AA271" s="92">
        <f t="shared" si="77"/>
        <v>0</v>
      </c>
      <c r="AB271" s="92">
        <f t="shared" si="77"/>
        <v>0</v>
      </c>
      <c r="AC271" s="92">
        <f t="shared" si="77"/>
        <v>0</v>
      </c>
      <c r="AD271" s="92">
        <f t="shared" si="77"/>
        <v>0</v>
      </c>
      <c r="AE271" s="92">
        <f t="shared" si="77"/>
        <v>0</v>
      </c>
      <c r="AF271" s="92">
        <f t="shared" si="77"/>
        <v>0</v>
      </c>
      <c r="AG271" s="92">
        <f t="shared" si="77"/>
        <v>0</v>
      </c>
      <c r="AH271" s="92">
        <f t="shared" si="77"/>
        <v>0</v>
      </c>
      <c r="AI271" s="92">
        <f t="shared" si="77"/>
        <v>0</v>
      </c>
      <c r="AJ271" s="92">
        <f t="shared" si="77"/>
        <v>0</v>
      </c>
      <c r="AK271" s="92">
        <f t="shared" si="77"/>
        <v>0</v>
      </c>
      <c r="AL271" s="92">
        <f t="shared" si="77"/>
        <v>0</v>
      </c>
      <c r="AM271" s="92">
        <f t="shared" si="77"/>
        <v>0</v>
      </c>
      <c r="AN271" s="92">
        <f t="shared" si="77"/>
        <v>0</v>
      </c>
      <c r="AO271" s="92">
        <f t="shared" si="77"/>
        <v>0</v>
      </c>
      <c r="AP271" s="92">
        <f t="shared" si="77"/>
        <v>0</v>
      </c>
      <c r="BH271" s="3"/>
    </row>
    <row r="272" spans="2:60" x14ac:dyDescent="0.25">
      <c r="C272" s="32"/>
      <c r="F272" t="s">
        <v>230</v>
      </c>
      <c r="G272" t="s">
        <v>208</v>
      </c>
      <c r="H272" s="124">
        <f t="shared" si="74"/>
        <v>1071.6773551409351</v>
      </c>
      <c r="I272" s="92"/>
      <c r="J272" s="92">
        <f t="shared" ref="J272:AP272" si="78">J242 + J255 + J171</f>
        <v>489.45048978133565</v>
      </c>
      <c r="K272" s="92">
        <f t="shared" si="78"/>
        <v>75.183866714231826</v>
      </c>
      <c r="L272" s="92">
        <f t="shared" si="78"/>
        <v>35.086650712891078</v>
      </c>
      <c r="M272" s="92">
        <f t="shared" si="78"/>
        <v>178.856875456571</v>
      </c>
      <c r="N272" s="92">
        <f t="shared" si="78"/>
        <v>41.224993566731499</v>
      </c>
      <c r="O272" s="92">
        <f t="shared" si="78"/>
        <v>2.1190521264677979</v>
      </c>
      <c r="P272" s="92">
        <f t="shared" si="78"/>
        <v>6.6968325355212368</v>
      </c>
      <c r="Q272" s="92">
        <f t="shared" si="78"/>
        <v>0</v>
      </c>
      <c r="R272" s="92">
        <f t="shared" si="78"/>
        <v>0.14522229772430334</v>
      </c>
      <c r="S272" s="92">
        <f t="shared" si="78"/>
        <v>7.6569481930254465E-2</v>
      </c>
      <c r="T272" s="92">
        <f t="shared" si="78"/>
        <v>15.298702192363523</v>
      </c>
      <c r="U272" s="92">
        <f t="shared" si="78"/>
        <v>259.74007400599731</v>
      </c>
      <c r="V272" s="92">
        <f t="shared" si="78"/>
        <v>17.803820109342681</v>
      </c>
      <c r="W272" s="92">
        <f t="shared" si="78"/>
        <v>171.76074756233874</v>
      </c>
      <c r="X272" s="92">
        <f t="shared" si="78"/>
        <v>1.6702416868138223</v>
      </c>
      <c r="Y272" s="92">
        <f t="shared" si="78"/>
        <v>2.1398808029123249</v>
      </c>
      <c r="Z272" s="92">
        <f t="shared" si="78"/>
        <v>0.68287680663753358</v>
      </c>
      <c r="AA272" s="92">
        <f t="shared" si="78"/>
        <v>5.2834608826170847E-3</v>
      </c>
      <c r="AB272" s="92">
        <f t="shared" si="78"/>
        <v>10.88006858607222</v>
      </c>
      <c r="AC272" s="92">
        <f t="shared" si="78"/>
        <v>-0.78611806349487712</v>
      </c>
      <c r="AD272" s="92">
        <f t="shared" si="78"/>
        <v>0</v>
      </c>
      <c r="AE272" s="92">
        <f t="shared" si="78"/>
        <v>-44.04450415683111</v>
      </c>
      <c r="AF272" s="92">
        <f t="shared" si="78"/>
        <v>0</v>
      </c>
      <c r="AG272" s="92">
        <f t="shared" si="78"/>
        <v>-6.7487168840662513</v>
      </c>
      <c r="AH272" s="92">
        <f t="shared" si="78"/>
        <v>0</v>
      </c>
      <c r="AI272" s="92">
        <f t="shared" si="78"/>
        <v>-0.41765599039521334</v>
      </c>
      <c r="AJ272" s="92">
        <f t="shared" si="78"/>
        <v>0</v>
      </c>
      <c r="AK272" s="92">
        <f t="shared" si="78"/>
        <v>0</v>
      </c>
      <c r="AL272" s="92">
        <f t="shared" si="78"/>
        <v>0</v>
      </c>
      <c r="AM272" s="92">
        <f t="shared" si="78"/>
        <v>-75.968761046346074</v>
      </c>
      <c r="AN272" s="92">
        <f t="shared" si="78"/>
        <v>0</v>
      </c>
      <c r="AO272" s="92">
        <f t="shared" si="78"/>
        <v>-109.17913660469705</v>
      </c>
      <c r="AP272" s="92">
        <f t="shared" si="78"/>
        <v>0</v>
      </c>
      <c r="BH272" s="3"/>
    </row>
    <row r="273" spans="2:60" x14ac:dyDescent="0.25">
      <c r="C273" s="32"/>
      <c r="F273" t="s">
        <v>231</v>
      </c>
      <c r="G273" t="s">
        <v>208</v>
      </c>
      <c r="H273" s="124">
        <f t="shared" si="74"/>
        <v>1240.8526701072544</v>
      </c>
      <c r="I273" s="92"/>
      <c r="J273" s="92">
        <f t="shared" ref="J273:AP273" si="79">J243 + J256 + J172</f>
        <v>484.2029699103856</v>
      </c>
      <c r="K273" s="92">
        <f t="shared" si="79"/>
        <v>74.377801866418423</v>
      </c>
      <c r="L273" s="92">
        <f t="shared" si="79"/>
        <v>34.71047804442928</v>
      </c>
      <c r="M273" s="92">
        <f t="shared" si="79"/>
        <v>176.93930661639334</v>
      </c>
      <c r="N273" s="92">
        <f t="shared" si="79"/>
        <v>40.78301020490494</v>
      </c>
      <c r="O273" s="92">
        <f t="shared" si="79"/>
        <v>2.0963332440202871</v>
      </c>
      <c r="P273" s="92">
        <f t="shared" si="79"/>
        <v>6.6250341360175975</v>
      </c>
      <c r="Q273" s="92">
        <f t="shared" si="79"/>
        <v>0</v>
      </c>
      <c r="R273" s="92">
        <f t="shared" si="79"/>
        <v>0.17188580672982975</v>
      </c>
      <c r="S273" s="92">
        <f t="shared" si="79"/>
        <v>7.5748561558682537E-2</v>
      </c>
      <c r="T273" s="92">
        <f t="shared" si="79"/>
        <v>15.13468101876118</v>
      </c>
      <c r="U273" s="92">
        <f t="shared" si="79"/>
        <v>256.95533637045543</v>
      </c>
      <c r="V273" s="92">
        <f t="shared" si="79"/>
        <v>17.612940946377019</v>
      </c>
      <c r="W273" s="92">
        <f t="shared" si="79"/>
        <v>350.55607079166975</v>
      </c>
      <c r="X273" s="92">
        <f t="shared" si="79"/>
        <v>1.6523346121988591</v>
      </c>
      <c r="Y273" s="92">
        <f t="shared" si="79"/>
        <v>2.1169386110682353</v>
      </c>
      <c r="Z273" s="92">
        <f t="shared" si="79"/>
        <v>0.67555551533830072</v>
      </c>
      <c r="AA273" s="92">
        <f t="shared" si="79"/>
        <v>5.2268155905032558E-3</v>
      </c>
      <c r="AB273" s="92">
        <f t="shared" si="79"/>
        <v>10.763420677254679</v>
      </c>
      <c r="AC273" s="92">
        <f t="shared" si="79"/>
        <v>-0.777689897122125</v>
      </c>
      <c r="AD273" s="92">
        <f t="shared" si="79"/>
        <v>0</v>
      </c>
      <c r="AE273" s="92">
        <f t="shared" si="79"/>
        <v>-43.572292123960601</v>
      </c>
      <c r="AF273" s="92">
        <f t="shared" si="79"/>
        <v>0</v>
      </c>
      <c r="AG273" s="92">
        <f t="shared" si="79"/>
        <v>-6.6763622196171966</v>
      </c>
      <c r="AH273" s="92">
        <f t="shared" si="79"/>
        <v>0</v>
      </c>
      <c r="AI273" s="92">
        <f t="shared" si="79"/>
        <v>-0.4131781971258689</v>
      </c>
      <c r="AJ273" s="92">
        <f t="shared" si="79"/>
        <v>0</v>
      </c>
      <c r="AK273" s="92">
        <f t="shared" si="79"/>
        <v>0</v>
      </c>
      <c r="AL273" s="92">
        <f t="shared" si="79"/>
        <v>0</v>
      </c>
      <c r="AM273" s="92">
        <f t="shared" si="79"/>
        <v>-75.154281152086995</v>
      </c>
      <c r="AN273" s="92">
        <f t="shared" si="79"/>
        <v>0</v>
      </c>
      <c r="AO273" s="92">
        <f t="shared" si="79"/>
        <v>-108.00860005240497</v>
      </c>
      <c r="AP273" s="92">
        <f t="shared" si="79"/>
        <v>0</v>
      </c>
      <c r="BH273" s="3"/>
    </row>
    <row r="274" spans="2:60" x14ac:dyDescent="0.25">
      <c r="C274" s="32"/>
      <c r="F274" t="s">
        <v>232</v>
      </c>
      <c r="G274" t="s">
        <v>208</v>
      </c>
      <c r="H274" s="124">
        <f t="shared" si="74"/>
        <v>0</v>
      </c>
      <c r="I274" s="92"/>
      <c r="J274" s="92">
        <f t="shared" ref="J274:AP274" si="80">J244 + J257 + J173</f>
        <v>0</v>
      </c>
      <c r="K274" s="92">
        <f t="shared" si="80"/>
        <v>0</v>
      </c>
      <c r="L274" s="92">
        <f t="shared" si="80"/>
        <v>0</v>
      </c>
      <c r="M274" s="92">
        <f t="shared" si="80"/>
        <v>0</v>
      </c>
      <c r="N274" s="92">
        <f t="shared" si="80"/>
        <v>0</v>
      </c>
      <c r="O274" s="92">
        <f t="shared" si="80"/>
        <v>0</v>
      </c>
      <c r="P274" s="92">
        <f t="shared" si="80"/>
        <v>0</v>
      </c>
      <c r="Q274" s="92">
        <f t="shared" si="80"/>
        <v>0</v>
      </c>
      <c r="R274" s="92">
        <f t="shared" si="80"/>
        <v>0</v>
      </c>
      <c r="S274" s="92">
        <f t="shared" si="80"/>
        <v>0</v>
      </c>
      <c r="T274" s="92">
        <f t="shared" si="80"/>
        <v>0</v>
      </c>
      <c r="U274" s="92">
        <f t="shared" si="80"/>
        <v>0</v>
      </c>
      <c r="V274" s="92">
        <f t="shared" si="80"/>
        <v>0</v>
      </c>
      <c r="W274" s="92">
        <f t="shared" si="80"/>
        <v>0</v>
      </c>
      <c r="X274" s="92">
        <f t="shared" si="80"/>
        <v>0</v>
      </c>
      <c r="Y274" s="92">
        <f t="shared" si="80"/>
        <v>0</v>
      </c>
      <c r="Z274" s="92">
        <f t="shared" si="80"/>
        <v>0</v>
      </c>
      <c r="AA274" s="92">
        <f t="shared" si="80"/>
        <v>0</v>
      </c>
      <c r="AB274" s="92">
        <f t="shared" si="80"/>
        <v>0</v>
      </c>
      <c r="AC274" s="92">
        <f t="shared" si="80"/>
        <v>0</v>
      </c>
      <c r="AD274" s="92">
        <f t="shared" si="80"/>
        <v>0</v>
      </c>
      <c r="AE274" s="92">
        <f t="shared" si="80"/>
        <v>0</v>
      </c>
      <c r="AF274" s="92">
        <f t="shared" si="80"/>
        <v>0</v>
      </c>
      <c r="AG274" s="92">
        <f t="shared" si="80"/>
        <v>0</v>
      </c>
      <c r="AH274" s="92">
        <f t="shared" si="80"/>
        <v>0</v>
      </c>
      <c r="AI274" s="92">
        <f t="shared" si="80"/>
        <v>0</v>
      </c>
      <c r="AJ274" s="92">
        <f t="shared" si="80"/>
        <v>0</v>
      </c>
      <c r="AK274" s="92">
        <f t="shared" si="80"/>
        <v>0</v>
      </c>
      <c r="AL274" s="92">
        <f t="shared" si="80"/>
        <v>0</v>
      </c>
      <c r="AM274" s="92">
        <f t="shared" si="80"/>
        <v>0</v>
      </c>
      <c r="AN274" s="92">
        <f t="shared" si="80"/>
        <v>0</v>
      </c>
      <c r="AO274" s="92">
        <f t="shared" si="80"/>
        <v>0</v>
      </c>
      <c r="AP274" s="92">
        <f t="shared" si="80"/>
        <v>0</v>
      </c>
      <c r="BH274" s="3"/>
    </row>
    <row r="275" spans="2:60" x14ac:dyDescent="0.25">
      <c r="C275" s="32"/>
      <c r="F275" t="s">
        <v>233</v>
      </c>
      <c r="G275" t="s">
        <v>208</v>
      </c>
      <c r="H275" s="124">
        <f t="shared" si="74"/>
        <v>1338.0577163322507</v>
      </c>
      <c r="I275" s="92"/>
      <c r="J275" s="92">
        <f t="shared" ref="J275:AP275" si="81">J245 + J258 + J174</f>
        <v>479.99250930246927</v>
      </c>
      <c r="K275" s="92">
        <f t="shared" si="81"/>
        <v>73.731038371927838</v>
      </c>
      <c r="L275" s="92">
        <f t="shared" si="81"/>
        <v>34.40864780056468</v>
      </c>
      <c r="M275" s="92">
        <f t="shared" si="81"/>
        <v>175.40070395016383</v>
      </c>
      <c r="N275" s="92">
        <f t="shared" si="81"/>
        <v>40.428375333557952</v>
      </c>
      <c r="O275" s="92">
        <f t="shared" si="81"/>
        <v>2.0781042592896761</v>
      </c>
      <c r="P275" s="92">
        <f t="shared" si="81"/>
        <v>6.5674251435304889</v>
      </c>
      <c r="Q275" s="92">
        <f t="shared" si="81"/>
        <v>0</v>
      </c>
      <c r="R275" s="92">
        <f t="shared" si="81"/>
        <v>0.11089563783981435</v>
      </c>
      <c r="S275" s="92">
        <f t="shared" si="81"/>
        <v>7.5089878414693986E-2</v>
      </c>
      <c r="T275" s="92">
        <f t="shared" si="81"/>
        <v>15.003075096858911</v>
      </c>
      <c r="U275" s="92">
        <f t="shared" si="81"/>
        <v>302.16167752468755</v>
      </c>
      <c r="V275" s="92">
        <f t="shared" si="81"/>
        <v>17.842804286936527</v>
      </c>
      <c r="W275" s="92">
        <f t="shared" si="81"/>
        <v>226.16840685493773</v>
      </c>
      <c r="X275" s="92">
        <f t="shared" si="81"/>
        <v>1.6379664851362605</v>
      </c>
      <c r="Y275" s="92">
        <f t="shared" si="81"/>
        <v>2.0985304492328596</v>
      </c>
      <c r="Z275" s="92">
        <f t="shared" si="81"/>
        <v>0.66968111955275034</v>
      </c>
      <c r="AA275" s="92">
        <f t="shared" si="81"/>
        <v>5.1813650201510538E-3</v>
      </c>
      <c r="AB275" s="92">
        <f t="shared" si="81"/>
        <v>10.669825714843769</v>
      </c>
      <c r="AC275" s="92">
        <f t="shared" si="81"/>
        <v>-0.77092737627758479</v>
      </c>
      <c r="AD275" s="92">
        <f t="shared" si="81"/>
        <v>0</v>
      </c>
      <c r="AE275" s="92">
        <f t="shared" si="81"/>
        <v>-43.193402627230512</v>
      </c>
      <c r="AF275" s="92">
        <f t="shared" si="81"/>
        <v>0</v>
      </c>
      <c r="AG275" s="92">
        <f t="shared" si="81"/>
        <v>-6.6183068959683524</v>
      </c>
      <c r="AH275" s="92">
        <f t="shared" si="81"/>
        <v>0</v>
      </c>
      <c r="AI275" s="92">
        <f t="shared" si="81"/>
        <v>-0.40958534323781792</v>
      </c>
      <c r="AJ275" s="92">
        <f t="shared" si="81"/>
        <v>0</v>
      </c>
      <c r="AK275" s="92">
        <f t="shared" si="81"/>
        <v>0</v>
      </c>
      <c r="AL275" s="92">
        <f t="shared" si="81"/>
        <v>0</v>
      </c>
      <c r="AM275" s="92">
        <f t="shared" si="81"/>
        <v>0</v>
      </c>
      <c r="AN275" s="92">
        <f t="shared" si="81"/>
        <v>0</v>
      </c>
      <c r="AO275" s="92">
        <f t="shared" si="81"/>
        <v>0</v>
      </c>
      <c r="AP275" s="92">
        <f t="shared" si="81"/>
        <v>0</v>
      </c>
      <c r="BH275" s="3"/>
    </row>
    <row r="276" spans="2:60" x14ac:dyDescent="0.25">
      <c r="C276" s="32"/>
      <c r="F276" t="s">
        <v>234</v>
      </c>
      <c r="G276" t="s">
        <v>208</v>
      </c>
      <c r="H276" s="124">
        <f t="shared" si="74"/>
        <v>1274.8526240699737</v>
      </c>
      <c r="I276" s="92"/>
      <c r="J276" s="92">
        <f t="shared" ref="J276:AP276" si="82">J246 + J259 + J175</f>
        <v>470.0021259489647</v>
      </c>
      <c r="K276" s="92">
        <f t="shared" si="82"/>
        <v>72.196428301745783</v>
      </c>
      <c r="L276" s="92">
        <f t="shared" si="82"/>
        <v>33.692479161385471</v>
      </c>
      <c r="M276" s="92">
        <f t="shared" si="82"/>
        <v>171.74997974306487</v>
      </c>
      <c r="N276" s="92">
        <f t="shared" si="82"/>
        <v>39.58691435215939</v>
      </c>
      <c r="O276" s="92">
        <f t="shared" si="82"/>
        <v>2.0348513797207328</v>
      </c>
      <c r="P276" s="92">
        <f t="shared" si="82"/>
        <v>6.4307332294740354</v>
      </c>
      <c r="Q276" s="92">
        <f t="shared" si="82"/>
        <v>0</v>
      </c>
      <c r="R276" s="92">
        <f t="shared" si="82"/>
        <v>0</v>
      </c>
      <c r="S276" s="92">
        <f t="shared" si="82"/>
        <v>7.3526985959515873E-2</v>
      </c>
      <c r="T276" s="92">
        <f t="shared" si="82"/>
        <v>14.690806741011327</v>
      </c>
      <c r="U276" s="92">
        <f t="shared" si="82"/>
        <v>481.68588526576031</v>
      </c>
      <c r="V276" s="92">
        <f t="shared" si="82"/>
        <v>17.471430876990826</v>
      </c>
      <c r="W276" s="92">
        <f t="shared" si="82"/>
        <v>0</v>
      </c>
      <c r="X276" s="92">
        <f t="shared" si="82"/>
        <v>1.6038744674702266</v>
      </c>
      <c r="Y276" s="92">
        <f t="shared" si="82"/>
        <v>2.0548524266376629</v>
      </c>
      <c r="Z276" s="92">
        <f t="shared" si="82"/>
        <v>0.65574262889034685</v>
      </c>
      <c r="AA276" s="92">
        <f t="shared" si="82"/>
        <v>5.0735220395991872E-3</v>
      </c>
      <c r="AB276" s="92">
        <f t="shared" si="82"/>
        <v>10.447747980003124</v>
      </c>
      <c r="AC276" s="92">
        <f t="shared" si="82"/>
        <v>-0.75488158415070983</v>
      </c>
      <c r="AD276" s="92">
        <f t="shared" si="82"/>
        <v>0</v>
      </c>
      <c r="AE276" s="92">
        <f t="shared" si="82"/>
        <v>-42.294391408877559</v>
      </c>
      <c r="AF276" s="92">
        <f t="shared" si="82"/>
        <v>0</v>
      </c>
      <c r="AG276" s="92">
        <f t="shared" si="82"/>
        <v>-6.4805559482755388</v>
      </c>
      <c r="AH276" s="92">
        <f t="shared" si="82"/>
        <v>0</v>
      </c>
      <c r="AI276" s="92">
        <f t="shared" si="82"/>
        <v>0</v>
      </c>
      <c r="AJ276" s="92">
        <f t="shared" si="82"/>
        <v>0</v>
      </c>
      <c r="AK276" s="92">
        <f t="shared" si="82"/>
        <v>0</v>
      </c>
      <c r="AL276" s="92">
        <f t="shared" si="82"/>
        <v>0</v>
      </c>
      <c r="AM276" s="92">
        <f t="shared" si="82"/>
        <v>0</v>
      </c>
      <c r="AN276" s="92">
        <f t="shared" si="82"/>
        <v>0</v>
      </c>
      <c r="AO276" s="92">
        <f t="shared" si="82"/>
        <v>0</v>
      </c>
      <c r="AP276" s="92">
        <f t="shared" si="82"/>
        <v>0</v>
      </c>
      <c r="BH276" s="3"/>
    </row>
    <row r="277" spans="2:60" x14ac:dyDescent="0.25">
      <c r="C277" s="32"/>
      <c r="F277" s="37" t="s">
        <v>235</v>
      </c>
      <c r="G277" s="37" t="s">
        <v>208</v>
      </c>
      <c r="H277" s="134">
        <f t="shared" si="74"/>
        <v>1041.9731889447044</v>
      </c>
      <c r="I277" s="82"/>
      <c r="J277" s="82">
        <f t="shared" ref="J277:AP277" si="83">J247 + J260 + J176</f>
        <v>334.75773550352369</v>
      </c>
      <c r="K277" s="82">
        <f t="shared" si="83"/>
        <v>77.993313577379595</v>
      </c>
      <c r="L277" s="82">
        <f t="shared" si="83"/>
        <v>0</v>
      </c>
      <c r="M277" s="82">
        <f t="shared" si="83"/>
        <v>133.36223566418397</v>
      </c>
      <c r="N277" s="82">
        <f t="shared" si="83"/>
        <v>31.387255745818745</v>
      </c>
      <c r="O277" s="82">
        <f t="shared" si="83"/>
        <v>0</v>
      </c>
      <c r="P277" s="82">
        <f t="shared" si="83"/>
        <v>5.3455331825570651</v>
      </c>
      <c r="Q277" s="82">
        <f t="shared" si="83"/>
        <v>0</v>
      </c>
      <c r="R277" s="82">
        <f t="shared" si="83"/>
        <v>0</v>
      </c>
      <c r="S277" s="82">
        <f t="shared" si="83"/>
        <v>7.1736806568331979E-2</v>
      </c>
      <c r="T277" s="82">
        <f t="shared" si="83"/>
        <v>10.899130780683938</v>
      </c>
      <c r="U277" s="82">
        <f t="shared" si="83"/>
        <v>433.83603978172448</v>
      </c>
      <c r="V277" s="82">
        <f t="shared" si="83"/>
        <v>0</v>
      </c>
      <c r="W277" s="82">
        <f t="shared" si="83"/>
        <v>0</v>
      </c>
      <c r="X277" s="82">
        <f t="shared" si="83"/>
        <v>1.555316800106449</v>
      </c>
      <c r="Y277" s="82">
        <f t="shared" si="83"/>
        <v>1.9926412981247794</v>
      </c>
      <c r="Z277" s="82">
        <f t="shared" si="83"/>
        <v>0.63588987040100597</v>
      </c>
      <c r="AA277" s="82">
        <f t="shared" si="83"/>
        <v>4.919919996198477E-3</v>
      </c>
      <c r="AB277" s="82">
        <f t="shared" si="83"/>
        <v>10.131440013636055</v>
      </c>
      <c r="AC277" s="82">
        <f t="shared" si="83"/>
        <v>0</v>
      </c>
      <c r="AD277" s="82">
        <f t="shared" si="83"/>
        <v>0</v>
      </c>
      <c r="AE277" s="82">
        <f t="shared" si="83"/>
        <v>0</v>
      </c>
      <c r="AF277" s="82">
        <f t="shared" si="83"/>
        <v>0</v>
      </c>
      <c r="AG277" s="82">
        <f t="shared" si="83"/>
        <v>0</v>
      </c>
      <c r="AH277" s="82">
        <f t="shared" si="83"/>
        <v>0</v>
      </c>
      <c r="AI277" s="82">
        <f t="shared" si="83"/>
        <v>0</v>
      </c>
      <c r="AJ277" s="82">
        <f t="shared" si="83"/>
        <v>0</v>
      </c>
      <c r="AK277" s="82">
        <f t="shared" si="83"/>
        <v>0</v>
      </c>
      <c r="AL277" s="82">
        <f t="shared" si="83"/>
        <v>0</v>
      </c>
      <c r="AM277" s="82">
        <f t="shared" si="83"/>
        <v>0</v>
      </c>
      <c r="AN277" s="82">
        <f t="shared" si="83"/>
        <v>0</v>
      </c>
      <c r="AO277" s="82">
        <f t="shared" si="83"/>
        <v>0</v>
      </c>
      <c r="AP277" s="82">
        <f t="shared" si="83"/>
        <v>0</v>
      </c>
      <c r="BH277" s="3"/>
    </row>
    <row r="278" spans="2:60" x14ac:dyDescent="0.25">
      <c r="H278" s="181"/>
    </row>
    <row r="279" spans="2:60" x14ac:dyDescent="0.25">
      <c r="B279" s="30" t="s">
        <v>280</v>
      </c>
      <c r="C279" s="30"/>
      <c r="D279" s="30"/>
      <c r="E279" s="30"/>
      <c r="F279" s="30"/>
      <c r="G279" s="30"/>
      <c r="H279" s="30"/>
      <c r="I279" s="30"/>
      <c r="J279" s="30"/>
      <c r="K279" s="30"/>
      <c r="L279" s="30"/>
      <c r="M279" s="30"/>
      <c r="N279" s="30"/>
      <c r="O279" s="30"/>
      <c r="P279" s="30"/>
      <c r="Q279" s="30"/>
      <c r="R279" s="30"/>
      <c r="S279" s="30"/>
      <c r="T279" s="30"/>
      <c r="U279" s="30"/>
      <c r="V279" s="30"/>
      <c r="W279" s="30"/>
      <c r="X279" s="30"/>
      <c r="Y279" s="30"/>
      <c r="Z279" s="30"/>
      <c r="AA279" s="30"/>
      <c r="AB279" s="30"/>
      <c r="AC279" s="30"/>
      <c r="AD279" s="30"/>
      <c r="AE279" s="30"/>
      <c r="AF279" s="30"/>
      <c r="AG279" s="30"/>
      <c r="AH279" s="30"/>
      <c r="AI279" s="30"/>
      <c r="AJ279" s="30"/>
      <c r="AK279" s="30"/>
      <c r="AL279" s="30"/>
      <c r="AM279" s="30"/>
      <c r="AN279" s="30"/>
      <c r="AO279" s="30"/>
      <c r="AP279" s="30"/>
      <c r="AQ279" s="30"/>
      <c r="AR279" s="30"/>
      <c r="AT279" s="30"/>
      <c r="AU279" s="30"/>
      <c r="AV279" s="30"/>
      <c r="AW279" s="30"/>
      <c r="AX279" s="30"/>
      <c r="AY279" s="30"/>
      <c r="AZ279" s="30"/>
      <c r="BA279" s="30"/>
      <c r="BB279" s="30"/>
      <c r="BC279" s="30"/>
      <c r="BD279" s="30"/>
      <c r="BE279" s="30"/>
      <c r="BF279" s="30"/>
      <c r="BH279" s="30"/>
    </row>
    <row r="281" spans="2:60" x14ac:dyDescent="0.25">
      <c r="E281" t="s">
        <v>281</v>
      </c>
      <c r="G281" s="6" t="s">
        <v>56</v>
      </c>
      <c r="H281" s="26">
        <f t="array" ref="H281">SUM(IF(ISERROR(H23:AP277), 1))</f>
        <v>0</v>
      </c>
    </row>
    <row r="283" spans="2:60" x14ac:dyDescent="0.25">
      <c r="B283" s="30" t="s">
        <v>107</v>
      </c>
      <c r="C283" s="30"/>
      <c r="D283" s="30"/>
      <c r="E283" s="30"/>
      <c r="F283" s="30"/>
      <c r="G283" s="30"/>
      <c r="H283" s="30"/>
      <c r="I283" s="30"/>
      <c r="J283" s="30"/>
      <c r="K283" s="30"/>
      <c r="L283" s="30"/>
      <c r="M283" s="30"/>
      <c r="N283" s="30"/>
      <c r="O283" s="30"/>
      <c r="P283" s="30"/>
      <c r="Q283" s="30"/>
      <c r="R283" s="30"/>
      <c r="S283" s="30"/>
      <c r="T283" s="30"/>
      <c r="U283" s="30"/>
      <c r="V283" s="30"/>
      <c r="W283" s="30"/>
      <c r="X283" s="30"/>
      <c r="Y283" s="30"/>
      <c r="Z283" s="30"/>
      <c r="AA283" s="30"/>
      <c r="AB283" s="30"/>
      <c r="AC283" s="30"/>
      <c r="AD283" s="30"/>
      <c r="AE283" s="30"/>
      <c r="AF283" s="30"/>
      <c r="AG283" s="30"/>
      <c r="AH283" s="30"/>
      <c r="AI283" s="30"/>
      <c r="AJ283" s="30"/>
      <c r="AK283" s="30"/>
      <c r="AL283" s="30"/>
      <c r="AM283" s="30"/>
      <c r="AN283" s="30"/>
      <c r="AO283" s="30"/>
      <c r="AP283" s="30"/>
      <c r="AQ283" s="30"/>
      <c r="AR283" s="30"/>
      <c r="AT283" s="30"/>
      <c r="AU283" s="30"/>
      <c r="AV283" s="30"/>
      <c r="AW283" s="30"/>
      <c r="AX283" s="30"/>
      <c r="AY283" s="30"/>
      <c r="AZ283" s="30"/>
      <c r="BA283" s="30"/>
      <c r="BB283" s="30"/>
      <c r="BC283" s="30"/>
      <c r="BD283" s="30"/>
      <c r="BE283" s="30"/>
      <c r="BF283" s="30"/>
      <c r="BH283" s="30"/>
    </row>
    <row r="288" spans="2:60" x14ac:dyDescent="0.25">
      <c r="J288" s="63"/>
      <c r="K288" s="63"/>
      <c r="L288" s="63"/>
      <c r="M288" s="63"/>
      <c r="N288" s="63"/>
      <c r="O288" s="63"/>
      <c r="P288" s="63"/>
      <c r="Q288" s="63"/>
      <c r="R288" s="63"/>
      <c r="S288" s="63"/>
    </row>
    <row r="289" spans="10:19" x14ac:dyDescent="0.25">
      <c r="J289" s="63"/>
      <c r="K289" s="63"/>
      <c r="L289" s="63"/>
      <c r="M289" s="63"/>
      <c r="N289" s="63"/>
      <c r="O289" s="63"/>
      <c r="P289" s="63"/>
      <c r="Q289" s="63"/>
      <c r="R289" s="63"/>
      <c r="S289" s="63"/>
    </row>
    <row r="290" spans="10:19" x14ac:dyDescent="0.25">
      <c r="J290" s="63"/>
      <c r="K290" s="63"/>
      <c r="L290" s="63"/>
      <c r="M290" s="63"/>
      <c r="N290" s="63"/>
      <c r="O290" s="63"/>
      <c r="P290" s="63"/>
      <c r="Q290" s="63"/>
      <c r="R290" s="63"/>
      <c r="S290" s="63"/>
    </row>
    <row r="291" spans="10:19" x14ac:dyDescent="0.25">
      <c r="J291" s="63"/>
      <c r="K291" s="63"/>
      <c r="L291" s="63"/>
      <c r="M291" s="63"/>
      <c r="N291" s="63"/>
      <c r="O291" s="63"/>
      <c r="P291" s="63"/>
      <c r="Q291" s="63"/>
      <c r="R291" s="63"/>
      <c r="S291" s="63"/>
    </row>
    <row r="292" spans="10:19" x14ac:dyDescent="0.25">
      <c r="J292" s="63"/>
      <c r="K292" s="63"/>
      <c r="L292" s="63"/>
      <c r="M292" s="63"/>
      <c r="N292" s="63"/>
      <c r="O292" s="63"/>
      <c r="P292" s="63"/>
      <c r="Q292" s="63"/>
      <c r="R292" s="63"/>
      <c r="S292" s="63"/>
    </row>
    <row r="293" spans="10:19" x14ac:dyDescent="0.25">
      <c r="J293" s="63"/>
      <c r="K293" s="63"/>
      <c r="L293" s="63"/>
      <c r="M293" s="63"/>
      <c r="N293" s="63"/>
      <c r="O293" s="63"/>
      <c r="P293" s="63"/>
      <c r="Q293" s="63"/>
      <c r="R293" s="63"/>
      <c r="S293" s="63"/>
    </row>
    <row r="294" spans="10:19" x14ac:dyDescent="0.25">
      <c r="J294" s="63"/>
      <c r="K294" s="63"/>
      <c r="L294" s="63"/>
      <c r="M294" s="63"/>
      <c r="N294" s="63"/>
      <c r="O294" s="63"/>
      <c r="P294" s="63"/>
      <c r="Q294" s="63"/>
      <c r="R294" s="63"/>
      <c r="S294" s="63"/>
    </row>
    <row r="295" spans="10:19" x14ac:dyDescent="0.25">
      <c r="J295" s="63"/>
      <c r="K295" s="63"/>
      <c r="L295" s="63"/>
      <c r="M295" s="63"/>
      <c r="N295" s="63"/>
      <c r="O295" s="63"/>
      <c r="P295" s="63"/>
      <c r="Q295" s="63"/>
      <c r="R295" s="63"/>
      <c r="S295" s="63"/>
    </row>
    <row r="296" spans="10:19" x14ac:dyDescent="0.25">
      <c r="J296" s="63"/>
      <c r="K296" s="63"/>
      <c r="L296" s="63"/>
      <c r="M296" s="63"/>
      <c r="N296" s="63"/>
      <c r="O296" s="63"/>
      <c r="P296" s="63"/>
      <c r="Q296" s="63"/>
      <c r="R296" s="63"/>
      <c r="S296" s="63"/>
    </row>
    <row r="297" spans="10:19" x14ac:dyDescent="0.25">
      <c r="J297" s="63"/>
      <c r="K297" s="63"/>
      <c r="L297" s="63"/>
      <c r="M297" s="63"/>
      <c r="N297" s="63"/>
      <c r="O297" s="63"/>
      <c r="P297" s="63"/>
      <c r="Q297" s="63"/>
      <c r="R297" s="63"/>
      <c r="S297" s="63"/>
    </row>
    <row r="298" spans="10:19" x14ac:dyDescent="0.25">
      <c r="J298" s="63"/>
      <c r="K298" s="63"/>
      <c r="L298" s="63"/>
      <c r="M298" s="63"/>
      <c r="N298" s="63"/>
      <c r="O298" s="63"/>
      <c r="P298" s="63"/>
      <c r="Q298" s="63"/>
      <c r="R298" s="63"/>
      <c r="S298" s="63"/>
    </row>
    <row r="299" spans="10:19" x14ac:dyDescent="0.25">
      <c r="J299" s="63"/>
      <c r="K299" s="63"/>
      <c r="L299" s="63"/>
      <c r="M299" s="63"/>
      <c r="N299" s="63"/>
      <c r="O299" s="63"/>
      <c r="P299" s="63"/>
      <c r="Q299" s="63"/>
      <c r="R299" s="63"/>
      <c r="S299" s="63"/>
    </row>
    <row r="300" spans="10:19" x14ac:dyDescent="0.25">
      <c r="J300" s="63"/>
      <c r="K300" s="63"/>
      <c r="L300" s="63"/>
      <c r="M300" s="63"/>
      <c r="N300" s="63"/>
      <c r="O300" s="63"/>
      <c r="P300" s="63"/>
      <c r="Q300" s="63"/>
      <c r="R300" s="63"/>
      <c r="S300" s="63"/>
    </row>
    <row r="301" spans="10:19" x14ac:dyDescent="0.25">
      <c r="J301" s="63"/>
      <c r="K301" s="63"/>
      <c r="L301" s="63"/>
      <c r="M301" s="63"/>
      <c r="N301" s="63"/>
      <c r="O301" s="63"/>
      <c r="P301" s="63"/>
      <c r="Q301" s="63"/>
      <c r="R301" s="63"/>
      <c r="S301" s="63"/>
    </row>
    <row r="302" spans="10:19" x14ac:dyDescent="0.25">
      <c r="J302" s="63"/>
      <c r="K302" s="63"/>
      <c r="L302" s="63"/>
      <c r="M302" s="63"/>
      <c r="N302" s="63"/>
      <c r="O302" s="63"/>
      <c r="P302" s="63"/>
      <c r="Q302" s="63"/>
      <c r="R302" s="63"/>
      <c r="S302" s="63"/>
    </row>
    <row r="303" spans="10:19" x14ac:dyDescent="0.25">
      <c r="J303" s="63"/>
      <c r="K303" s="63"/>
      <c r="L303" s="63"/>
      <c r="M303" s="63"/>
      <c r="N303" s="63"/>
      <c r="O303" s="63"/>
      <c r="P303" s="63"/>
      <c r="Q303" s="63"/>
      <c r="R303" s="63"/>
      <c r="S303" s="63"/>
    </row>
    <row r="304" spans="10:19" x14ac:dyDescent="0.25">
      <c r="J304" s="63"/>
      <c r="K304" s="63"/>
      <c r="L304" s="63"/>
      <c r="M304" s="63"/>
      <c r="N304" s="63"/>
      <c r="O304" s="63"/>
      <c r="P304" s="63"/>
      <c r="Q304" s="63"/>
      <c r="R304" s="63"/>
      <c r="S304" s="63"/>
    </row>
    <row r="305" spans="10:19" x14ac:dyDescent="0.25">
      <c r="J305" s="63"/>
      <c r="K305" s="63"/>
      <c r="L305" s="63"/>
      <c r="M305" s="63"/>
      <c r="N305" s="63"/>
      <c r="O305" s="63"/>
      <c r="P305" s="63"/>
      <c r="Q305" s="63"/>
      <c r="R305" s="63"/>
      <c r="S305" s="63"/>
    </row>
    <row r="306" spans="10:19" x14ac:dyDescent="0.25">
      <c r="J306" s="63"/>
      <c r="K306" s="63"/>
      <c r="L306" s="63"/>
      <c r="M306" s="63"/>
      <c r="N306" s="63"/>
      <c r="O306" s="63"/>
      <c r="P306" s="63"/>
      <c r="Q306" s="63"/>
      <c r="R306" s="63"/>
      <c r="S306" s="63"/>
    </row>
    <row r="307" spans="10:19" x14ac:dyDescent="0.25">
      <c r="J307" s="63"/>
      <c r="K307" s="63"/>
      <c r="L307" s="63"/>
      <c r="M307" s="63"/>
      <c r="N307" s="63"/>
      <c r="O307" s="63"/>
      <c r="P307" s="63"/>
      <c r="Q307" s="63"/>
      <c r="R307" s="63"/>
      <c r="S307" s="63"/>
    </row>
    <row r="308" spans="10:19" x14ac:dyDescent="0.25">
      <c r="J308" s="63"/>
      <c r="K308" s="63"/>
      <c r="L308" s="63"/>
      <c r="M308" s="63"/>
      <c r="N308" s="63"/>
      <c r="O308" s="63"/>
      <c r="P308" s="63"/>
      <c r="Q308" s="63"/>
      <c r="R308" s="63"/>
      <c r="S308" s="63"/>
    </row>
    <row r="309" spans="10:19" x14ac:dyDescent="0.25">
      <c r="J309" s="63"/>
      <c r="K309" s="63"/>
      <c r="L309" s="63"/>
      <c r="M309" s="63"/>
      <c r="N309" s="63"/>
      <c r="O309" s="63"/>
      <c r="P309" s="63"/>
      <c r="Q309" s="63"/>
      <c r="R309" s="63"/>
      <c r="S309" s="63"/>
    </row>
    <row r="310" spans="10:19" x14ac:dyDescent="0.25">
      <c r="J310" s="63"/>
      <c r="K310" s="63"/>
      <c r="L310" s="63"/>
      <c r="M310" s="63"/>
      <c r="N310" s="63"/>
      <c r="O310" s="63"/>
      <c r="P310" s="63"/>
      <c r="Q310" s="63"/>
      <c r="R310" s="63"/>
      <c r="S310" s="63"/>
    </row>
    <row r="311" spans="10:19" x14ac:dyDescent="0.25">
      <c r="J311" s="63"/>
      <c r="K311" s="63"/>
      <c r="L311" s="63"/>
      <c r="M311" s="63"/>
      <c r="N311" s="63"/>
      <c r="O311" s="63"/>
      <c r="P311" s="63"/>
      <c r="Q311" s="63"/>
      <c r="R311" s="63"/>
      <c r="S311" s="63"/>
    </row>
    <row r="312" spans="10:19" x14ac:dyDescent="0.25">
      <c r="J312" s="63"/>
      <c r="K312" s="63"/>
      <c r="L312" s="63"/>
      <c r="M312" s="63"/>
      <c r="N312" s="63"/>
      <c r="O312" s="63"/>
      <c r="P312" s="63"/>
      <c r="Q312" s="63"/>
      <c r="R312" s="63"/>
      <c r="S312" s="63"/>
    </row>
    <row r="313" spans="10:19" x14ac:dyDescent="0.25">
      <c r="J313" s="63"/>
      <c r="K313" s="63"/>
      <c r="L313" s="63"/>
      <c r="M313" s="63"/>
      <c r="N313" s="63"/>
      <c r="O313" s="63"/>
      <c r="P313" s="63"/>
      <c r="Q313" s="63"/>
      <c r="R313" s="63"/>
      <c r="S313" s="63"/>
    </row>
    <row r="314" spans="10:19" x14ac:dyDescent="0.25">
      <c r="J314" s="63"/>
      <c r="K314" s="63"/>
      <c r="L314" s="63"/>
      <c r="M314" s="63"/>
      <c r="N314" s="63"/>
      <c r="O314" s="63"/>
      <c r="P314" s="63"/>
      <c r="Q314" s="63"/>
      <c r="R314" s="63"/>
      <c r="S314" s="63"/>
    </row>
    <row r="315" spans="10:19" x14ac:dyDescent="0.25">
      <c r="J315" s="63"/>
      <c r="K315" s="63"/>
      <c r="L315" s="63"/>
      <c r="M315" s="63"/>
      <c r="N315" s="63"/>
      <c r="O315" s="63"/>
      <c r="P315" s="63"/>
      <c r="Q315" s="63"/>
      <c r="R315" s="63"/>
      <c r="S315" s="63"/>
    </row>
    <row r="316" spans="10:19" x14ac:dyDescent="0.25">
      <c r="J316" s="63"/>
      <c r="K316" s="63"/>
      <c r="L316" s="63"/>
      <c r="M316" s="63"/>
      <c r="N316" s="63"/>
      <c r="O316" s="63"/>
      <c r="P316" s="63"/>
      <c r="Q316" s="63"/>
      <c r="R316" s="63"/>
      <c r="S316" s="63"/>
    </row>
    <row r="317" spans="10:19" x14ac:dyDescent="0.25">
      <c r="J317" s="63"/>
      <c r="K317" s="63"/>
      <c r="L317" s="63"/>
      <c r="M317" s="63"/>
      <c r="N317" s="63"/>
      <c r="O317" s="63"/>
      <c r="P317" s="63"/>
      <c r="Q317" s="63"/>
      <c r="R317" s="63"/>
      <c r="S317" s="63"/>
    </row>
    <row r="318" spans="10:19" x14ac:dyDescent="0.25">
      <c r="J318" s="63"/>
      <c r="K318" s="63"/>
      <c r="L318" s="63"/>
      <c r="M318" s="63"/>
      <c r="N318" s="63"/>
      <c r="O318" s="63"/>
      <c r="P318" s="63"/>
      <c r="Q318" s="63"/>
      <c r="R318" s="63"/>
      <c r="S318" s="63"/>
    </row>
    <row r="319" spans="10:19" x14ac:dyDescent="0.25">
      <c r="J319" s="63"/>
      <c r="K319" s="63"/>
      <c r="L319" s="63"/>
      <c r="M319" s="63"/>
      <c r="N319" s="63"/>
      <c r="O319" s="63"/>
      <c r="P319" s="63"/>
      <c r="Q319" s="63"/>
      <c r="R319" s="63"/>
      <c r="S319" s="63"/>
    </row>
    <row r="320" spans="10:19" x14ac:dyDescent="0.25">
      <c r="J320" s="63"/>
      <c r="K320" s="63"/>
      <c r="L320" s="63"/>
      <c r="M320" s="63"/>
      <c r="N320" s="63"/>
      <c r="O320" s="63"/>
      <c r="P320" s="63"/>
      <c r="Q320" s="63"/>
      <c r="R320" s="63"/>
      <c r="S320" s="63"/>
    </row>
  </sheetData>
  <sheetProtection sheet="1" objects="1" formatCells="0" formatColumns="0" formatRows="0" sort="0" autoFilter="0"/>
  <conditionalFormatting sqref="H281">
    <cfRule type="cellIs" dxfId="41" priority="2" operator="greaterThan">
      <formula>0</formula>
    </cfRule>
  </conditionalFormatting>
  <conditionalFormatting sqref="A4:XFD4">
    <cfRule type="expression" dxfId="40"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tabColor theme="4" tint="0.59999389629810485"/>
    <pageSetUpPr fitToPage="1"/>
  </sheetPr>
  <dimension ref="A1:KR40"/>
  <sheetViews>
    <sheetView showGridLines="0" zoomScale="80" zoomScaleNormal="80" workbookViewId="0">
      <pane xSplit="9" ySplit="5" topLeftCell="J6" activePane="bottomRight" state="frozen"/>
      <selection pane="topRight" activeCell="AR5" sqref="AR5"/>
      <selection pane="bottomLeft" activeCell="AR5" sqref="AR5"/>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58" width="17" hidden="1" customWidth="1"/>
    <col min="59" max="59" width="3.5703125" hidden="1" customWidth="1"/>
    <col min="60" max="60" width="18.42578125" hidden="1" customWidth="1"/>
    <col min="61" max="61" width="4.42578125" hidden="1" customWidth="1"/>
    <col min="62" max="62" width="24.5703125" hidden="1" customWidth="1"/>
    <col min="63" max="63" width="3.5703125" hidden="1" customWidth="1"/>
    <col min="64" max="64" width="15.42578125" hidden="1" customWidth="1"/>
    <col min="65" max="304" width="24.5703125" hidden="1" customWidth="1"/>
    <col min="305" max="16384" width="8.85546875" hidden="1"/>
  </cols>
  <sheetData>
    <row r="1" spans="1:60" s="1" customFormat="1" x14ac:dyDescent="0.25">
      <c r="A1" s="1" t="str">
        <f ca="1">MID(CELL("filename",A1),FIND("]",CELL("filename",A1))+1,255)</f>
        <v>Service model assets</v>
      </c>
    </row>
    <row r="2" spans="1:60" s="1" customFormat="1" x14ac:dyDescent="0.25">
      <c r="A2" s="1" t="str">
        <f>Cover!D21&amp;" - "&amp;Cover!D23</f>
        <v>SHEPD  - Final</v>
      </c>
    </row>
    <row r="3" spans="1:60" s="5" customFormat="1" x14ac:dyDescent="0.25">
      <c r="A3" s="5" t="str">
        <f>Cover!D2&amp;" - "&amp;Cover!D8&amp;" v"&amp;Cover!D10&amp;" - "&amp;Cover!D19</f>
        <v>CDCM charging model - Release for charge setting v3 - 2020/21</v>
      </c>
    </row>
    <row r="4" spans="1:60" x14ac:dyDescent="0.25">
      <c r="A4" s="12" t="str">
        <f>H38 &amp; IF(H38 = 1, " issue", " issues") &amp;" identified in checks on this sheet"</f>
        <v>0 issues identified in checks on this sheet</v>
      </c>
      <c r="B4" s="13"/>
      <c r="C4" s="13"/>
      <c r="D4" s="13"/>
      <c r="E4" s="13"/>
      <c r="F4" s="13"/>
      <c r="G4" s="13"/>
      <c r="H4" s="14"/>
      <c r="I4" s="14"/>
      <c r="J4" s="13"/>
    </row>
    <row r="5" spans="1:60"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60"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T7" s="30"/>
      <c r="AU7" s="30"/>
      <c r="AV7" s="30"/>
      <c r="AW7" s="30"/>
      <c r="AX7" s="30"/>
      <c r="AY7" s="30"/>
      <c r="AZ7" s="30"/>
      <c r="BA7" s="30"/>
      <c r="BB7" s="30"/>
      <c r="BC7" s="30"/>
      <c r="BD7" s="30"/>
      <c r="BE7" s="30"/>
      <c r="BF7" s="30"/>
      <c r="BH7" s="30"/>
    </row>
    <row r="9" spans="1:60" x14ac:dyDescent="0.25">
      <c r="C9" s="29" t="s">
        <v>658</v>
      </c>
    </row>
    <row r="10" spans="1:60" x14ac:dyDescent="0.25">
      <c r="C10" s="29" t="s">
        <v>659</v>
      </c>
    </row>
    <row r="11" spans="1:60" x14ac:dyDescent="0.25">
      <c r="D11" s="32"/>
      <c r="L11" s="63"/>
      <c r="M11" s="63"/>
      <c r="BH11" s="3"/>
    </row>
    <row r="12" spans="1:60" x14ac:dyDescent="0.25">
      <c r="B12" s="30" t="s">
        <v>660</v>
      </c>
      <c r="C12" s="30"/>
      <c r="D12" s="30"/>
      <c r="E12" s="30"/>
      <c r="F12" s="30"/>
      <c r="G12" s="95"/>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3" spans="1:60" x14ac:dyDescent="0.25">
      <c r="G13" s="13"/>
    </row>
    <row r="14" spans="1:60" x14ac:dyDescent="0.25">
      <c r="C14" s="31" t="str">
        <f ca="1">INDEX('Version control'!$H$34:$H$56,MATCH($A$1,'Version control'!$F$34:$F$56,0),1)&amp;"-A: Service model notional asset values"</f>
        <v>Section 107-A: Service model notional asset values</v>
      </c>
      <c r="D14" s="31"/>
      <c r="E14" s="31"/>
      <c r="F14" s="31"/>
      <c r="G14" s="99"/>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c r="AM14" s="31"/>
      <c r="AN14" s="31"/>
      <c r="AO14" s="31"/>
      <c r="AP14" s="31"/>
      <c r="AQ14" s="31"/>
      <c r="AR14" s="31"/>
    </row>
    <row r="16" spans="1:60" x14ac:dyDescent="0.25">
      <c r="E16" s="28" t="s">
        <v>661</v>
      </c>
      <c r="G16" s="28" t="s">
        <v>248</v>
      </c>
      <c r="J16" s="123">
        <f>'Volume adjustments'!J103</f>
        <v>648027.97230304021</v>
      </c>
      <c r="K16" s="123">
        <f>'Volume adjustments'!K103</f>
        <v>62348.292383718399</v>
      </c>
      <c r="L16" s="123">
        <f>'Volume adjustments'!L103</f>
        <v>74712.24696844838</v>
      </c>
      <c r="M16" s="123">
        <f>'Volume adjustments'!M103</f>
        <v>62025.622806435131</v>
      </c>
      <c r="N16" s="123">
        <f>'Volume adjustments'!N103</f>
        <v>10120.901457473723</v>
      </c>
      <c r="O16" s="123">
        <f>'Volume adjustments'!O103</f>
        <v>2439.6302539687426</v>
      </c>
      <c r="P16" s="123">
        <f>'Volume adjustments'!P103</f>
        <v>408.11128582133045</v>
      </c>
      <c r="Q16" s="123">
        <f>'Volume adjustments'!Q103</f>
        <v>0</v>
      </c>
      <c r="R16" s="123">
        <f>'Volume adjustments'!R103</f>
        <v>1</v>
      </c>
      <c r="S16" s="123">
        <f>'Volume adjustments'!S103</f>
        <v>72.364170019668492</v>
      </c>
      <c r="T16" s="123">
        <f>'Volume adjustments'!T103</f>
        <v>972.04369291698447</v>
      </c>
      <c r="U16" s="123">
        <f>'Volume adjustments'!U103</f>
        <v>6693.2392036845376</v>
      </c>
      <c r="V16" s="123">
        <f>'Volume adjustments'!V103</f>
        <v>90.355381823885764</v>
      </c>
      <c r="W16" s="123">
        <f>'Volume adjustments'!W103</f>
        <v>723.15193655095402</v>
      </c>
      <c r="X16" s="123">
        <f>'Volume adjustments'!X103</f>
        <v>261</v>
      </c>
      <c r="Y16" s="123">
        <f>'Volume adjustments'!Y103</f>
        <v>2330.1701467704784</v>
      </c>
      <c r="Z16" s="123">
        <f>'Volume adjustments'!Z103</f>
        <v>1406</v>
      </c>
      <c r="AA16" s="123">
        <f>'Volume adjustments'!AA103</f>
        <v>6</v>
      </c>
      <c r="AB16" s="123">
        <f>'Volume adjustments'!AB103</f>
        <v>14</v>
      </c>
      <c r="AC16" s="123">
        <f>'Volume adjustments'!AC103</f>
        <v>404.27777777777777</v>
      </c>
      <c r="AD16" s="123">
        <f>'Volume adjustments'!AD103</f>
        <v>0</v>
      </c>
      <c r="AE16" s="123">
        <f>'Volume adjustments'!AE103</f>
        <v>779.57731074699097</v>
      </c>
      <c r="AF16" s="123">
        <f>'Volume adjustments'!AF103</f>
        <v>0</v>
      </c>
      <c r="AG16" s="123">
        <f>'Volume adjustments'!AG103</f>
        <v>44.041666727513075</v>
      </c>
      <c r="AH16" s="123">
        <f>'Volume adjustments'!AH103</f>
        <v>0</v>
      </c>
      <c r="AI16" s="123">
        <f>'Volume adjustments'!AI103</f>
        <v>2</v>
      </c>
      <c r="AJ16" s="123">
        <f>'Volume adjustments'!AJ103</f>
        <v>0</v>
      </c>
      <c r="AK16" s="123">
        <f>'Volume adjustments'!AK103</f>
        <v>0</v>
      </c>
      <c r="AL16" s="123">
        <f>'Volume adjustments'!AL103</f>
        <v>0</v>
      </c>
      <c r="AM16" s="123">
        <f>'Volume adjustments'!AM103</f>
        <v>293</v>
      </c>
      <c r="AN16" s="123">
        <f>'Volume adjustments'!AN103</f>
        <v>0</v>
      </c>
      <c r="AO16" s="123">
        <f>'Volume adjustments'!AO103</f>
        <v>100</v>
      </c>
      <c r="AP16" s="123">
        <f>'Volume adjustments'!AP103</f>
        <v>0</v>
      </c>
    </row>
    <row r="17" spans="5:42" x14ac:dyDescent="0.25">
      <c r="E17" s="28" t="s">
        <v>662</v>
      </c>
      <c r="G17" s="28" t="s">
        <v>243</v>
      </c>
      <c r="J17" s="123">
        <f>'Volume adjustments'!J92</f>
        <v>2359360.6618815465</v>
      </c>
      <c r="K17" s="123">
        <f>'Volume adjustments'!K92</f>
        <v>445623.8949172789</v>
      </c>
      <c r="L17" s="123">
        <f>'Volume adjustments'!L92</f>
        <v>423055.87757845432</v>
      </c>
      <c r="M17" s="123">
        <f>'Volume adjustments'!M92</f>
        <v>837309.17840270267</v>
      </c>
      <c r="N17" s="123">
        <f>'Volume adjustments'!N92</f>
        <v>234469.26872934497</v>
      </c>
      <c r="O17" s="123">
        <f>'Volume adjustments'!O92</f>
        <v>28141.504302703608</v>
      </c>
      <c r="P17" s="123">
        <f>'Volume adjustments'!P92</f>
        <v>39955.591352060583</v>
      </c>
      <c r="Q17" s="123">
        <f>'Volume adjustments'!Q92</f>
        <v>0</v>
      </c>
      <c r="R17" s="123">
        <f>'Volume adjustments'!R92</f>
        <v>818.16792580356218</v>
      </c>
      <c r="S17" s="123">
        <f>'Volume adjustments'!S92</f>
        <v>356.06838873336295</v>
      </c>
      <c r="T17" s="123">
        <f>'Volume adjustments'!T92</f>
        <v>74106.713753271164</v>
      </c>
      <c r="U17" s="123">
        <f>'Volume adjustments'!U92</f>
        <v>1600194.5651365716</v>
      </c>
      <c r="V17" s="123">
        <f>'Volume adjustments'!V92</f>
        <v>124193.96067864615</v>
      </c>
      <c r="W17" s="123">
        <f>'Volume adjustments'!W92</f>
        <v>918353.08819176257</v>
      </c>
      <c r="X17" s="123">
        <f>'Volume adjustments'!X92</f>
        <v>14143.024463568723</v>
      </c>
      <c r="Y17" s="123">
        <f>'Volume adjustments'!Y92</f>
        <v>17280.638083641774</v>
      </c>
      <c r="Z17" s="123">
        <f>'Volume adjustments'!Z92</f>
        <v>3520.726250029109</v>
      </c>
      <c r="AA17" s="123">
        <f>'Volume adjustments'!AA92</f>
        <v>44.247535426088803</v>
      </c>
      <c r="AB17" s="123">
        <f>'Volume adjustments'!AB92</f>
        <v>82860.929985677678</v>
      </c>
      <c r="AC17" s="123">
        <f>'Volume adjustments'!AC92</f>
        <v>6412.5597704205047</v>
      </c>
      <c r="AD17" s="123">
        <f>'Volume adjustments'!AD92</f>
        <v>0</v>
      </c>
      <c r="AE17" s="123">
        <f>'Volume adjustments'!AE92</f>
        <v>359281.93051380559</v>
      </c>
      <c r="AF17" s="123">
        <f>'Volume adjustments'!AF92</f>
        <v>0</v>
      </c>
      <c r="AG17" s="123">
        <f>'Volume adjustments'!AG92</f>
        <v>53320.666125091753</v>
      </c>
      <c r="AH17" s="123">
        <f>'Volume adjustments'!AH92</f>
        <v>0</v>
      </c>
      <c r="AI17" s="123">
        <f>'Volume adjustments'!AI92</f>
        <v>3513.2890000000002</v>
      </c>
      <c r="AJ17" s="123">
        <f>'Volume adjustments'!AJ92</f>
        <v>0</v>
      </c>
      <c r="AK17" s="123">
        <f>'Volume adjustments'!AK92</f>
        <v>0</v>
      </c>
      <c r="AL17" s="123">
        <f>'Volume adjustments'!AL92</f>
        <v>0</v>
      </c>
      <c r="AM17" s="123">
        <f>'Volume adjustments'!AM92</f>
        <v>652626.70721495803</v>
      </c>
      <c r="AN17" s="123">
        <f>'Volume adjustments'!AN92</f>
        <v>0</v>
      </c>
      <c r="AO17" s="123">
        <f>'Volume adjustments'!AO92</f>
        <v>839751.05090054707</v>
      </c>
      <c r="AP17" s="123">
        <f>'Volume adjustments'!AP92</f>
        <v>0</v>
      </c>
    </row>
    <row r="18" spans="5:42" x14ac:dyDescent="0.25">
      <c r="J18" s="92"/>
      <c r="K18" s="92"/>
      <c r="L18" s="92"/>
      <c r="M18" s="92"/>
      <c r="N18" s="92"/>
      <c r="O18" s="92"/>
      <c r="P18" s="92"/>
      <c r="Q18" s="92"/>
      <c r="R18" s="92"/>
      <c r="S18" s="92"/>
      <c r="T18" s="92"/>
      <c r="U18" s="92"/>
      <c r="V18" s="92"/>
      <c r="W18" s="92"/>
      <c r="X18" s="92"/>
      <c r="Y18" s="92"/>
      <c r="Z18" s="92"/>
      <c r="AA18" s="92"/>
      <c r="AB18" s="92"/>
      <c r="AC18" s="92"/>
      <c r="AD18" s="92"/>
      <c r="AE18" s="92"/>
      <c r="AF18" s="92"/>
      <c r="AG18" s="92"/>
      <c r="AH18" s="92"/>
      <c r="AI18" s="92"/>
      <c r="AJ18" s="92"/>
      <c r="AK18" s="92"/>
      <c r="AL18" s="92"/>
      <c r="AM18" s="92"/>
      <c r="AN18" s="92"/>
      <c r="AO18" s="92"/>
      <c r="AP18" s="92"/>
    </row>
    <row r="19" spans="5:42" x14ac:dyDescent="0.25">
      <c r="E19" s="91" t="s">
        <v>663</v>
      </c>
      <c r="J19" s="92"/>
      <c r="K19" s="92"/>
      <c r="L19" s="92"/>
      <c r="M19" s="92"/>
      <c r="N19" s="92"/>
      <c r="O19" s="92"/>
      <c r="P19" s="92"/>
      <c r="Q19" s="92"/>
      <c r="R19" s="92"/>
      <c r="S19" s="92"/>
      <c r="T19" s="92"/>
      <c r="U19" s="92"/>
      <c r="V19" s="92"/>
      <c r="W19" s="92"/>
      <c r="X19" s="92"/>
      <c r="Y19" s="92"/>
      <c r="Z19" s="92"/>
      <c r="AA19" s="92"/>
      <c r="AB19" s="92"/>
      <c r="AC19" s="92"/>
      <c r="AD19" s="92"/>
      <c r="AE19" s="92"/>
      <c r="AF19" s="92"/>
      <c r="AG19" s="92"/>
      <c r="AH19" s="92"/>
      <c r="AI19" s="92"/>
      <c r="AJ19" s="92"/>
      <c r="AK19" s="92"/>
      <c r="AL19" s="92"/>
      <c r="AM19" s="92"/>
      <c r="AN19" s="92"/>
      <c r="AO19" s="92"/>
      <c r="AP19" s="92"/>
    </row>
    <row r="20" spans="5:42" x14ac:dyDescent="0.25">
      <c r="E20" s="29" t="s">
        <v>664</v>
      </c>
      <c r="J20" s="92"/>
      <c r="K20" s="92"/>
      <c r="L20" s="92"/>
      <c r="M20" s="92"/>
      <c r="N20" s="92"/>
      <c r="O20" s="92"/>
      <c r="P20" s="92"/>
      <c r="Q20" s="92"/>
      <c r="R20" s="92"/>
      <c r="S20" s="92"/>
      <c r="T20" s="92"/>
      <c r="U20" s="92"/>
      <c r="V20" s="92"/>
      <c r="W20" s="92"/>
      <c r="X20" s="92"/>
      <c r="Y20" s="92"/>
      <c r="Z20" s="92"/>
      <c r="AA20" s="92"/>
      <c r="AB20" s="92"/>
      <c r="AC20" s="92"/>
      <c r="AD20" s="92"/>
      <c r="AE20" s="92"/>
      <c r="AF20" s="92"/>
      <c r="AG20" s="92"/>
      <c r="AH20" s="92"/>
      <c r="AI20" s="92"/>
      <c r="AJ20" s="92"/>
      <c r="AK20" s="92"/>
      <c r="AL20" s="92"/>
      <c r="AM20" s="92"/>
      <c r="AN20" s="92"/>
      <c r="AO20" s="92"/>
      <c r="AP20" s="92"/>
    </row>
    <row r="21" spans="5:42" x14ac:dyDescent="0.25">
      <c r="E21" s="91"/>
      <c r="F21" s="23" t="s">
        <v>436</v>
      </c>
      <c r="G21" s="23" t="s">
        <v>319</v>
      </c>
      <c r="H21" s="191"/>
      <c r="I21" s="23"/>
      <c r="J21" s="127">
        <f>'Inputs by customer type'!J71</f>
        <v>323.42983412755331</v>
      </c>
      <c r="K21" s="127">
        <f>'Inputs by customer type'!K71</f>
        <v>323.42983412755331</v>
      </c>
      <c r="L21" s="127">
        <f>'Inputs by customer type'!L71</f>
        <v>0</v>
      </c>
      <c r="M21" s="127">
        <f>'Inputs by customer type'!M71</f>
        <v>589.23</v>
      </c>
      <c r="N21" s="127">
        <f>'Inputs by customer type'!N71</f>
        <v>589.23</v>
      </c>
      <c r="O21" s="127">
        <f>'Inputs by customer type'!O71</f>
        <v>0</v>
      </c>
      <c r="P21" s="127">
        <f>'Inputs by customer type'!P71</f>
        <v>2305.65</v>
      </c>
      <c r="Q21" s="127">
        <f>'Inputs by customer type'!Q71</f>
        <v>4884.76</v>
      </c>
      <c r="R21" s="127">
        <f>'Inputs by customer type'!R71</f>
        <v>0</v>
      </c>
      <c r="S21" s="127">
        <f>'Inputs by customer type'!S71</f>
        <v>323.42983412755331</v>
      </c>
      <c r="T21" s="127">
        <f>'Inputs by customer type'!T71</f>
        <v>589.23</v>
      </c>
      <c r="U21" s="127">
        <f>'Inputs by customer type'!U71</f>
        <v>2573.337</v>
      </c>
      <c r="V21" s="127">
        <f>'Inputs by customer type'!V71</f>
        <v>4884.76</v>
      </c>
      <c r="W21" s="127">
        <f>'Inputs by customer type'!W71</f>
        <v>0</v>
      </c>
      <c r="X21" s="83"/>
      <c r="Y21" s="83"/>
      <c r="Z21" s="83"/>
      <c r="AA21" s="83"/>
      <c r="AB21" s="83"/>
      <c r="AC21" s="127">
        <f>'Inputs by customer type'!AC71</f>
        <v>0</v>
      </c>
      <c r="AD21" s="127">
        <f>'Inputs by customer type'!AD71</f>
        <v>0</v>
      </c>
      <c r="AE21" s="127">
        <f>'Inputs by customer type'!AE71</f>
        <v>0</v>
      </c>
      <c r="AF21" s="127">
        <f>'Inputs by customer type'!AF71</f>
        <v>0</v>
      </c>
      <c r="AG21" s="127">
        <f>'Inputs by customer type'!AG71</f>
        <v>0</v>
      </c>
      <c r="AH21" s="127">
        <f>'Inputs by customer type'!AH71</f>
        <v>0</v>
      </c>
      <c r="AI21" s="127">
        <f>'Inputs by customer type'!AI71</f>
        <v>0</v>
      </c>
      <c r="AJ21" s="127">
        <f>'Inputs by customer type'!AJ71</f>
        <v>0</v>
      </c>
      <c r="AK21" s="127">
        <f>'Inputs by customer type'!AK71</f>
        <v>0</v>
      </c>
      <c r="AL21" s="127">
        <f>'Inputs by customer type'!AL71</f>
        <v>0</v>
      </c>
      <c r="AM21" s="127">
        <f>'Inputs by customer type'!AM71</f>
        <v>0</v>
      </c>
      <c r="AN21" s="127">
        <f>'Inputs by customer type'!AN71</f>
        <v>0</v>
      </c>
      <c r="AO21" s="127">
        <f>'Inputs by customer type'!AO71</f>
        <v>0</v>
      </c>
      <c r="AP21" s="127">
        <f>'Inputs by customer type'!AP71</f>
        <v>0</v>
      </c>
    </row>
    <row r="22" spans="5:42" x14ac:dyDescent="0.25">
      <c r="E22" s="91"/>
      <c r="F22" t="s">
        <v>437</v>
      </c>
      <c r="G22" t="s">
        <v>319</v>
      </c>
      <c r="H22" s="51"/>
      <c r="J22" s="123">
        <f>'Inputs by customer type'!J72</f>
        <v>0</v>
      </c>
      <c r="K22" s="123">
        <f>'Inputs by customer type'!K72</f>
        <v>0</v>
      </c>
      <c r="L22" s="123">
        <f>'Inputs by customer type'!L72</f>
        <v>0</v>
      </c>
      <c r="M22" s="123">
        <f>'Inputs by customer type'!M72</f>
        <v>0</v>
      </c>
      <c r="N22" s="123">
        <f>'Inputs by customer type'!N72</f>
        <v>0</v>
      </c>
      <c r="O22" s="123">
        <f>'Inputs by customer type'!O72</f>
        <v>0</v>
      </c>
      <c r="P22" s="123">
        <f>'Inputs by customer type'!P72</f>
        <v>0</v>
      </c>
      <c r="Q22" s="123">
        <f>'Inputs by customer type'!Q72</f>
        <v>0</v>
      </c>
      <c r="R22" s="123">
        <f>'Inputs by customer type'!R72</f>
        <v>28627.97</v>
      </c>
      <c r="S22" s="123">
        <f>'Inputs by customer type'!S72</f>
        <v>0</v>
      </c>
      <c r="T22" s="123">
        <f>'Inputs by customer type'!T72</f>
        <v>0</v>
      </c>
      <c r="U22" s="123">
        <f>'Inputs by customer type'!U72</f>
        <v>0</v>
      </c>
      <c r="V22" s="123">
        <f>'Inputs by customer type'!V72</f>
        <v>0</v>
      </c>
      <c r="W22" s="123">
        <f>'Inputs by customer type'!W72</f>
        <v>28627.97</v>
      </c>
      <c r="X22" s="79"/>
      <c r="Y22" s="79"/>
      <c r="Z22" s="79"/>
      <c r="AA22" s="79"/>
      <c r="AB22" s="79"/>
      <c r="AC22" s="123">
        <f>'Inputs by customer type'!AC72</f>
        <v>0</v>
      </c>
      <c r="AD22" s="123">
        <f>'Inputs by customer type'!AD72</f>
        <v>0</v>
      </c>
      <c r="AE22" s="123">
        <f>'Inputs by customer type'!AE72</f>
        <v>0</v>
      </c>
      <c r="AF22" s="123">
        <f>'Inputs by customer type'!AF72</f>
        <v>0</v>
      </c>
      <c r="AG22" s="123">
        <f>'Inputs by customer type'!AG72</f>
        <v>0</v>
      </c>
      <c r="AH22" s="123">
        <f>'Inputs by customer type'!AH72</f>
        <v>0</v>
      </c>
      <c r="AI22" s="123">
        <f>'Inputs by customer type'!AI72</f>
        <v>0</v>
      </c>
      <c r="AJ22" s="123">
        <f>'Inputs by customer type'!AJ72</f>
        <v>0</v>
      </c>
      <c r="AK22" s="123">
        <f>'Inputs by customer type'!AK72</f>
        <v>0</v>
      </c>
      <c r="AL22" s="123">
        <f>'Inputs by customer type'!AL72</f>
        <v>0</v>
      </c>
      <c r="AM22" s="123">
        <f>'Inputs by customer type'!AM72</f>
        <v>39729.17</v>
      </c>
      <c r="AN22" s="123">
        <f>'Inputs by customer type'!AN72</f>
        <v>39729.17</v>
      </c>
      <c r="AO22" s="123">
        <f>'Inputs by customer type'!AO72</f>
        <v>39729.17</v>
      </c>
      <c r="AP22" s="123">
        <f>'Inputs by customer type'!AP72</f>
        <v>39729.17</v>
      </c>
    </row>
    <row r="23" spans="5:42" x14ac:dyDescent="0.25">
      <c r="E23" s="91"/>
      <c r="F23" s="37" t="s">
        <v>665</v>
      </c>
      <c r="G23" s="37" t="s">
        <v>322</v>
      </c>
      <c r="H23" s="37"/>
      <c r="I23" s="37"/>
      <c r="J23" s="81"/>
      <c r="K23" s="81"/>
      <c r="L23" s="81"/>
      <c r="M23" s="81"/>
      <c r="N23" s="81"/>
      <c r="O23" s="81"/>
      <c r="P23" s="81"/>
      <c r="Q23" s="81"/>
      <c r="R23" s="81"/>
      <c r="S23" s="81"/>
      <c r="T23" s="81"/>
      <c r="U23" s="81"/>
      <c r="V23" s="81"/>
      <c r="W23" s="81"/>
      <c r="X23" s="128">
        <f>'Inputs by customer type'!X74</f>
        <v>487.69514999999996</v>
      </c>
      <c r="Y23" s="128">
        <f>'Inputs by customer type'!Y74</f>
        <v>487.69514999999996</v>
      </c>
      <c r="Z23" s="128">
        <f>'Inputs by customer type'!Z74</f>
        <v>487.69514999999996</v>
      </c>
      <c r="AA23" s="128">
        <f>'Inputs by customer type'!AA74</f>
        <v>487.69514999999996</v>
      </c>
      <c r="AB23" s="128">
        <f>'Inputs by customer type'!AB74</f>
        <v>487.69514999999996</v>
      </c>
      <c r="AC23" s="81"/>
      <c r="AD23" s="81"/>
      <c r="AE23" s="81"/>
      <c r="AF23" s="81"/>
      <c r="AG23" s="81"/>
      <c r="AH23" s="81"/>
      <c r="AI23" s="81"/>
      <c r="AJ23" s="81"/>
      <c r="AK23" s="81"/>
      <c r="AL23" s="81"/>
      <c r="AM23" s="81"/>
      <c r="AN23" s="81"/>
      <c r="AO23" s="81"/>
      <c r="AP23" s="81"/>
    </row>
    <row r="24" spans="5:42" x14ac:dyDescent="0.25">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5:42" x14ac:dyDescent="0.25">
      <c r="E25" s="91" t="s">
        <v>666</v>
      </c>
      <c r="J25" s="92"/>
      <c r="K25" s="92"/>
      <c r="L25" s="92"/>
      <c r="M25" s="92"/>
      <c r="N25" s="92"/>
      <c r="O25" s="92"/>
      <c r="P25" s="92"/>
      <c r="Q25" s="92"/>
      <c r="R25" s="92"/>
      <c r="S25" s="92"/>
      <c r="T25" s="92"/>
      <c r="U25" s="92"/>
      <c r="V25" s="92"/>
      <c r="W25" s="92"/>
      <c r="X25" s="92"/>
      <c r="Y25" s="92"/>
      <c r="Z25" s="92"/>
      <c r="AA25" s="92"/>
      <c r="AB25" s="92"/>
      <c r="AC25" s="92"/>
      <c r="AD25" s="92"/>
      <c r="AE25" s="92"/>
      <c r="AF25" s="92"/>
      <c r="AG25" s="92"/>
      <c r="AH25" s="92"/>
      <c r="AI25" s="92"/>
      <c r="AJ25" s="92"/>
      <c r="AK25" s="92"/>
      <c r="AL25" s="92"/>
      <c r="AM25" s="92"/>
      <c r="AN25" s="92"/>
      <c r="AO25" s="92"/>
      <c r="AP25" s="92"/>
    </row>
    <row r="26" spans="5:42" x14ac:dyDescent="0.25">
      <c r="E26" s="29" t="s">
        <v>667</v>
      </c>
      <c r="J26" s="92"/>
      <c r="K26" s="92"/>
      <c r="L26" s="92"/>
      <c r="M26" s="92"/>
      <c r="N26" s="92"/>
      <c r="O26" s="92"/>
      <c r="P26" s="92"/>
      <c r="Q26" s="92"/>
      <c r="R26" s="92"/>
      <c r="S26" s="92"/>
      <c r="T26" s="92"/>
      <c r="U26" s="92"/>
      <c r="V26" s="92"/>
      <c r="W26" s="92"/>
      <c r="X26" s="92"/>
      <c r="Y26" s="92"/>
      <c r="Z26" s="92"/>
      <c r="AA26" s="92"/>
      <c r="AB26" s="92"/>
      <c r="AC26" s="92"/>
      <c r="AD26" s="92"/>
      <c r="AE26" s="92"/>
      <c r="AF26" s="92"/>
      <c r="AG26" s="92"/>
      <c r="AH26" s="92"/>
      <c r="AI26" s="92"/>
      <c r="AJ26" s="92"/>
      <c r="AK26" s="92"/>
      <c r="AL26" s="92"/>
      <c r="AM26" s="92"/>
      <c r="AN26" s="92"/>
      <c r="AO26" s="92"/>
      <c r="AP26" s="92"/>
    </row>
    <row r="27" spans="5:42" x14ac:dyDescent="0.25">
      <c r="F27" s="23" t="s">
        <v>436</v>
      </c>
      <c r="G27" s="23" t="s">
        <v>335</v>
      </c>
      <c r="H27" s="132"/>
      <c r="I27" s="23"/>
      <c r="J27" s="129">
        <f t="shared" ref="J27:AP27" si="0">J21 * J$16</f>
        <v>209591579.59198701</v>
      </c>
      <c r="K27" s="129">
        <f t="shared" si="0"/>
        <v>20165297.863802236</v>
      </c>
      <c r="L27" s="129">
        <f t="shared" si="0"/>
        <v>0</v>
      </c>
      <c r="M27" s="129">
        <f t="shared" si="0"/>
        <v>36547357.72623577</v>
      </c>
      <c r="N27" s="129">
        <f t="shared" si="0"/>
        <v>5963538.765787242</v>
      </c>
      <c r="O27" s="129">
        <f t="shared" si="0"/>
        <v>0</v>
      </c>
      <c r="P27" s="129">
        <f t="shared" si="0"/>
        <v>940961.78615395061</v>
      </c>
      <c r="Q27" s="129">
        <f t="shared" si="0"/>
        <v>0</v>
      </c>
      <c r="R27" s="129">
        <f t="shared" si="0"/>
        <v>0</v>
      </c>
      <c r="S27" s="129">
        <f t="shared" si="0"/>
        <v>23404.731506239445</v>
      </c>
      <c r="T27" s="129">
        <f t="shared" si="0"/>
        <v>572757.30517747474</v>
      </c>
      <c r="U27" s="129">
        <f t="shared" si="0"/>
        <v>17223960.092691958</v>
      </c>
      <c r="V27" s="129">
        <f t="shared" si="0"/>
        <v>441364.35491804424</v>
      </c>
      <c r="W27" s="129">
        <f t="shared" si="0"/>
        <v>0</v>
      </c>
      <c r="X27" s="129">
        <f t="shared" si="0"/>
        <v>0</v>
      </c>
      <c r="Y27" s="129">
        <f t="shared" si="0"/>
        <v>0</v>
      </c>
      <c r="Z27" s="129">
        <f t="shared" si="0"/>
        <v>0</v>
      </c>
      <c r="AA27" s="129">
        <f t="shared" si="0"/>
        <v>0</v>
      </c>
      <c r="AB27" s="129">
        <f t="shared" si="0"/>
        <v>0</v>
      </c>
      <c r="AC27" s="129">
        <f t="shared" si="0"/>
        <v>0</v>
      </c>
      <c r="AD27" s="129">
        <f t="shared" si="0"/>
        <v>0</v>
      </c>
      <c r="AE27" s="129">
        <f t="shared" si="0"/>
        <v>0</v>
      </c>
      <c r="AF27" s="129">
        <f t="shared" si="0"/>
        <v>0</v>
      </c>
      <c r="AG27" s="129">
        <f t="shared" si="0"/>
        <v>0</v>
      </c>
      <c r="AH27" s="129">
        <f t="shared" si="0"/>
        <v>0</v>
      </c>
      <c r="AI27" s="129">
        <f t="shared" si="0"/>
        <v>0</v>
      </c>
      <c r="AJ27" s="129">
        <f t="shared" si="0"/>
        <v>0</v>
      </c>
      <c r="AK27" s="129">
        <f t="shared" si="0"/>
        <v>0</v>
      </c>
      <c r="AL27" s="129">
        <f t="shared" si="0"/>
        <v>0</v>
      </c>
      <c r="AM27" s="129">
        <f t="shared" si="0"/>
        <v>0</v>
      </c>
      <c r="AN27" s="129">
        <f t="shared" si="0"/>
        <v>0</v>
      </c>
      <c r="AO27" s="129">
        <f t="shared" si="0"/>
        <v>0</v>
      </c>
      <c r="AP27" s="129">
        <f t="shared" si="0"/>
        <v>0</v>
      </c>
    </row>
    <row r="28" spans="5:42" x14ac:dyDescent="0.25">
      <c r="F28" t="s">
        <v>437</v>
      </c>
      <c r="G28" t="s">
        <v>335</v>
      </c>
      <c r="H28" s="63"/>
      <c r="J28" s="101">
        <f t="shared" ref="J28:AP28" si="1">J22 * J$16</f>
        <v>0</v>
      </c>
      <c r="K28" s="101">
        <f t="shared" si="1"/>
        <v>0</v>
      </c>
      <c r="L28" s="101">
        <f t="shared" si="1"/>
        <v>0</v>
      </c>
      <c r="M28" s="101">
        <f t="shared" si="1"/>
        <v>0</v>
      </c>
      <c r="N28" s="101">
        <f t="shared" si="1"/>
        <v>0</v>
      </c>
      <c r="O28" s="101">
        <f t="shared" si="1"/>
        <v>0</v>
      </c>
      <c r="P28" s="101">
        <f t="shared" si="1"/>
        <v>0</v>
      </c>
      <c r="Q28" s="101">
        <f t="shared" si="1"/>
        <v>0</v>
      </c>
      <c r="R28" s="101">
        <f t="shared" si="1"/>
        <v>28627.97</v>
      </c>
      <c r="S28" s="101">
        <f t="shared" si="1"/>
        <v>0</v>
      </c>
      <c r="T28" s="101">
        <f t="shared" si="1"/>
        <v>0</v>
      </c>
      <c r="U28" s="101">
        <f t="shared" si="1"/>
        <v>0</v>
      </c>
      <c r="V28" s="101">
        <f t="shared" si="1"/>
        <v>0</v>
      </c>
      <c r="W28" s="101">
        <f t="shared" si="1"/>
        <v>20702371.945022617</v>
      </c>
      <c r="X28" s="101">
        <f t="shared" si="1"/>
        <v>0</v>
      </c>
      <c r="Y28" s="101">
        <f t="shared" si="1"/>
        <v>0</v>
      </c>
      <c r="Z28" s="101">
        <f t="shared" si="1"/>
        <v>0</v>
      </c>
      <c r="AA28" s="101">
        <f t="shared" si="1"/>
        <v>0</v>
      </c>
      <c r="AB28" s="101">
        <f t="shared" si="1"/>
        <v>0</v>
      </c>
      <c r="AC28" s="101">
        <f t="shared" si="1"/>
        <v>0</v>
      </c>
      <c r="AD28" s="101">
        <f t="shared" si="1"/>
        <v>0</v>
      </c>
      <c r="AE28" s="101">
        <f t="shared" si="1"/>
        <v>0</v>
      </c>
      <c r="AF28" s="101">
        <f t="shared" si="1"/>
        <v>0</v>
      </c>
      <c r="AG28" s="101">
        <f t="shared" si="1"/>
        <v>0</v>
      </c>
      <c r="AH28" s="101">
        <f t="shared" si="1"/>
        <v>0</v>
      </c>
      <c r="AI28" s="101">
        <f t="shared" si="1"/>
        <v>0</v>
      </c>
      <c r="AJ28" s="101">
        <f t="shared" si="1"/>
        <v>0</v>
      </c>
      <c r="AK28" s="101">
        <f t="shared" si="1"/>
        <v>0</v>
      </c>
      <c r="AL28" s="101">
        <f t="shared" si="1"/>
        <v>0</v>
      </c>
      <c r="AM28" s="101">
        <f t="shared" si="1"/>
        <v>11640646.809999999</v>
      </c>
      <c r="AN28" s="101">
        <f t="shared" si="1"/>
        <v>0</v>
      </c>
      <c r="AO28" s="101">
        <f t="shared" si="1"/>
        <v>3972917</v>
      </c>
      <c r="AP28" s="101">
        <f t="shared" si="1"/>
        <v>0</v>
      </c>
    </row>
    <row r="29" spans="5:42" x14ac:dyDescent="0.25">
      <c r="F29" s="37" t="s">
        <v>665</v>
      </c>
      <c r="G29" s="37" t="s">
        <v>335</v>
      </c>
      <c r="H29" s="133"/>
      <c r="I29" s="37"/>
      <c r="J29" s="81"/>
      <c r="K29" s="81"/>
      <c r="L29" s="81"/>
      <c r="M29" s="81"/>
      <c r="N29" s="81"/>
      <c r="O29" s="81"/>
      <c r="P29" s="81"/>
      <c r="Q29" s="81"/>
      <c r="R29" s="81"/>
      <c r="S29" s="81"/>
      <c r="T29" s="81"/>
      <c r="U29" s="81"/>
      <c r="V29" s="81"/>
      <c r="W29" s="81"/>
      <c r="X29" s="103">
        <f>X23 * X$17</f>
        <v>6897484.4372138176</v>
      </c>
      <c r="Y29" s="103">
        <f>Y23 * Y$17</f>
        <v>8427683.3822973873</v>
      </c>
      <c r="Z29" s="103">
        <f>Z23 * Z$17</f>
        <v>1717041.1166168835</v>
      </c>
      <c r="AA29" s="103">
        <f>AA23 * AA$17</f>
        <v>21579.308426756692</v>
      </c>
      <c r="AB29" s="103">
        <f>AB23 * AB$17</f>
        <v>40410873.678504571</v>
      </c>
      <c r="AC29" s="81"/>
      <c r="AD29" s="81"/>
      <c r="AE29" s="81"/>
      <c r="AF29" s="81"/>
      <c r="AG29" s="81"/>
      <c r="AH29" s="81"/>
      <c r="AI29" s="81"/>
      <c r="AJ29" s="81"/>
      <c r="AK29" s="81"/>
      <c r="AL29" s="81"/>
      <c r="AM29" s="81"/>
      <c r="AN29" s="81"/>
      <c r="AO29" s="81"/>
      <c r="AP29" s="81"/>
    </row>
    <row r="30" spans="5:42" x14ac:dyDescent="0.25">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5:42" x14ac:dyDescent="0.25">
      <c r="E31" s="91" t="s">
        <v>668</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5:42" x14ac:dyDescent="0.25">
      <c r="E32" s="29" t="s">
        <v>669</v>
      </c>
      <c r="H32" s="131" t="s">
        <v>657</v>
      </c>
      <c r="J32" s="92"/>
      <c r="K32" s="92"/>
      <c r="L32" s="92"/>
      <c r="M32" s="92"/>
      <c r="N32" s="92"/>
      <c r="O32" s="92"/>
      <c r="P32" s="92"/>
      <c r="Q32" s="92"/>
      <c r="R32" s="92"/>
      <c r="S32" s="92"/>
      <c r="T32" s="92"/>
      <c r="U32" s="92"/>
      <c r="V32" s="92"/>
      <c r="W32" s="92"/>
      <c r="X32" s="92"/>
      <c r="Y32" s="92"/>
      <c r="Z32" s="92"/>
      <c r="AA32" s="92"/>
      <c r="AB32" s="92"/>
      <c r="AC32" s="92"/>
      <c r="AD32" s="92"/>
      <c r="AE32" s="92"/>
      <c r="AF32" s="92"/>
      <c r="AG32" s="92"/>
      <c r="AH32" s="92"/>
      <c r="AI32" s="92"/>
      <c r="AJ32" s="92"/>
      <c r="AK32" s="92"/>
      <c r="AL32" s="92"/>
      <c r="AM32" s="92"/>
      <c r="AN32" s="92"/>
      <c r="AO32" s="92"/>
      <c r="AP32" s="92"/>
    </row>
    <row r="33" spans="2:60" x14ac:dyDescent="0.25">
      <c r="F33" s="23" t="s">
        <v>670</v>
      </c>
      <c r="G33" s="23"/>
      <c r="H33" s="104">
        <f>SUM(J33:AP33)</f>
        <v>348944884.14131939</v>
      </c>
      <c r="I33" s="23"/>
      <c r="J33" s="163">
        <f t="shared" ref="J33:AP33" si="2">J27 +J29</f>
        <v>209591579.59198701</v>
      </c>
      <c r="K33" s="163">
        <f t="shared" si="2"/>
        <v>20165297.863802236</v>
      </c>
      <c r="L33" s="163">
        <f t="shared" si="2"/>
        <v>0</v>
      </c>
      <c r="M33" s="163">
        <f t="shared" si="2"/>
        <v>36547357.72623577</v>
      </c>
      <c r="N33" s="163">
        <f t="shared" si="2"/>
        <v>5963538.765787242</v>
      </c>
      <c r="O33" s="163">
        <f t="shared" si="2"/>
        <v>0</v>
      </c>
      <c r="P33" s="163">
        <f t="shared" si="2"/>
        <v>940961.78615395061</v>
      </c>
      <c r="Q33" s="163">
        <f t="shared" si="2"/>
        <v>0</v>
      </c>
      <c r="R33" s="163">
        <f t="shared" si="2"/>
        <v>0</v>
      </c>
      <c r="S33" s="163">
        <f t="shared" si="2"/>
        <v>23404.731506239445</v>
      </c>
      <c r="T33" s="163">
        <f t="shared" si="2"/>
        <v>572757.30517747474</v>
      </c>
      <c r="U33" s="163">
        <f t="shared" si="2"/>
        <v>17223960.092691958</v>
      </c>
      <c r="V33" s="163">
        <f t="shared" si="2"/>
        <v>441364.35491804424</v>
      </c>
      <c r="W33" s="163">
        <f t="shared" si="2"/>
        <v>0</v>
      </c>
      <c r="X33" s="163">
        <f t="shared" si="2"/>
        <v>6897484.4372138176</v>
      </c>
      <c r="Y33" s="163">
        <f t="shared" si="2"/>
        <v>8427683.3822973873</v>
      </c>
      <c r="Z33" s="163">
        <f t="shared" si="2"/>
        <v>1717041.1166168835</v>
      </c>
      <c r="AA33" s="163">
        <f t="shared" si="2"/>
        <v>21579.308426756692</v>
      </c>
      <c r="AB33" s="163">
        <f t="shared" si="2"/>
        <v>40410873.678504571</v>
      </c>
      <c r="AC33" s="163">
        <f t="shared" si="2"/>
        <v>0</v>
      </c>
      <c r="AD33" s="163">
        <f t="shared" si="2"/>
        <v>0</v>
      </c>
      <c r="AE33" s="163">
        <f t="shared" si="2"/>
        <v>0</v>
      </c>
      <c r="AF33" s="163">
        <f t="shared" si="2"/>
        <v>0</v>
      </c>
      <c r="AG33" s="163">
        <f t="shared" si="2"/>
        <v>0</v>
      </c>
      <c r="AH33" s="163">
        <f t="shared" si="2"/>
        <v>0</v>
      </c>
      <c r="AI33" s="163">
        <f t="shared" si="2"/>
        <v>0</v>
      </c>
      <c r="AJ33" s="163">
        <f t="shared" si="2"/>
        <v>0</v>
      </c>
      <c r="AK33" s="163">
        <f t="shared" si="2"/>
        <v>0</v>
      </c>
      <c r="AL33" s="163">
        <f t="shared" si="2"/>
        <v>0</v>
      </c>
      <c r="AM33" s="163">
        <f t="shared" si="2"/>
        <v>0</v>
      </c>
      <c r="AN33" s="163">
        <f t="shared" si="2"/>
        <v>0</v>
      </c>
      <c r="AO33" s="163">
        <f t="shared" si="2"/>
        <v>0</v>
      </c>
      <c r="AP33" s="163">
        <f t="shared" si="2"/>
        <v>0</v>
      </c>
    </row>
    <row r="34" spans="2:60" x14ac:dyDescent="0.25">
      <c r="F34" s="37" t="s">
        <v>671</v>
      </c>
      <c r="G34" s="37"/>
      <c r="H34" s="134">
        <f>SUM(J34:AP34)</f>
        <v>36344563.725022614</v>
      </c>
      <c r="I34" s="37"/>
      <c r="J34" s="82">
        <f>J28</f>
        <v>0</v>
      </c>
      <c r="K34" s="82">
        <f t="shared" ref="K34:AP34" si="3">K28</f>
        <v>0</v>
      </c>
      <c r="L34" s="82">
        <f t="shared" si="3"/>
        <v>0</v>
      </c>
      <c r="M34" s="82">
        <f t="shared" si="3"/>
        <v>0</v>
      </c>
      <c r="N34" s="82">
        <f t="shared" si="3"/>
        <v>0</v>
      </c>
      <c r="O34" s="82">
        <f t="shared" si="3"/>
        <v>0</v>
      </c>
      <c r="P34" s="82">
        <f t="shared" si="3"/>
        <v>0</v>
      </c>
      <c r="Q34" s="82">
        <f t="shared" si="3"/>
        <v>0</v>
      </c>
      <c r="R34" s="82">
        <f t="shared" si="3"/>
        <v>28627.97</v>
      </c>
      <c r="S34" s="82">
        <f t="shared" si="3"/>
        <v>0</v>
      </c>
      <c r="T34" s="82">
        <f t="shared" si="3"/>
        <v>0</v>
      </c>
      <c r="U34" s="82">
        <f t="shared" si="3"/>
        <v>0</v>
      </c>
      <c r="V34" s="82">
        <f t="shared" si="3"/>
        <v>0</v>
      </c>
      <c r="W34" s="82">
        <f t="shared" si="3"/>
        <v>20702371.945022617</v>
      </c>
      <c r="X34" s="82">
        <f t="shared" si="3"/>
        <v>0</v>
      </c>
      <c r="Y34" s="82">
        <f t="shared" si="3"/>
        <v>0</v>
      </c>
      <c r="Z34" s="82">
        <f t="shared" si="3"/>
        <v>0</v>
      </c>
      <c r="AA34" s="82">
        <f t="shared" si="3"/>
        <v>0</v>
      </c>
      <c r="AB34" s="82">
        <f t="shared" si="3"/>
        <v>0</v>
      </c>
      <c r="AC34" s="82">
        <f t="shared" si="3"/>
        <v>0</v>
      </c>
      <c r="AD34" s="82">
        <f t="shared" si="3"/>
        <v>0</v>
      </c>
      <c r="AE34" s="82">
        <f t="shared" si="3"/>
        <v>0</v>
      </c>
      <c r="AF34" s="82">
        <f t="shared" si="3"/>
        <v>0</v>
      </c>
      <c r="AG34" s="82">
        <f t="shared" si="3"/>
        <v>0</v>
      </c>
      <c r="AH34" s="82">
        <f t="shared" si="3"/>
        <v>0</v>
      </c>
      <c r="AI34" s="82">
        <f t="shared" si="3"/>
        <v>0</v>
      </c>
      <c r="AJ34" s="82">
        <f t="shared" si="3"/>
        <v>0</v>
      </c>
      <c r="AK34" s="82">
        <f t="shared" si="3"/>
        <v>0</v>
      </c>
      <c r="AL34" s="82">
        <f t="shared" si="3"/>
        <v>0</v>
      </c>
      <c r="AM34" s="82">
        <f t="shared" si="3"/>
        <v>11640646.809999999</v>
      </c>
      <c r="AN34" s="82">
        <f t="shared" si="3"/>
        <v>0</v>
      </c>
      <c r="AO34" s="82">
        <f t="shared" si="3"/>
        <v>3972917</v>
      </c>
      <c r="AP34" s="82">
        <f t="shared" si="3"/>
        <v>0</v>
      </c>
    </row>
    <row r="36" spans="2:60" x14ac:dyDescent="0.25">
      <c r="B36" s="30" t="s">
        <v>280</v>
      </c>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T36" s="30"/>
      <c r="AU36" s="30"/>
      <c r="AV36" s="30"/>
      <c r="AW36" s="30"/>
      <c r="AX36" s="30"/>
      <c r="AY36" s="30"/>
      <c r="AZ36" s="30"/>
      <c r="BA36" s="30"/>
      <c r="BB36" s="30"/>
      <c r="BC36" s="30"/>
      <c r="BD36" s="30"/>
      <c r="BE36" s="30"/>
      <c r="BF36" s="30"/>
      <c r="BH36" s="30"/>
    </row>
    <row r="38" spans="2:60" x14ac:dyDescent="0.25">
      <c r="E38" t="s">
        <v>281</v>
      </c>
      <c r="G38" s="6" t="s">
        <v>56</v>
      </c>
      <c r="H38" s="26">
        <f t="array" ref="H38">SUM(IF(ISERROR(H16:AP35), 1))</f>
        <v>0</v>
      </c>
    </row>
    <row r="40" spans="2:60" x14ac:dyDescent="0.25">
      <c r="B40" s="30" t="s">
        <v>107</v>
      </c>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T40" s="30"/>
      <c r="AU40" s="30"/>
      <c r="AV40" s="30"/>
      <c r="AW40" s="30"/>
      <c r="AX40" s="30"/>
      <c r="AY40" s="30"/>
      <c r="AZ40" s="30"/>
      <c r="BA40" s="30"/>
      <c r="BB40" s="30"/>
      <c r="BC40" s="30"/>
      <c r="BD40" s="30"/>
      <c r="BE40" s="30"/>
      <c r="BF40" s="30"/>
      <c r="BH40" s="30"/>
    </row>
  </sheetData>
  <sheetProtection sheet="1" objects="1" formatCells="0" formatColumns="0" formatRows="0" sort="0" autoFilter="0"/>
  <conditionalFormatting sqref="H38">
    <cfRule type="cellIs" dxfId="39" priority="9" operator="greaterThan">
      <formula>0</formula>
    </cfRule>
  </conditionalFormatting>
  <conditionalFormatting sqref="A4:XFD4">
    <cfRule type="expression" dxfId="38"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21:AP23 J16:AP17 J29:W29 AC29:AP29">
      <formula1>0</formula1>
    </dataValidation>
    <dataValidation type="textLength" operator="equal" allowBlank="1" showInputMessage="1" showErrorMessage="1" error="This cell is not in use." sqref="AP23 AP29">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tabColor theme="4" tint="0.59999389629810485"/>
    <pageSetUpPr fitToPage="1"/>
  </sheetPr>
  <dimension ref="A1:JF133"/>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21" width="17" customWidth="1"/>
    <col min="22" max="22" width="2.42578125" customWidth="1"/>
    <col min="23" max="23" width="50.5703125" customWidth="1"/>
    <col min="24" max="24" width="2.42578125" customWidth="1"/>
    <col min="25" max="42" width="17" hidden="1" customWidth="1"/>
    <col min="43" max="43" width="2.42578125" hidden="1" customWidth="1"/>
    <col min="44" max="44" width="18.42578125" hidden="1" customWidth="1"/>
    <col min="45" max="45" width="4.42578125" hidden="1" customWidth="1"/>
    <col min="46" max="266" width="24.5703125" hidden="1" customWidth="1"/>
    <col min="267" max="16384" width="8.85546875" hidden="1"/>
  </cols>
  <sheetData>
    <row r="1" spans="1:23" s="1" customFormat="1" x14ac:dyDescent="0.25">
      <c r="A1" s="1" t="str">
        <f ca="1">MID(CELL("filename",A1),FIND("]",CELL("filename",A1))+1,255)</f>
        <v>Unit costs</v>
      </c>
    </row>
    <row r="2" spans="1:23" s="1" customFormat="1" x14ac:dyDescent="0.25">
      <c r="A2" s="1" t="str">
        <f>Cover!D21&amp;" - "&amp;Cover!D23</f>
        <v>SHEPD  - Final</v>
      </c>
    </row>
    <row r="3" spans="1:23" s="5" customFormat="1" x14ac:dyDescent="0.25">
      <c r="A3" s="5" t="str">
        <f>Cover!D2&amp;" - "&amp;Cover!D8&amp;" v"&amp;Cover!D10&amp;" - "&amp;Cover!D19</f>
        <v>CDCM charging model - Release for charge setting v3 - 2020/21</v>
      </c>
    </row>
    <row r="4" spans="1:23" x14ac:dyDescent="0.25">
      <c r="A4" s="12" t="str">
        <f>H131 &amp; IF(H131 = 1, " issue", " issues") &amp;" identified in checks on this sheet"</f>
        <v>0 issues identified in checks on this sheet</v>
      </c>
      <c r="B4" s="13"/>
      <c r="C4" s="13"/>
      <c r="D4" s="13"/>
      <c r="E4" s="13"/>
      <c r="F4" s="13"/>
      <c r="G4" s="13"/>
      <c r="H4" s="14"/>
      <c r="I4" s="14"/>
      <c r="J4" s="13"/>
    </row>
    <row r="5" spans="1:23" x14ac:dyDescent="0.25">
      <c r="B5" s="59" t="s">
        <v>145</v>
      </c>
      <c r="C5" s="60"/>
      <c r="D5" s="60"/>
      <c r="E5" s="60"/>
      <c r="F5" s="60"/>
      <c r="G5" s="61" t="s">
        <v>146</v>
      </c>
      <c r="H5" s="62" t="s">
        <v>147</v>
      </c>
      <c r="I5" s="116"/>
      <c r="J5" s="96" t="s">
        <v>225</v>
      </c>
      <c r="K5" s="117" t="s">
        <v>227</v>
      </c>
      <c r="L5" s="117" t="s">
        <v>228</v>
      </c>
      <c r="M5" s="117" t="s">
        <v>229</v>
      </c>
      <c r="N5" s="117" t="s">
        <v>230</v>
      </c>
      <c r="O5" s="117" t="s">
        <v>231</v>
      </c>
      <c r="P5" s="117" t="s">
        <v>232</v>
      </c>
      <c r="Q5" s="117" t="s">
        <v>233</v>
      </c>
      <c r="R5" s="117" t="s">
        <v>234</v>
      </c>
      <c r="S5" s="117" t="s">
        <v>235</v>
      </c>
      <c r="T5" s="117" t="s">
        <v>436</v>
      </c>
      <c r="U5" s="117" t="s">
        <v>437</v>
      </c>
      <c r="W5" s="60" t="s">
        <v>181</v>
      </c>
    </row>
    <row r="6" spans="1:23" x14ac:dyDescent="0.25">
      <c r="H6" s="3"/>
      <c r="I6" s="3"/>
      <c r="J6" s="3"/>
      <c r="K6" s="3"/>
      <c r="L6" s="3"/>
      <c r="M6" s="3"/>
      <c r="N6" s="3"/>
      <c r="O6" s="3"/>
      <c r="P6" s="3"/>
      <c r="Q6" s="3"/>
      <c r="R6" s="3"/>
      <c r="S6" s="3"/>
      <c r="T6" s="3"/>
      <c r="U6" s="3"/>
      <c r="W6" s="3"/>
    </row>
    <row r="7" spans="1:23" x14ac:dyDescent="0.25">
      <c r="B7" s="30" t="s">
        <v>11</v>
      </c>
      <c r="C7" s="30"/>
      <c r="D7" s="30"/>
      <c r="E7" s="30"/>
      <c r="F7" s="30"/>
      <c r="G7" s="30"/>
      <c r="H7" s="30"/>
      <c r="I7" s="30"/>
      <c r="J7" s="30"/>
      <c r="K7" s="30"/>
      <c r="L7" s="30"/>
      <c r="M7" s="30"/>
      <c r="N7" s="30"/>
      <c r="O7" s="30"/>
      <c r="P7" s="30"/>
      <c r="Q7" s="30"/>
      <c r="R7" s="30"/>
      <c r="S7" s="30"/>
      <c r="T7" s="30"/>
      <c r="U7" s="30"/>
      <c r="V7" s="30"/>
      <c r="W7" s="30"/>
    </row>
    <row r="9" spans="1:23" x14ac:dyDescent="0.25">
      <c r="C9" s="29" t="s">
        <v>672</v>
      </c>
      <c r="D9" s="29"/>
    </row>
    <row r="10" spans="1:23" x14ac:dyDescent="0.25">
      <c r="C10" s="29" t="s">
        <v>673</v>
      </c>
      <c r="D10" s="29"/>
    </row>
    <row r="11" spans="1:23" x14ac:dyDescent="0.25">
      <c r="C11" s="29"/>
      <c r="D11" s="29" t="s">
        <v>674</v>
      </c>
    </row>
    <row r="12" spans="1:23" x14ac:dyDescent="0.25">
      <c r="C12" s="29"/>
      <c r="D12" s="29" t="s">
        <v>675</v>
      </c>
    </row>
    <row r="13" spans="1:23" x14ac:dyDescent="0.25">
      <c r="C13" s="29" t="s">
        <v>676</v>
      </c>
      <c r="D13" s="29"/>
    </row>
    <row r="15" spans="1:23" x14ac:dyDescent="0.25">
      <c r="B15" s="30" t="s">
        <v>677</v>
      </c>
      <c r="C15" s="30"/>
      <c r="D15" s="30"/>
      <c r="E15" s="30"/>
      <c r="F15" s="30"/>
      <c r="G15" s="30"/>
      <c r="H15" s="30"/>
      <c r="I15" s="30"/>
      <c r="J15" s="30"/>
      <c r="K15" s="30"/>
      <c r="L15" s="30"/>
      <c r="M15" s="30"/>
      <c r="N15" s="30"/>
      <c r="O15" s="30"/>
      <c r="P15" s="30"/>
      <c r="Q15" s="30"/>
      <c r="R15" s="30"/>
      <c r="S15" s="30"/>
      <c r="T15" s="30"/>
      <c r="U15" s="30"/>
      <c r="V15" s="30"/>
      <c r="W15" s="30"/>
    </row>
    <row r="16" spans="1:23" x14ac:dyDescent="0.25">
      <c r="H16" s="3"/>
      <c r="I16" s="3"/>
      <c r="J16" s="3"/>
      <c r="K16" s="3"/>
      <c r="L16" s="3"/>
      <c r="M16" s="3"/>
      <c r="N16" s="3"/>
      <c r="O16" s="3"/>
      <c r="P16" s="3"/>
      <c r="Q16" s="3"/>
      <c r="R16" s="3"/>
      <c r="S16" s="3"/>
      <c r="T16" s="3"/>
      <c r="U16" s="3"/>
      <c r="W16" s="3"/>
    </row>
    <row r="17" spans="3:25" x14ac:dyDescent="0.25">
      <c r="C17" s="29" t="s">
        <v>678</v>
      </c>
    </row>
    <row r="18" spans="3:25" x14ac:dyDescent="0.25">
      <c r="H18" s="3"/>
      <c r="I18" s="3"/>
      <c r="J18" s="3"/>
      <c r="K18" s="3"/>
      <c r="L18" s="3"/>
      <c r="M18" s="3"/>
      <c r="N18" s="3"/>
      <c r="O18" s="3"/>
      <c r="P18" s="3"/>
      <c r="Q18" s="3"/>
      <c r="R18" s="3"/>
      <c r="S18" s="3"/>
      <c r="T18" s="3"/>
      <c r="U18" s="3"/>
      <c r="W18" s="3"/>
    </row>
    <row r="19" spans="3:25" x14ac:dyDescent="0.25">
      <c r="C19" s="31" t="str">
        <f ca="1">INDEX('Version control'!$H$34:$H$56,MATCH($A$1,'Version control'!$F$34:$F$56,0),1)&amp;"-A: Financial data"</f>
        <v>Section 108-A: Financial data</v>
      </c>
      <c r="D19" s="31"/>
      <c r="E19" s="31"/>
      <c r="F19" s="31"/>
      <c r="G19" s="31"/>
      <c r="H19" s="192"/>
      <c r="I19" s="192"/>
      <c r="J19" s="192"/>
      <c r="K19" s="192"/>
      <c r="L19" s="192"/>
      <c r="M19" s="192"/>
      <c r="N19" s="192"/>
      <c r="O19" s="192"/>
      <c r="P19" s="192"/>
      <c r="Q19" s="192"/>
      <c r="R19" s="192"/>
      <c r="S19" s="192"/>
      <c r="T19" s="192"/>
      <c r="U19" s="192"/>
      <c r="V19" s="31"/>
      <c r="W19" s="192"/>
    </row>
    <row r="20" spans="3:25" x14ac:dyDescent="0.25">
      <c r="H20" s="3"/>
    </row>
    <row r="21" spans="3:25" x14ac:dyDescent="0.25">
      <c r="D21" s="29" t="s">
        <v>679</v>
      </c>
      <c r="I21" s="3" t="s">
        <v>190</v>
      </c>
      <c r="J21" s="3"/>
      <c r="K21" s="3"/>
      <c r="L21" s="3"/>
      <c r="M21" s="3"/>
      <c r="N21" s="3"/>
      <c r="O21" s="3"/>
      <c r="P21" s="3"/>
      <c r="Q21" s="3"/>
      <c r="R21" s="3"/>
      <c r="S21" s="3"/>
      <c r="T21" s="3"/>
      <c r="U21" s="3"/>
      <c r="W21" s="3" t="s">
        <v>201</v>
      </c>
    </row>
    <row r="22" spans="3:25" x14ac:dyDescent="0.25">
      <c r="D22" s="29"/>
    </row>
    <row r="23" spans="3:25" x14ac:dyDescent="0.25">
      <c r="D23" s="91"/>
      <c r="E23" s="28" t="s">
        <v>413</v>
      </c>
      <c r="G23" s="28" t="s">
        <v>203</v>
      </c>
      <c r="H23" s="119">
        <f>'General inputs'!H89</f>
        <v>3.7900000000000003E-2</v>
      </c>
      <c r="I23" s="3"/>
      <c r="J23" s="3"/>
      <c r="K23" s="3"/>
      <c r="L23" s="3"/>
      <c r="M23" s="3"/>
      <c r="N23" s="3"/>
      <c r="O23" s="3"/>
      <c r="P23" s="3"/>
      <c r="Q23" s="3"/>
      <c r="R23" s="3"/>
      <c r="S23" s="3"/>
      <c r="T23" s="3"/>
      <c r="U23" s="3"/>
    </row>
    <row r="24" spans="3:25" x14ac:dyDescent="0.25">
      <c r="D24" s="91"/>
      <c r="E24" s="28" t="s">
        <v>199</v>
      </c>
      <c r="G24" s="28" t="s">
        <v>200</v>
      </c>
      <c r="H24" s="52">
        <f>'Fixed inputs'!H35</f>
        <v>40</v>
      </c>
      <c r="I24" s="3"/>
      <c r="J24" s="3"/>
      <c r="K24" s="3"/>
      <c r="L24" s="3"/>
      <c r="M24" s="3"/>
      <c r="N24" s="3"/>
      <c r="O24" s="3"/>
      <c r="P24" s="3"/>
      <c r="Q24" s="3"/>
      <c r="R24" s="3"/>
      <c r="S24" s="3"/>
      <c r="T24" s="3"/>
      <c r="U24" s="3"/>
      <c r="W24" s="3"/>
    </row>
    <row r="25" spans="3:25" x14ac:dyDescent="0.25">
      <c r="E25" s="28" t="s">
        <v>680</v>
      </c>
      <c r="G25" s="28" t="s">
        <v>203</v>
      </c>
      <c r="H25" s="193">
        <f>H23 / (1 - (1 + H23) ^ -H24)</f>
        <v>4.8955586267809562E-2</v>
      </c>
      <c r="I25" s="3"/>
      <c r="J25" s="3"/>
      <c r="K25" s="3"/>
      <c r="L25" s="3"/>
      <c r="M25" s="3"/>
      <c r="N25" s="3"/>
      <c r="O25" s="3"/>
      <c r="P25" s="3"/>
      <c r="Q25" s="3"/>
      <c r="R25" s="3"/>
      <c r="S25" s="3"/>
      <c r="T25" s="3"/>
      <c r="U25" s="3"/>
      <c r="W25" s="3"/>
    </row>
    <row r="26" spans="3:25" x14ac:dyDescent="0.25">
      <c r="H26" s="3"/>
      <c r="I26" s="3"/>
      <c r="J26" s="3"/>
      <c r="K26" s="3"/>
      <c r="L26" s="3"/>
      <c r="M26" s="3"/>
      <c r="N26" s="3"/>
      <c r="O26" s="3"/>
      <c r="P26" s="3"/>
      <c r="Q26" s="3"/>
      <c r="R26" s="3"/>
      <c r="S26" s="3"/>
      <c r="T26" s="3"/>
      <c r="U26" s="3"/>
      <c r="W26" s="3"/>
    </row>
    <row r="27" spans="3:25" x14ac:dyDescent="0.25">
      <c r="C27" s="31" t="str">
        <f ca="1">INDEX('Version control'!$H$34:$H$56,MATCH($A$1,'Version control'!$F$34:$F$56,0),1)&amp;"-B: Diversity and loss adjustment factors"</f>
        <v>Section 108-B: Diversity and loss adjustment factors</v>
      </c>
      <c r="D27" s="31"/>
      <c r="E27" s="31"/>
      <c r="F27" s="31"/>
      <c r="G27" s="31"/>
      <c r="H27" s="192"/>
      <c r="I27" s="192"/>
      <c r="J27" s="192"/>
      <c r="K27" s="192"/>
      <c r="L27" s="192"/>
      <c r="M27" s="192"/>
      <c r="N27" s="192"/>
      <c r="O27" s="192"/>
      <c r="P27" s="192"/>
      <c r="Q27" s="192"/>
      <c r="R27" s="192"/>
      <c r="S27" s="192"/>
      <c r="T27" s="192"/>
      <c r="U27" s="192"/>
      <c r="V27" s="31"/>
      <c r="W27" s="192"/>
    </row>
    <row r="28" spans="3:25" x14ac:dyDescent="0.25">
      <c r="E28" s="32"/>
      <c r="F28" s="118"/>
      <c r="H28" s="3"/>
      <c r="I28" s="3"/>
      <c r="J28" s="3"/>
      <c r="K28" s="3"/>
      <c r="L28" s="3"/>
      <c r="M28" s="3"/>
      <c r="N28" s="3"/>
      <c r="O28" s="3"/>
      <c r="P28" s="3"/>
      <c r="Q28" s="3"/>
      <c r="R28" s="3"/>
      <c r="S28" s="3"/>
      <c r="T28" s="3"/>
      <c r="U28" s="3"/>
    </row>
    <row r="29" spans="3:25" x14ac:dyDescent="0.25">
      <c r="D29" s="29" t="s">
        <v>681</v>
      </c>
      <c r="F29" s="118"/>
      <c r="H29" s="3"/>
      <c r="I29" s="3"/>
      <c r="J29" s="3"/>
      <c r="K29" s="3"/>
      <c r="L29" s="3"/>
      <c r="M29" s="3"/>
      <c r="N29" s="3"/>
      <c r="O29" s="3"/>
      <c r="P29" s="3"/>
      <c r="Q29" s="3"/>
      <c r="R29" s="3"/>
      <c r="S29" s="3"/>
      <c r="T29" s="3"/>
      <c r="U29" s="3"/>
    </row>
    <row r="30" spans="3:25" x14ac:dyDescent="0.25">
      <c r="D30" s="29"/>
      <c r="F30" s="118"/>
      <c r="H30" s="3"/>
      <c r="I30" s="3"/>
      <c r="J30" s="3"/>
      <c r="K30" s="3"/>
      <c r="L30" s="3"/>
      <c r="M30" s="3"/>
      <c r="N30" s="3"/>
      <c r="O30" s="3"/>
      <c r="P30" s="3"/>
      <c r="Q30" s="3"/>
      <c r="R30" s="3"/>
      <c r="S30" s="3"/>
      <c r="T30" s="3"/>
      <c r="U30" s="3"/>
    </row>
    <row r="31" spans="3:25" x14ac:dyDescent="0.25">
      <c r="E31" t="s">
        <v>682</v>
      </c>
      <c r="F31" s="122"/>
      <c r="G31" s="28" t="s">
        <v>683</v>
      </c>
      <c r="H31" s="3"/>
      <c r="I31" s="3"/>
      <c r="J31" s="79"/>
      <c r="K31" s="123">
        <f>'Load &amp; loss characteristics'!K29</f>
        <v>1</v>
      </c>
      <c r="L31" s="123">
        <f>'Load &amp; loss characteristics'!L29</f>
        <v>1</v>
      </c>
      <c r="M31" s="123">
        <f>'Load &amp; loss characteristics'!M29</f>
        <v>1</v>
      </c>
      <c r="N31" s="123">
        <f>'Load &amp; loss characteristics'!N29</f>
        <v>1.0149999999999999</v>
      </c>
      <c r="O31" s="123">
        <f>'Load &amp; loss characteristics'!O29</f>
        <v>1.026</v>
      </c>
      <c r="P31" s="123">
        <f>'Load &amp; loss characteristics'!P29</f>
        <v>1.026</v>
      </c>
      <c r="Q31" s="123">
        <f>'Load &amp; loss characteristics'!Q29</f>
        <v>1.0349999999999999</v>
      </c>
      <c r="R31" s="123">
        <f>'Load &amp; loss characteristics'!R29</f>
        <v>1.0569999999999999</v>
      </c>
      <c r="S31" s="123">
        <f>'Load &amp; loss characteristics'!S29</f>
        <v>1.0900000000000001</v>
      </c>
      <c r="T31" s="79"/>
      <c r="U31" s="79"/>
    </row>
    <row r="32" spans="3:25" x14ac:dyDescent="0.25">
      <c r="E32" t="s">
        <v>684</v>
      </c>
      <c r="F32" s="194"/>
      <c r="G32" s="28" t="s">
        <v>203</v>
      </c>
      <c r="H32" s="3"/>
      <c r="I32" s="3"/>
      <c r="J32" s="195"/>
      <c r="K32" s="196">
        <f>'Load &amp; loss characteristics'!$K$23</f>
        <v>7.4999999999999956E-2</v>
      </c>
      <c r="L32" s="197"/>
      <c r="M32" s="197"/>
      <c r="N32" s="197"/>
      <c r="O32" s="197"/>
      <c r="P32" s="195"/>
      <c r="Q32" s="197"/>
      <c r="R32" s="197"/>
      <c r="S32" s="197"/>
      <c r="T32" s="195"/>
      <c r="U32" s="195"/>
      <c r="Y32" s="198"/>
    </row>
    <row r="33" spans="3:23" x14ac:dyDescent="0.25">
      <c r="E33" t="s">
        <v>685</v>
      </c>
      <c r="F33" s="122"/>
      <c r="G33" s="28" t="s">
        <v>203</v>
      </c>
      <c r="H33" s="3"/>
      <c r="I33" s="3"/>
      <c r="J33" s="70"/>
      <c r="K33" s="193">
        <f xml:space="preserve"> 1 / (1 + K32)</f>
        <v>0.93023255813953487</v>
      </c>
      <c r="L33" s="197"/>
      <c r="M33" s="197"/>
      <c r="N33" s="197"/>
      <c r="O33" s="197"/>
      <c r="P33" s="197"/>
      <c r="Q33" s="197"/>
      <c r="R33" s="197"/>
      <c r="S33" s="197"/>
      <c r="T33" s="195"/>
      <c r="U33" s="195"/>
      <c r="W33" s="3"/>
    </row>
    <row r="34" spans="3:23" x14ac:dyDescent="0.25">
      <c r="F34" s="122"/>
      <c r="G34" s="28"/>
      <c r="H34" s="3"/>
      <c r="I34" s="3"/>
      <c r="J34" s="3"/>
      <c r="K34" s="3"/>
      <c r="L34" s="3"/>
      <c r="M34" s="3"/>
      <c r="N34" s="3"/>
      <c r="O34" s="3"/>
      <c r="P34" s="3"/>
      <c r="Q34" s="3"/>
      <c r="R34" s="3"/>
      <c r="S34" s="3"/>
      <c r="T34" s="3"/>
      <c r="U34" s="3"/>
      <c r="V34" s="3"/>
      <c r="W34" s="3"/>
    </row>
    <row r="35" spans="3:23" x14ac:dyDescent="0.25">
      <c r="C35" s="31" t="str">
        <f ca="1">INDEX('Version control'!$H$34:$H$56,MATCH($A$1,'Version control'!$F$34:$F$56,0),1)&amp;"-C: Maximum demand"</f>
        <v>Section 108-C: Maximum demand</v>
      </c>
      <c r="D35" s="31"/>
      <c r="E35" s="31"/>
      <c r="F35" s="31"/>
      <c r="G35" s="31"/>
      <c r="H35" s="192"/>
      <c r="I35" s="192"/>
      <c r="J35" s="192"/>
      <c r="K35" s="192"/>
      <c r="L35" s="192"/>
      <c r="M35" s="192"/>
      <c r="N35" s="192"/>
      <c r="O35" s="192"/>
      <c r="P35" s="192"/>
      <c r="Q35" s="192"/>
      <c r="R35" s="192"/>
      <c r="S35" s="192"/>
      <c r="T35" s="192"/>
      <c r="U35" s="192"/>
      <c r="V35" s="31"/>
      <c r="W35" s="192"/>
    </row>
    <row r="36" spans="3:23" x14ac:dyDescent="0.25">
      <c r="E36" s="32"/>
      <c r="F36" s="118"/>
      <c r="H36" s="3"/>
      <c r="J36" s="3"/>
      <c r="K36" s="3"/>
      <c r="L36" s="3"/>
      <c r="M36" s="3"/>
      <c r="N36" s="3"/>
      <c r="O36" s="3"/>
      <c r="P36" s="3"/>
      <c r="Q36" s="3"/>
      <c r="R36" s="3"/>
      <c r="S36" s="3"/>
      <c r="T36" s="3"/>
      <c r="U36" s="3"/>
    </row>
    <row r="37" spans="3:23" x14ac:dyDescent="0.25">
      <c r="D37" s="29" t="s">
        <v>686</v>
      </c>
      <c r="F37" s="118"/>
      <c r="H37" s="3"/>
      <c r="I37" s="3"/>
      <c r="J37" s="3"/>
      <c r="K37" s="3"/>
      <c r="L37" s="3"/>
      <c r="M37" s="3"/>
      <c r="N37" s="3"/>
      <c r="O37" s="3"/>
      <c r="P37" s="3"/>
      <c r="Q37" s="3"/>
      <c r="R37" s="3"/>
      <c r="S37" s="3"/>
      <c r="T37" s="3"/>
      <c r="U37" s="3"/>
      <c r="W37" s="3"/>
    </row>
    <row r="38" spans="3:23" x14ac:dyDescent="0.25">
      <c r="D38" s="29"/>
      <c r="F38" s="118"/>
      <c r="H38" s="3"/>
      <c r="I38" s="3"/>
      <c r="J38" s="3"/>
      <c r="K38" s="3"/>
      <c r="L38" s="3"/>
      <c r="M38" s="3"/>
      <c r="N38" s="3"/>
      <c r="O38" s="3"/>
      <c r="P38" s="3"/>
      <c r="Q38" s="3"/>
      <c r="R38" s="3"/>
      <c r="S38" s="3"/>
      <c r="T38" s="3"/>
      <c r="U38" s="3"/>
      <c r="W38" s="3"/>
    </row>
    <row r="39" spans="3:23" x14ac:dyDescent="0.25">
      <c r="D39" s="91"/>
      <c r="E39" t="s">
        <v>207</v>
      </c>
      <c r="F39" s="122"/>
      <c r="G39" s="28" t="s">
        <v>208</v>
      </c>
      <c r="H39" s="123">
        <f>'Fixed inputs'!H41</f>
        <v>500</v>
      </c>
      <c r="I39" s="3"/>
      <c r="J39" s="79"/>
      <c r="K39" s="79"/>
      <c r="L39" s="79"/>
      <c r="M39" s="79"/>
      <c r="N39" s="79"/>
      <c r="O39" s="79"/>
      <c r="P39" s="79"/>
      <c r="Q39" s="79"/>
      <c r="R39" s="79"/>
      <c r="S39" s="79"/>
      <c r="T39" s="79"/>
      <c r="U39" s="79"/>
      <c r="W39" s="3"/>
    </row>
    <row r="40" spans="3:23" x14ac:dyDescent="0.25">
      <c r="E40" t="s">
        <v>687</v>
      </c>
      <c r="F40" s="122"/>
      <c r="G40" s="28" t="s">
        <v>208</v>
      </c>
      <c r="H40" s="3"/>
      <c r="I40" s="3" t="s">
        <v>190</v>
      </c>
      <c r="J40" s="79"/>
      <c r="K40" s="199">
        <f t="shared" ref="K40:S40" si="0">$H$39 * $K$33 / K31</f>
        <v>465.11627906976742</v>
      </c>
      <c r="L40" s="199">
        <f t="shared" si="0"/>
        <v>465.11627906976742</v>
      </c>
      <c r="M40" s="199">
        <f t="shared" si="0"/>
        <v>465.11627906976742</v>
      </c>
      <c r="N40" s="199">
        <f t="shared" si="0"/>
        <v>458.2426394776034</v>
      </c>
      <c r="O40" s="199">
        <f t="shared" si="0"/>
        <v>453.3297066956797</v>
      </c>
      <c r="P40" s="199">
        <f t="shared" si="0"/>
        <v>453.3297066956797</v>
      </c>
      <c r="Q40" s="199">
        <f t="shared" si="0"/>
        <v>449.3877092461521</v>
      </c>
      <c r="R40" s="199">
        <f t="shared" si="0"/>
        <v>440.0343226771688</v>
      </c>
      <c r="S40" s="199">
        <f t="shared" si="0"/>
        <v>426.71218263281412</v>
      </c>
      <c r="T40" s="79"/>
      <c r="U40" s="79"/>
      <c r="W40" s="3" t="s">
        <v>688</v>
      </c>
    </row>
    <row r="41" spans="3:23" x14ac:dyDescent="0.25">
      <c r="F41" s="122"/>
      <c r="G41" s="28"/>
      <c r="H41" s="3"/>
      <c r="I41" s="3"/>
      <c r="J41" s="3"/>
      <c r="K41" s="3"/>
      <c r="L41" s="3"/>
      <c r="M41" s="3"/>
      <c r="N41" s="3"/>
      <c r="O41" s="3"/>
      <c r="P41" s="3"/>
      <c r="Q41" s="3"/>
      <c r="R41" s="3"/>
      <c r="S41" s="3"/>
      <c r="T41" s="3"/>
      <c r="U41" s="3"/>
      <c r="V41" s="3"/>
      <c r="W41" s="3"/>
    </row>
    <row r="42" spans="3:23" x14ac:dyDescent="0.25">
      <c r="C42" s="31" t="str">
        <f ca="1">INDEX('Version control'!$H$34:$H$56,MATCH($A$1,'Version control'!$F$34:$F$56,0),1)&amp;"-D: Rerouting matrix"</f>
        <v>Section 108-D: Rerouting matrix</v>
      </c>
      <c r="D42" s="31"/>
      <c r="E42" s="31"/>
      <c r="F42" s="31"/>
      <c r="G42" s="31"/>
      <c r="H42" s="192"/>
      <c r="I42" s="192"/>
      <c r="J42" s="192"/>
      <c r="K42" s="192"/>
      <c r="L42" s="192"/>
      <c r="M42" s="192"/>
      <c r="N42" s="192"/>
      <c r="O42" s="192"/>
      <c r="P42" s="192"/>
      <c r="Q42" s="192"/>
      <c r="R42" s="192"/>
      <c r="S42" s="192"/>
      <c r="T42" s="192"/>
      <c r="U42" s="192"/>
      <c r="V42" s="31"/>
      <c r="W42" s="192"/>
    </row>
    <row r="43" spans="3:23" x14ac:dyDescent="0.25">
      <c r="E43" s="32"/>
      <c r="F43" s="118"/>
      <c r="H43" s="3"/>
      <c r="I43" s="3"/>
      <c r="J43" s="3"/>
      <c r="K43" s="3"/>
      <c r="L43" s="3"/>
      <c r="M43" s="3"/>
      <c r="N43" s="3"/>
      <c r="O43" s="3"/>
      <c r="P43" s="3"/>
      <c r="Q43" s="3"/>
      <c r="R43" s="3"/>
      <c r="S43" s="3"/>
      <c r="T43" s="3"/>
      <c r="U43" s="3"/>
      <c r="W43" s="3"/>
    </row>
    <row r="44" spans="3:23" x14ac:dyDescent="0.25">
      <c r="D44" s="29" t="s">
        <v>689</v>
      </c>
      <c r="F44" s="118"/>
      <c r="H44" s="3"/>
      <c r="I44" s="3"/>
      <c r="J44" s="3"/>
      <c r="K44" s="3"/>
      <c r="L44" s="3"/>
      <c r="M44" s="3"/>
      <c r="N44" s="3"/>
      <c r="O44" s="3"/>
      <c r="P44" s="3"/>
      <c r="Q44" s="3"/>
      <c r="R44" s="3"/>
      <c r="S44" s="3"/>
      <c r="T44" s="3"/>
      <c r="U44" s="3"/>
      <c r="W44" s="3"/>
    </row>
    <row r="45" spans="3:23" x14ac:dyDescent="0.25">
      <c r="D45" s="29"/>
      <c r="F45" s="118"/>
      <c r="H45" s="3"/>
      <c r="I45" s="3"/>
      <c r="J45" s="3"/>
      <c r="K45" s="3"/>
      <c r="L45" s="3"/>
      <c r="M45" s="3"/>
      <c r="N45" s="3"/>
      <c r="O45" s="3"/>
      <c r="P45" s="3"/>
      <c r="Q45" s="3"/>
      <c r="R45" s="3"/>
      <c r="S45" s="3"/>
      <c r="T45" s="3"/>
      <c r="U45" s="3"/>
      <c r="W45" s="3"/>
    </row>
    <row r="46" spans="3:23" x14ac:dyDescent="0.25">
      <c r="D46" s="91"/>
      <c r="E46" s="28" t="s">
        <v>340</v>
      </c>
      <c r="G46" s="28" t="s">
        <v>203</v>
      </c>
      <c r="H46" s="3"/>
      <c r="I46" s="3"/>
      <c r="J46" s="197"/>
      <c r="K46" s="197"/>
      <c r="L46" s="197"/>
      <c r="M46" s="197"/>
      <c r="N46" s="197"/>
      <c r="O46" s="197"/>
      <c r="P46" s="196">
        <f>'Inputs by network level'!P17</f>
        <v>0</v>
      </c>
      <c r="Q46" s="197"/>
      <c r="R46" s="197"/>
      <c r="S46" s="197"/>
      <c r="T46" s="197"/>
      <c r="U46" s="197"/>
      <c r="W46" s="3"/>
    </row>
    <row r="47" spans="3:23" x14ac:dyDescent="0.25">
      <c r="E47" s="28" t="s">
        <v>690</v>
      </c>
      <c r="G47" s="28" t="s">
        <v>203</v>
      </c>
      <c r="H47" s="3"/>
      <c r="I47" s="3"/>
      <c r="J47" s="197"/>
      <c r="K47" s="197"/>
      <c r="L47" s="197"/>
      <c r="M47" s="193">
        <f>IF(M46 = "", 1 - $P$46, M46)</f>
        <v>1</v>
      </c>
      <c r="N47" s="193">
        <f>IF(N46 = "", 1 - $P$46, N46)</f>
        <v>1</v>
      </c>
      <c r="O47" s="193">
        <f>IF(O46 = "", 1 - $P$46, O46)</f>
        <v>1</v>
      </c>
      <c r="P47" s="193">
        <f>IF(P46 = "", 1 - $P$46, P46)</f>
        <v>0</v>
      </c>
      <c r="Q47" s="197"/>
      <c r="R47" s="197"/>
      <c r="S47" s="197"/>
      <c r="T47" s="197"/>
      <c r="U47" s="197"/>
      <c r="W47" s="3"/>
    </row>
    <row r="48" spans="3:23" x14ac:dyDescent="0.25">
      <c r="E48" s="28" t="s">
        <v>691</v>
      </c>
      <c r="G48" s="28" t="s">
        <v>208</v>
      </c>
      <c r="H48" s="3"/>
      <c r="I48" s="3"/>
      <c r="J48" s="79"/>
      <c r="K48" s="101">
        <f t="shared" ref="K48:S48" si="1">IF(K47 = "", K40, K47 * K40)</f>
        <v>465.11627906976742</v>
      </c>
      <c r="L48" s="101">
        <f t="shared" si="1"/>
        <v>465.11627906976742</v>
      </c>
      <c r="M48" s="101">
        <f t="shared" si="1"/>
        <v>465.11627906976742</v>
      </c>
      <c r="N48" s="101">
        <f t="shared" si="1"/>
        <v>458.2426394776034</v>
      </c>
      <c r="O48" s="101">
        <f t="shared" si="1"/>
        <v>453.3297066956797</v>
      </c>
      <c r="P48" s="101">
        <f t="shared" si="1"/>
        <v>0</v>
      </c>
      <c r="Q48" s="101">
        <f t="shared" si="1"/>
        <v>449.3877092461521</v>
      </c>
      <c r="R48" s="101">
        <f t="shared" si="1"/>
        <v>440.0343226771688</v>
      </c>
      <c r="S48" s="101">
        <f t="shared" si="1"/>
        <v>426.71218263281412</v>
      </c>
      <c r="T48" s="79"/>
      <c r="U48" s="79"/>
      <c r="W48" s="3"/>
    </row>
    <row r="49" spans="2:23" x14ac:dyDescent="0.25">
      <c r="E49" s="28"/>
      <c r="G49" s="28"/>
      <c r="H49" s="3"/>
      <c r="I49" s="3"/>
      <c r="J49" s="3"/>
      <c r="K49" s="3"/>
      <c r="L49" s="3"/>
      <c r="M49" s="3"/>
      <c r="N49" s="3"/>
      <c r="O49" s="3"/>
      <c r="P49" s="3"/>
      <c r="Q49" s="3"/>
      <c r="R49" s="3"/>
      <c r="S49" s="3"/>
      <c r="T49" s="3"/>
      <c r="U49" s="3"/>
      <c r="V49" s="3"/>
      <c r="W49" s="3"/>
    </row>
    <row r="50" spans="2:23" x14ac:dyDescent="0.25">
      <c r="C50" s="31" t="str">
        <f ca="1">INDEX('Version control'!$H$34:$H$56,MATCH($A$1,'Version control'!$F$34:$F$56,0),1)&amp;"-E: Annuitised cost of assets"</f>
        <v>Section 108-E: Annuitised cost of assets</v>
      </c>
      <c r="D50" s="31"/>
      <c r="E50" s="31"/>
      <c r="F50" s="31"/>
      <c r="G50" s="31"/>
      <c r="H50" s="192"/>
      <c r="I50" s="192"/>
      <c r="J50" s="192"/>
      <c r="K50" s="192"/>
      <c r="L50" s="192"/>
      <c r="M50" s="192"/>
      <c r="N50" s="192"/>
      <c r="O50" s="192"/>
      <c r="P50" s="192"/>
      <c r="Q50" s="192"/>
      <c r="R50" s="192"/>
      <c r="S50" s="192"/>
      <c r="T50" s="192"/>
      <c r="U50" s="192"/>
      <c r="V50" s="31"/>
      <c r="W50" s="192"/>
    </row>
    <row r="51" spans="2:23" x14ac:dyDescent="0.25">
      <c r="E51" s="32"/>
      <c r="F51" s="118"/>
      <c r="H51" s="3"/>
      <c r="J51" s="3"/>
      <c r="K51" s="3"/>
      <c r="L51" s="116"/>
      <c r="M51" s="116"/>
      <c r="N51" s="116"/>
      <c r="O51" s="116"/>
      <c r="P51" s="116"/>
      <c r="Q51" s="116"/>
      <c r="R51" s="116"/>
      <c r="S51" s="116"/>
      <c r="T51" s="116"/>
      <c r="U51" s="200"/>
    </row>
    <row r="52" spans="2:23" x14ac:dyDescent="0.25">
      <c r="D52" s="29" t="s">
        <v>692</v>
      </c>
      <c r="F52" s="118"/>
      <c r="H52" s="3"/>
      <c r="I52" s="3"/>
      <c r="J52" s="3"/>
      <c r="K52" s="3"/>
      <c r="L52" s="116"/>
      <c r="M52" s="116"/>
      <c r="N52" s="116"/>
      <c r="O52" s="116"/>
      <c r="P52" s="116"/>
      <c r="Q52" s="116"/>
      <c r="R52" s="116"/>
      <c r="S52" s="116"/>
      <c r="T52" s="116"/>
      <c r="U52" s="200"/>
    </row>
    <row r="53" spans="2:23" x14ac:dyDescent="0.25">
      <c r="D53" s="29"/>
      <c r="F53" s="118"/>
      <c r="H53" s="3"/>
      <c r="I53" s="3"/>
      <c r="J53" s="3"/>
      <c r="K53" s="3"/>
      <c r="L53" s="116"/>
      <c r="M53" s="116"/>
      <c r="N53" s="116"/>
      <c r="O53" s="116"/>
      <c r="P53" s="116"/>
      <c r="Q53" s="116"/>
      <c r="R53" s="116"/>
      <c r="S53" s="116"/>
      <c r="T53" s="116"/>
      <c r="U53" s="200"/>
    </row>
    <row r="54" spans="2:23" x14ac:dyDescent="0.25">
      <c r="E54" t="s">
        <v>693</v>
      </c>
      <c r="F54" s="194"/>
      <c r="G54" s="28" t="s">
        <v>335</v>
      </c>
      <c r="H54" s="3"/>
      <c r="I54" s="3"/>
      <c r="J54" s="79"/>
      <c r="K54" s="79"/>
      <c r="L54" s="123">
        <f>'Inputs by network level'!L33</f>
        <v>0</v>
      </c>
      <c r="M54" s="123">
        <f>'Inputs by network level'!M33</f>
        <v>0</v>
      </c>
      <c r="N54" s="123">
        <f>'Inputs by network level'!N33</f>
        <v>81242918.297604412</v>
      </c>
      <c r="O54" s="123">
        <f>'Inputs by network level'!O33</f>
        <v>73508292.308063701</v>
      </c>
      <c r="P54" s="123">
        <f>'Inputs by network level'!P33</f>
        <v>0</v>
      </c>
      <c r="Q54" s="123">
        <f>'Inputs by network level'!Q33</f>
        <v>303754958.35087061</v>
      </c>
      <c r="R54" s="123">
        <f>'Inputs by network level'!R33</f>
        <v>73554738.917063981</v>
      </c>
      <c r="S54" s="123">
        <f>'Inputs by network level'!S33</f>
        <v>174606501.36686647</v>
      </c>
      <c r="T54" s="79"/>
      <c r="U54" s="79"/>
      <c r="W54" s="3"/>
    </row>
    <row r="55" spans="2:23" x14ac:dyDescent="0.25">
      <c r="E55" t="s">
        <v>694</v>
      </c>
      <c r="F55" s="194"/>
      <c r="G55" s="28" t="s">
        <v>695</v>
      </c>
      <c r="H55" s="3"/>
      <c r="I55" s="3"/>
      <c r="J55" s="79"/>
      <c r="K55" s="79"/>
      <c r="L55" s="101">
        <f t="shared" ref="L55:S55" si="2">IF(L48 = 0, 0, L54 / (L48 * thousand))</f>
        <v>0</v>
      </c>
      <c r="M55" s="101">
        <f t="shared" si="2"/>
        <v>0</v>
      </c>
      <c r="N55" s="101">
        <f t="shared" si="2"/>
        <v>177.29235845494722</v>
      </c>
      <c r="O55" s="101">
        <f t="shared" si="2"/>
        <v>162.15194200235774</v>
      </c>
      <c r="P55" s="101">
        <f t="shared" si="2"/>
        <v>0</v>
      </c>
      <c r="Q55" s="101">
        <f t="shared" si="2"/>
        <v>675.9307210702749</v>
      </c>
      <c r="R55" s="101">
        <f t="shared" si="2"/>
        <v>167.15682192597376</v>
      </c>
      <c r="S55" s="101">
        <f t="shared" si="2"/>
        <v>409.19033595325163</v>
      </c>
      <c r="T55" s="79"/>
      <c r="U55" s="79"/>
      <c r="W55" s="3"/>
    </row>
    <row r="56" spans="2:23" x14ac:dyDescent="0.25">
      <c r="E56" t="s">
        <v>696</v>
      </c>
      <c r="F56" s="194"/>
      <c r="G56" s="28" t="s">
        <v>697</v>
      </c>
      <c r="H56" s="3"/>
      <c r="I56" s="3" t="s">
        <v>190</v>
      </c>
      <c r="J56" s="79"/>
      <c r="K56" s="79"/>
      <c r="L56" s="101">
        <f t="shared" ref="L56:S56" si="3">L55 * $H$25</f>
        <v>0</v>
      </c>
      <c r="M56" s="101">
        <f t="shared" si="3"/>
        <v>0</v>
      </c>
      <c r="N56" s="101">
        <f t="shared" si="3"/>
        <v>8.6794513489645837</v>
      </c>
      <c r="O56" s="101">
        <f t="shared" si="3"/>
        <v>7.9382433851892769</v>
      </c>
      <c r="P56" s="101">
        <f t="shared" si="3"/>
        <v>0</v>
      </c>
      <c r="Q56" s="101">
        <f t="shared" si="3"/>
        <v>33.090584726418562</v>
      </c>
      <c r="R56" s="101">
        <f t="shared" si="3"/>
        <v>8.1832602160498897</v>
      </c>
      <c r="S56" s="101">
        <f t="shared" si="3"/>
        <v>20.032152791713386</v>
      </c>
      <c r="T56" s="79"/>
      <c r="U56" s="79"/>
      <c r="W56" s="3" t="s">
        <v>698</v>
      </c>
    </row>
    <row r="57" spans="2:23" x14ac:dyDescent="0.25">
      <c r="H57" s="3"/>
      <c r="I57" s="3"/>
      <c r="J57" s="130"/>
      <c r="K57" s="130"/>
      <c r="L57" s="130"/>
      <c r="M57" s="130"/>
      <c r="N57" s="130"/>
      <c r="O57" s="130"/>
      <c r="P57" s="130"/>
      <c r="Q57" s="130"/>
      <c r="R57" s="130"/>
      <c r="S57" s="130"/>
      <c r="T57" s="130"/>
      <c r="U57" s="130"/>
      <c r="W57" s="3"/>
    </row>
    <row r="58" spans="2:23" x14ac:dyDescent="0.25">
      <c r="B58" s="30" t="s">
        <v>699</v>
      </c>
      <c r="C58" s="30"/>
      <c r="D58" s="30"/>
      <c r="E58" s="30"/>
      <c r="F58" s="30"/>
      <c r="G58" s="30"/>
      <c r="H58" s="30"/>
      <c r="I58" s="30"/>
      <c r="J58" s="201"/>
      <c r="K58" s="201"/>
      <c r="L58" s="201"/>
      <c r="M58" s="201"/>
      <c r="N58" s="201"/>
      <c r="O58" s="201"/>
      <c r="P58" s="201"/>
      <c r="Q58" s="201"/>
      <c r="R58" s="201"/>
      <c r="S58" s="201"/>
      <c r="T58" s="201"/>
      <c r="U58" s="201"/>
      <c r="V58" s="30"/>
      <c r="W58" s="30"/>
    </row>
    <row r="59" spans="2:23" x14ac:dyDescent="0.25">
      <c r="J59" s="92"/>
      <c r="K59" s="92"/>
      <c r="L59" s="92"/>
      <c r="M59" s="92"/>
      <c r="N59" s="92"/>
      <c r="O59" s="92"/>
      <c r="P59" s="92"/>
      <c r="Q59" s="92"/>
      <c r="R59" s="92"/>
      <c r="S59" s="92"/>
      <c r="T59" s="92"/>
      <c r="U59" s="92"/>
    </row>
    <row r="60" spans="2:23" x14ac:dyDescent="0.25">
      <c r="C60" s="29" t="s">
        <v>700</v>
      </c>
      <c r="J60" s="92"/>
      <c r="K60" s="92"/>
      <c r="L60" s="92"/>
      <c r="M60" s="92"/>
      <c r="N60" s="92"/>
      <c r="O60" s="92"/>
      <c r="P60" s="92"/>
      <c r="Q60" s="92"/>
      <c r="R60" s="92"/>
      <c r="S60" s="92"/>
      <c r="T60" s="92"/>
      <c r="U60" s="92"/>
    </row>
    <row r="61" spans="2:23" x14ac:dyDescent="0.25">
      <c r="J61" s="92"/>
      <c r="K61" s="92"/>
      <c r="L61" s="92"/>
      <c r="M61" s="92"/>
      <c r="N61" s="92"/>
      <c r="O61" s="92"/>
      <c r="P61" s="92"/>
      <c r="Q61" s="92"/>
      <c r="R61" s="92"/>
      <c r="S61" s="92"/>
      <c r="T61" s="92"/>
      <c r="U61" s="92"/>
    </row>
    <row r="62" spans="2:23" x14ac:dyDescent="0.25">
      <c r="C62" s="31" t="str">
        <f ca="1">INDEX('Version control'!$H$34:$H$56,MATCH($A$1,'Version control'!$F$34:$F$56,0),1)&amp;"-F: System simultaneous peak load based on charegable units"</f>
        <v>Section 108-F: System simultaneous peak load based on charegable units</v>
      </c>
      <c r="D62" s="31"/>
      <c r="E62" s="31"/>
      <c r="F62" s="31"/>
      <c r="G62" s="31"/>
      <c r="H62" s="192"/>
      <c r="I62" s="192"/>
      <c r="J62" s="202"/>
      <c r="K62" s="202"/>
      <c r="L62" s="202"/>
      <c r="M62" s="202"/>
      <c r="N62" s="202"/>
      <c r="O62" s="202"/>
      <c r="P62" s="202"/>
      <c r="Q62" s="202"/>
      <c r="R62" s="202"/>
      <c r="S62" s="202"/>
      <c r="T62" s="202"/>
      <c r="U62" s="202"/>
      <c r="V62" s="31"/>
      <c r="W62" s="192"/>
    </row>
    <row r="63" spans="2:23" x14ac:dyDescent="0.25">
      <c r="D63" s="32"/>
      <c r="J63" s="92"/>
      <c r="K63" s="92"/>
      <c r="L63" s="92"/>
      <c r="M63" s="92"/>
      <c r="N63" s="92"/>
      <c r="O63" s="92"/>
      <c r="P63" s="92"/>
      <c r="Q63" s="92"/>
      <c r="R63" s="92"/>
      <c r="S63" s="92"/>
      <c r="T63" s="92"/>
      <c r="U63" s="92"/>
    </row>
    <row r="64" spans="2:23" x14ac:dyDescent="0.25">
      <c r="E64" t="s">
        <v>701</v>
      </c>
      <c r="G64" t="s">
        <v>208</v>
      </c>
      <c r="J64" s="79"/>
      <c r="K64" s="123">
        <f t="array" ref="K64:S64">TRANSPOSE('System peak demand'!H269:H277)</f>
        <v>1050.3506903089601</v>
      </c>
      <c r="L64" s="123">
        <v>0</v>
      </c>
      <c r="M64" s="123">
        <v>0</v>
      </c>
      <c r="N64" s="123">
        <v>1071.6773551409351</v>
      </c>
      <c r="O64" s="123">
        <v>1240.8526701072544</v>
      </c>
      <c r="P64" s="123">
        <v>0</v>
      </c>
      <c r="Q64" s="123">
        <v>1338.0577163322507</v>
      </c>
      <c r="R64" s="123">
        <v>1274.8526240699737</v>
      </c>
      <c r="S64" s="123">
        <v>1041.9731889447044</v>
      </c>
      <c r="T64" s="79"/>
      <c r="U64" s="79"/>
    </row>
    <row r="65" spans="3:24" x14ac:dyDescent="0.25">
      <c r="E65" s="28" t="s">
        <v>702</v>
      </c>
      <c r="F65" s="28"/>
      <c r="G65" s="28" t="s">
        <v>208</v>
      </c>
      <c r="H65" s="105"/>
      <c r="J65" s="101">
        <f>K64</f>
        <v>1050.3506903089601</v>
      </c>
      <c r="K65" s="79"/>
      <c r="L65" s="79"/>
      <c r="M65" s="79"/>
      <c r="N65" s="79"/>
      <c r="O65" s="79"/>
      <c r="P65" s="79"/>
      <c r="Q65" s="79"/>
      <c r="R65" s="79"/>
      <c r="S65" s="79"/>
      <c r="T65" s="79"/>
      <c r="U65" s="79"/>
      <c r="W65" s="63"/>
      <c r="X65" s="63"/>
    </row>
    <row r="66" spans="3:24" x14ac:dyDescent="0.25">
      <c r="J66" s="92"/>
      <c r="K66" s="92"/>
      <c r="L66" s="92"/>
      <c r="M66" s="92"/>
      <c r="N66" s="92"/>
      <c r="O66" s="92"/>
      <c r="P66" s="92"/>
      <c r="Q66" s="92"/>
      <c r="R66" s="92"/>
      <c r="S66" s="92"/>
      <c r="T66" s="92"/>
      <c r="U66" s="92"/>
      <c r="X66" s="63"/>
    </row>
    <row r="67" spans="3:24" x14ac:dyDescent="0.25">
      <c r="E67" s="28" t="s">
        <v>701</v>
      </c>
      <c r="F67" s="28"/>
      <c r="G67" s="28" t="s">
        <v>632</v>
      </c>
      <c r="H67" s="105"/>
      <c r="J67" s="101">
        <f t="shared" ref="J67:S67" si="4">SUM(J64:J65) * thousand</f>
        <v>1050350.6903089602</v>
      </c>
      <c r="K67" s="101">
        <f t="shared" si="4"/>
        <v>1050350.6903089602</v>
      </c>
      <c r="L67" s="101">
        <f t="shared" si="4"/>
        <v>0</v>
      </c>
      <c r="M67" s="101">
        <f t="shared" si="4"/>
        <v>0</v>
      </c>
      <c r="N67" s="101">
        <f t="shared" si="4"/>
        <v>1071677.3551409352</v>
      </c>
      <c r="O67" s="101">
        <f t="shared" si="4"/>
        <v>1240852.6701072545</v>
      </c>
      <c r="P67" s="101">
        <f t="shared" si="4"/>
        <v>0</v>
      </c>
      <c r="Q67" s="101">
        <f t="shared" si="4"/>
        <v>1338057.7163322507</v>
      </c>
      <c r="R67" s="101">
        <f t="shared" si="4"/>
        <v>1274852.6240699736</v>
      </c>
      <c r="S67" s="101">
        <f t="shared" si="4"/>
        <v>1041973.1889447044</v>
      </c>
      <c r="T67" s="79"/>
      <c r="U67" s="79"/>
      <c r="W67" s="63"/>
      <c r="X67" s="63"/>
    </row>
    <row r="68" spans="3:24" x14ac:dyDescent="0.25">
      <c r="J68" s="92"/>
      <c r="K68" s="92"/>
      <c r="L68" s="92"/>
      <c r="M68" s="92"/>
      <c r="N68" s="92"/>
      <c r="O68" s="92"/>
      <c r="P68" s="92"/>
      <c r="Q68" s="92"/>
      <c r="R68" s="92"/>
      <c r="S68" s="92"/>
      <c r="T68" s="92"/>
      <c r="U68" s="92"/>
    </row>
    <row r="69" spans="3:24" x14ac:dyDescent="0.25">
      <c r="C69" s="31" t="str">
        <f ca="1">INDEX('Version control'!$H$34:$H$56,MATCH($A$1,'Version control'!$F$34:$F$56,0),1)&amp;"-G: Notional asset values, by network level"</f>
        <v>Section 108-G: Notional asset values, by network level</v>
      </c>
      <c r="D69" s="31"/>
      <c r="E69" s="31"/>
      <c r="F69" s="31"/>
      <c r="G69" s="31"/>
      <c r="H69" s="192"/>
      <c r="I69" s="192"/>
      <c r="J69" s="202"/>
      <c r="K69" s="202"/>
      <c r="L69" s="202"/>
      <c r="M69" s="202"/>
      <c r="N69" s="202"/>
      <c r="O69" s="202"/>
      <c r="P69" s="202"/>
      <c r="Q69" s="202"/>
      <c r="R69" s="202"/>
      <c r="S69" s="202"/>
      <c r="T69" s="202"/>
      <c r="U69" s="202"/>
      <c r="V69" s="31"/>
      <c r="W69" s="192"/>
    </row>
    <row r="70" spans="3:24" x14ac:dyDescent="0.25">
      <c r="E70" s="32"/>
      <c r="J70" s="92"/>
      <c r="K70" s="92"/>
      <c r="L70" s="92"/>
      <c r="M70" s="92"/>
      <c r="N70" s="92"/>
      <c r="O70" s="92"/>
      <c r="P70" s="92"/>
      <c r="Q70" s="92"/>
      <c r="R70" s="92"/>
      <c r="S70" s="92"/>
      <c r="T70" s="92"/>
      <c r="U70" s="92"/>
      <c r="X70" s="63"/>
    </row>
    <row r="71" spans="3:24" x14ac:dyDescent="0.25">
      <c r="D71" s="29" t="s">
        <v>703</v>
      </c>
      <c r="J71" s="92"/>
      <c r="K71" s="92"/>
      <c r="L71" s="92"/>
      <c r="M71" s="92"/>
      <c r="N71" s="92"/>
      <c r="O71" s="92"/>
      <c r="P71" s="92"/>
      <c r="Q71" s="92"/>
      <c r="R71" s="92"/>
      <c r="S71" s="92"/>
      <c r="T71" s="92"/>
      <c r="U71" s="92"/>
      <c r="X71" s="63"/>
    </row>
    <row r="72" spans="3:24" x14ac:dyDescent="0.25">
      <c r="D72" s="29"/>
      <c r="J72" s="92"/>
      <c r="K72" s="92"/>
      <c r="L72" s="92"/>
      <c r="M72" s="92"/>
      <c r="N72" s="92"/>
      <c r="O72" s="92"/>
      <c r="P72" s="92"/>
      <c r="Q72" s="92"/>
      <c r="R72" s="92"/>
      <c r="S72" s="92"/>
      <c r="T72" s="92"/>
      <c r="U72" s="92"/>
      <c r="X72" s="63"/>
    </row>
    <row r="73" spans="3:24" x14ac:dyDescent="0.25">
      <c r="E73" s="28" t="s">
        <v>704</v>
      </c>
      <c r="F73" s="28"/>
      <c r="G73" s="28" t="s">
        <v>335</v>
      </c>
      <c r="J73" s="79"/>
      <c r="K73" s="79"/>
      <c r="L73" s="101">
        <f t="shared" ref="L73:S73" si="5">L67 * L55</f>
        <v>0</v>
      </c>
      <c r="M73" s="101">
        <f t="shared" si="5"/>
        <v>0</v>
      </c>
      <c r="N73" s="101">
        <f t="shared" si="5"/>
        <v>190000205.79569644</v>
      </c>
      <c r="O73" s="101">
        <f t="shared" si="5"/>
        <v>201206670.19670227</v>
      </c>
      <c r="P73" s="101">
        <f t="shared" si="5"/>
        <v>0</v>
      </c>
      <c r="Q73" s="101">
        <f t="shared" si="5"/>
        <v>904434317.03410363</v>
      </c>
      <c r="R73" s="101">
        <f t="shared" si="5"/>
        <v>213100313.06352493</v>
      </c>
      <c r="S73" s="101">
        <f t="shared" si="5"/>
        <v>426365359.23856449</v>
      </c>
      <c r="T73" s="79"/>
      <c r="U73" s="79"/>
      <c r="X73" s="63"/>
    </row>
    <row r="74" spans="3:24" x14ac:dyDescent="0.25">
      <c r="E74" s="28" t="s">
        <v>705</v>
      </c>
      <c r="F74" s="28"/>
      <c r="G74" s="28" t="s">
        <v>335</v>
      </c>
      <c r="J74" s="79"/>
      <c r="K74" s="79"/>
      <c r="L74" s="79"/>
      <c r="M74" s="79"/>
      <c r="N74" s="79"/>
      <c r="O74" s="79"/>
      <c r="P74" s="79"/>
      <c r="Q74" s="79"/>
      <c r="R74" s="79"/>
      <c r="S74" s="79"/>
      <c r="T74" s="123">
        <f>'Service model assets'!H33</f>
        <v>348944884.14131939</v>
      </c>
      <c r="U74" s="123">
        <f>'Service model assets'!H34</f>
        <v>36344563.725022614</v>
      </c>
      <c r="X74" s="63"/>
    </row>
    <row r="75" spans="3:24" x14ac:dyDescent="0.25">
      <c r="J75" s="92"/>
      <c r="K75" s="92"/>
      <c r="L75" s="92"/>
      <c r="M75" s="92"/>
      <c r="N75" s="92"/>
      <c r="O75" s="92"/>
      <c r="P75" s="92"/>
      <c r="Q75" s="92"/>
      <c r="R75" s="92"/>
      <c r="S75" s="92"/>
      <c r="T75" s="92"/>
      <c r="U75" s="92"/>
      <c r="X75" s="63"/>
    </row>
    <row r="76" spans="3:24" x14ac:dyDescent="0.25">
      <c r="E76" s="28" t="s">
        <v>706</v>
      </c>
      <c r="F76" s="28"/>
      <c r="G76" s="28" t="s">
        <v>335</v>
      </c>
      <c r="I76" t="s">
        <v>190</v>
      </c>
      <c r="J76" s="79"/>
      <c r="K76" s="101">
        <f t="shared" ref="K76:U76" si="6">K73 + K74</f>
        <v>0</v>
      </c>
      <c r="L76" s="101">
        <f t="shared" si="6"/>
        <v>0</v>
      </c>
      <c r="M76" s="101">
        <f t="shared" si="6"/>
        <v>0</v>
      </c>
      <c r="N76" s="101">
        <f t="shared" si="6"/>
        <v>190000205.79569644</v>
      </c>
      <c r="O76" s="101">
        <f t="shared" si="6"/>
        <v>201206670.19670227</v>
      </c>
      <c r="P76" s="101">
        <f t="shared" si="6"/>
        <v>0</v>
      </c>
      <c r="Q76" s="101">
        <f t="shared" si="6"/>
        <v>904434317.03410363</v>
      </c>
      <c r="R76" s="101">
        <f t="shared" si="6"/>
        <v>213100313.06352493</v>
      </c>
      <c r="S76" s="101">
        <f t="shared" si="6"/>
        <v>426365359.23856449</v>
      </c>
      <c r="T76" s="101">
        <f t="shared" si="6"/>
        <v>348944884.14131939</v>
      </c>
      <c r="U76" s="101">
        <f t="shared" si="6"/>
        <v>36344563.725022614</v>
      </c>
      <c r="W76" s="3" t="s">
        <v>707</v>
      </c>
      <c r="X76" s="63"/>
    </row>
    <row r="77" spans="3:24" x14ac:dyDescent="0.25">
      <c r="L77" s="63"/>
      <c r="M77" s="63"/>
      <c r="N77" s="63"/>
      <c r="O77" s="63"/>
      <c r="P77" s="63"/>
      <c r="Q77" s="63"/>
      <c r="R77" s="63"/>
      <c r="S77" s="63"/>
      <c r="T77" s="63"/>
      <c r="U77" s="63"/>
      <c r="X77" s="63"/>
    </row>
    <row r="78" spans="3:24" x14ac:dyDescent="0.25">
      <c r="E78" s="28" t="s">
        <v>708</v>
      </c>
      <c r="F78" s="28"/>
      <c r="G78" s="28" t="s">
        <v>203</v>
      </c>
      <c r="J78" s="197"/>
      <c r="K78" s="148">
        <f t="shared" ref="K78:U78" si="7">K76 / SUM($K$76:$U$76)</f>
        <v>0</v>
      </c>
      <c r="L78" s="148">
        <f t="shared" si="7"/>
        <v>0</v>
      </c>
      <c r="M78" s="148">
        <f t="shared" si="7"/>
        <v>0</v>
      </c>
      <c r="N78" s="148">
        <f t="shared" si="7"/>
        <v>8.1882652853420015E-2</v>
      </c>
      <c r="O78" s="148">
        <f t="shared" si="7"/>
        <v>8.6712200434270872E-2</v>
      </c>
      <c r="P78" s="148">
        <f t="shared" si="7"/>
        <v>0</v>
      </c>
      <c r="Q78" s="148">
        <f t="shared" si="7"/>
        <v>0.38977579471706525</v>
      </c>
      <c r="R78" s="148">
        <f t="shared" si="7"/>
        <v>9.1837895040485104E-2</v>
      </c>
      <c r="S78" s="148">
        <f t="shared" si="7"/>
        <v>0.18374678360504101</v>
      </c>
      <c r="T78" s="148">
        <f t="shared" si="7"/>
        <v>0.15038158876440386</v>
      </c>
      <c r="U78" s="148">
        <f t="shared" si="7"/>
        <v>1.5663084585313833E-2</v>
      </c>
      <c r="X78" s="63"/>
    </row>
    <row r="79" spans="3:24" x14ac:dyDescent="0.25">
      <c r="E79" s="32"/>
      <c r="L79" s="63"/>
      <c r="M79" s="63"/>
      <c r="N79" s="63"/>
      <c r="O79" s="63"/>
      <c r="P79" s="63"/>
      <c r="Q79" s="63"/>
      <c r="R79" s="63"/>
      <c r="S79" s="63"/>
      <c r="T79" s="63"/>
      <c r="U79" s="63"/>
    </row>
    <row r="80" spans="3:24" x14ac:dyDescent="0.25">
      <c r="C80" s="31" t="str">
        <f ca="1">INDEX('Version control'!$H$34:$H$56,MATCH($A$1,'Version control'!$F$34:$F$56,0),1)&amp;"-H: Other operating costs"</f>
        <v>Section 108-H: Other operating costs</v>
      </c>
      <c r="D80" s="31"/>
      <c r="E80" s="31"/>
      <c r="F80" s="31"/>
      <c r="G80" s="31"/>
      <c r="H80" s="192"/>
      <c r="I80" s="192"/>
      <c r="J80" s="192"/>
      <c r="K80" s="192"/>
      <c r="L80" s="192"/>
      <c r="M80" s="192"/>
      <c r="N80" s="192"/>
      <c r="O80" s="192"/>
      <c r="P80" s="192"/>
      <c r="Q80" s="192"/>
      <c r="R80" s="192"/>
      <c r="S80" s="192"/>
      <c r="T80" s="192"/>
      <c r="U80" s="192"/>
      <c r="V80" s="31"/>
      <c r="W80" s="192"/>
    </row>
    <row r="81" spans="3:23" x14ac:dyDescent="0.25">
      <c r="E81" s="32"/>
      <c r="L81" s="63"/>
      <c r="M81" s="63"/>
      <c r="N81" s="63"/>
      <c r="O81" s="63"/>
      <c r="P81" s="63"/>
      <c r="Q81" s="63"/>
      <c r="R81" s="63"/>
      <c r="S81" s="63"/>
      <c r="T81" s="63"/>
      <c r="U81" s="63"/>
    </row>
    <row r="82" spans="3:23" x14ac:dyDescent="0.25">
      <c r="D82" s="29" t="s">
        <v>709</v>
      </c>
      <c r="L82" s="63"/>
      <c r="M82" s="63"/>
      <c r="N82" s="63"/>
      <c r="O82" s="63"/>
      <c r="P82" s="63"/>
      <c r="Q82" s="63"/>
      <c r="R82" s="63"/>
      <c r="S82" s="63"/>
      <c r="T82" s="63"/>
      <c r="U82" s="63"/>
    </row>
    <row r="83" spans="3:23" x14ac:dyDescent="0.25">
      <c r="D83" s="29"/>
      <c r="L83" s="63"/>
      <c r="M83" s="63"/>
      <c r="N83" s="63"/>
      <c r="O83" s="63"/>
      <c r="P83" s="63"/>
      <c r="Q83" s="63"/>
      <c r="R83" s="63"/>
      <c r="S83" s="63"/>
      <c r="T83" s="63"/>
      <c r="U83" s="63"/>
    </row>
    <row r="84" spans="3:23" x14ac:dyDescent="0.25">
      <c r="E84" s="28" t="s">
        <v>205</v>
      </c>
      <c r="F84" s="28"/>
      <c r="G84" s="28" t="s">
        <v>203</v>
      </c>
      <c r="H84" s="25">
        <f>'Fixed inputs'!H39</f>
        <v>0.6</v>
      </c>
      <c r="L84" s="63"/>
      <c r="M84" s="63"/>
      <c r="N84" s="63"/>
      <c r="O84" s="63"/>
      <c r="P84" s="63"/>
      <c r="Q84" s="63"/>
      <c r="R84" s="63"/>
      <c r="S84" s="63"/>
      <c r="T84" s="63"/>
      <c r="U84" s="63"/>
    </row>
    <row r="85" spans="3:23" x14ac:dyDescent="0.25">
      <c r="F85" s="28"/>
      <c r="G85" s="28"/>
      <c r="H85" s="25"/>
      <c r="L85" s="63"/>
      <c r="M85" s="63"/>
      <c r="N85" s="63"/>
      <c r="O85" s="63"/>
      <c r="P85" s="63"/>
      <c r="Q85" s="63"/>
      <c r="R85" s="63"/>
      <c r="S85" s="63"/>
      <c r="T85" s="63"/>
      <c r="U85" s="63"/>
    </row>
    <row r="86" spans="3:23" x14ac:dyDescent="0.25">
      <c r="E86" s="28" t="s">
        <v>420</v>
      </c>
      <c r="F86" s="28"/>
      <c r="G86" s="28" t="s">
        <v>417</v>
      </c>
      <c r="H86" s="123">
        <f>'General inputs'!H100</f>
        <v>23606763.950936902</v>
      </c>
      <c r="L86" s="63"/>
      <c r="M86" s="63"/>
      <c r="N86" s="63"/>
      <c r="O86" s="63"/>
      <c r="P86" s="63"/>
      <c r="Q86" s="63"/>
      <c r="R86" s="63"/>
      <c r="S86" s="63"/>
      <c r="T86" s="63"/>
      <c r="U86" s="63"/>
    </row>
    <row r="87" spans="3:23" x14ac:dyDescent="0.25">
      <c r="E87" s="28" t="s">
        <v>421</v>
      </c>
      <c r="F87" s="28"/>
      <c r="G87" s="28" t="s">
        <v>417</v>
      </c>
      <c r="H87" s="123">
        <f>'General inputs'!H101</f>
        <v>67635782.855627373</v>
      </c>
      <c r="L87" s="63"/>
      <c r="M87" s="63"/>
      <c r="N87" s="63"/>
      <c r="O87" s="63"/>
      <c r="P87" s="63"/>
      <c r="Q87" s="63"/>
      <c r="R87" s="63"/>
      <c r="S87" s="63"/>
      <c r="T87" s="63"/>
      <c r="U87" s="63"/>
    </row>
    <row r="88" spans="3:23" x14ac:dyDescent="0.25">
      <c r="E88" s="28" t="s">
        <v>422</v>
      </c>
      <c r="F88" s="28"/>
      <c r="G88" s="28" t="s">
        <v>417</v>
      </c>
      <c r="H88" s="123">
        <f>'General inputs'!H102</f>
        <v>24192975.780000001</v>
      </c>
      <c r="J88" s="63"/>
      <c r="L88" s="63"/>
      <c r="M88" s="63"/>
      <c r="N88" s="63"/>
      <c r="O88" s="63"/>
      <c r="P88" s="63"/>
      <c r="Q88" s="63"/>
      <c r="R88" s="63"/>
      <c r="S88" s="63"/>
      <c r="T88" s="63"/>
      <c r="U88" s="63"/>
    </row>
    <row r="89" spans="3:23" x14ac:dyDescent="0.25">
      <c r="E89" s="28"/>
      <c r="F89" s="28"/>
      <c r="G89" s="28"/>
      <c r="H89" s="123"/>
      <c r="J89" s="63"/>
      <c r="L89" s="63"/>
      <c r="M89" s="63"/>
      <c r="N89" s="63"/>
      <c r="O89" s="63"/>
      <c r="P89" s="63"/>
      <c r="Q89" s="63"/>
      <c r="R89" s="63"/>
      <c r="S89" s="63"/>
      <c r="T89" s="63"/>
      <c r="U89" s="63"/>
    </row>
    <row r="90" spans="3:23" x14ac:dyDescent="0.25">
      <c r="E90" s="28" t="s">
        <v>710</v>
      </c>
      <c r="F90" s="28"/>
      <c r="G90" s="28" t="s">
        <v>417</v>
      </c>
      <c r="H90" s="101">
        <f>H86 + H87 * H84 + H88</f>
        <v>88381209.444313332</v>
      </c>
      <c r="L90" s="63"/>
      <c r="M90" s="63"/>
      <c r="N90" s="63"/>
      <c r="O90" s="63"/>
      <c r="P90" s="63"/>
      <c r="Q90" s="63"/>
      <c r="R90" s="63"/>
      <c r="S90" s="63"/>
      <c r="T90" s="63"/>
      <c r="U90" s="63"/>
    </row>
    <row r="91" spans="3:23" x14ac:dyDescent="0.25">
      <c r="E91" s="32"/>
      <c r="L91" s="63"/>
      <c r="M91" s="63"/>
      <c r="N91" s="63"/>
      <c r="O91" s="63"/>
      <c r="P91" s="63"/>
      <c r="Q91" s="63"/>
      <c r="R91" s="63"/>
      <c r="S91" s="63"/>
      <c r="T91" s="63"/>
      <c r="U91" s="63"/>
    </row>
    <row r="92" spans="3:23" x14ac:dyDescent="0.25">
      <c r="C92" s="31" t="str">
        <f ca="1">INDEX('Version control'!$H$34:$H$56,MATCH($A$1,'Version control'!$F$34:$F$56,0),1)&amp;"-I: Other operating costs by network level"</f>
        <v>Section 108-I: Other operating costs by network level</v>
      </c>
      <c r="D92" s="31"/>
      <c r="E92" s="31"/>
      <c r="F92" s="31"/>
      <c r="G92" s="31"/>
      <c r="H92" s="192"/>
      <c r="I92" s="192"/>
      <c r="J92" s="192"/>
      <c r="K92" s="192"/>
      <c r="L92" s="192"/>
      <c r="M92" s="192"/>
      <c r="N92" s="192"/>
      <c r="O92" s="192"/>
      <c r="P92" s="192"/>
      <c r="Q92" s="192"/>
      <c r="R92" s="192"/>
      <c r="S92" s="192"/>
      <c r="T92" s="192"/>
      <c r="U92" s="192"/>
      <c r="V92" s="31"/>
      <c r="W92" s="192"/>
    </row>
    <row r="93" spans="3:23" x14ac:dyDescent="0.25">
      <c r="E93" s="32"/>
      <c r="H93" s="63"/>
      <c r="L93" s="63"/>
      <c r="M93" s="63"/>
      <c r="N93" s="63"/>
      <c r="O93" s="63"/>
      <c r="P93" s="63"/>
      <c r="Q93" s="63"/>
      <c r="R93" s="63"/>
      <c r="S93" s="63"/>
      <c r="T93" s="63"/>
      <c r="U93" s="63"/>
    </row>
    <row r="94" spans="3:23" x14ac:dyDescent="0.25">
      <c r="D94" s="29" t="s">
        <v>711</v>
      </c>
      <c r="H94" s="63"/>
      <c r="L94" s="63"/>
      <c r="M94" s="63"/>
      <c r="N94" s="63"/>
      <c r="O94" s="63"/>
      <c r="P94" s="63"/>
      <c r="Q94" s="63"/>
      <c r="R94" s="63"/>
      <c r="S94" s="63"/>
      <c r="T94" s="63"/>
      <c r="U94" s="63"/>
    </row>
    <row r="95" spans="3:23" x14ac:dyDescent="0.25">
      <c r="D95" s="29" t="s">
        <v>712</v>
      </c>
      <c r="H95" s="63"/>
      <c r="L95" s="63"/>
      <c r="M95" s="63"/>
      <c r="N95" s="63"/>
      <c r="O95" s="63"/>
      <c r="P95" s="63"/>
      <c r="Q95" s="63"/>
      <c r="R95" s="63"/>
      <c r="S95" s="63"/>
      <c r="T95" s="63"/>
      <c r="U95" s="63"/>
    </row>
    <row r="96" spans="3:23" x14ac:dyDescent="0.25">
      <c r="D96" s="29"/>
      <c r="H96" s="63"/>
      <c r="L96" s="63"/>
      <c r="M96" s="63"/>
      <c r="N96" s="63"/>
      <c r="O96" s="63"/>
      <c r="P96" s="63"/>
      <c r="Q96" s="63"/>
      <c r="R96" s="63"/>
      <c r="S96" s="63"/>
      <c r="T96" s="63"/>
      <c r="U96" s="63"/>
    </row>
    <row r="97" spans="2:23" x14ac:dyDescent="0.25">
      <c r="E97" s="28" t="s">
        <v>713</v>
      </c>
      <c r="F97" s="28"/>
      <c r="G97" s="28" t="s">
        <v>417</v>
      </c>
      <c r="I97" t="s">
        <v>190</v>
      </c>
      <c r="J97" s="79"/>
      <c r="K97" s="101">
        <f t="shared" ref="K97:U97" si="8">K78 * $H$90</f>
        <v>0</v>
      </c>
      <c r="L97" s="101">
        <f t="shared" si="8"/>
        <v>0</v>
      </c>
      <c r="M97" s="101">
        <f t="shared" si="8"/>
        <v>0</v>
      </c>
      <c r="N97" s="101">
        <f t="shared" si="8"/>
        <v>7236887.8916941155</v>
      </c>
      <c r="O97" s="101">
        <f t="shared" si="8"/>
        <v>7663729.1479585711</v>
      </c>
      <c r="P97" s="101">
        <f t="shared" si="8"/>
        <v>0</v>
      </c>
      <c r="Q97" s="101">
        <f t="shared" si="8"/>
        <v>34448856.149212621</v>
      </c>
      <c r="R97" s="101">
        <f t="shared" si="8"/>
        <v>8116744.2364979787</v>
      </c>
      <c r="S97" s="101">
        <f t="shared" si="8"/>
        <v>16239762.96651605</v>
      </c>
      <c r="T97" s="101">
        <f t="shared" si="8"/>
        <v>13290906.693155374</v>
      </c>
      <c r="U97" s="101">
        <f t="shared" si="8"/>
        <v>1384322.3592786174</v>
      </c>
      <c r="W97" s="3" t="s">
        <v>714</v>
      </c>
    </row>
    <row r="98" spans="2:23" x14ac:dyDescent="0.25">
      <c r="E98" s="28" t="s">
        <v>416</v>
      </c>
      <c r="F98" s="28"/>
      <c r="G98" s="28" t="s">
        <v>417</v>
      </c>
      <c r="H98" s="63"/>
      <c r="I98" s="63"/>
      <c r="J98" s="123">
        <f>'General inputs'!$H$95</f>
        <v>24551211.28944638</v>
      </c>
      <c r="K98" s="79"/>
      <c r="L98" s="79"/>
      <c r="M98" s="79"/>
      <c r="N98" s="79"/>
      <c r="O98" s="79"/>
      <c r="P98" s="79"/>
      <c r="Q98" s="79"/>
      <c r="R98" s="79"/>
      <c r="S98" s="79"/>
      <c r="T98" s="79"/>
      <c r="U98" s="79"/>
    </row>
    <row r="99" spans="2:23" x14ac:dyDescent="0.25">
      <c r="J99" s="92"/>
      <c r="K99" s="92"/>
      <c r="L99" s="92"/>
      <c r="M99" s="92"/>
      <c r="N99" s="92"/>
      <c r="O99" s="92"/>
      <c r="P99" s="92"/>
      <c r="Q99" s="92"/>
      <c r="R99" s="92"/>
      <c r="S99" s="92"/>
      <c r="T99" s="92"/>
      <c r="U99" s="92"/>
    </row>
    <row r="100" spans="2:23" x14ac:dyDescent="0.25">
      <c r="E100" s="28" t="s">
        <v>715</v>
      </c>
      <c r="F100" s="28"/>
      <c r="G100" s="28" t="s">
        <v>716</v>
      </c>
      <c r="I100" t="s">
        <v>190</v>
      </c>
      <c r="J100" s="101">
        <f t="shared" ref="J100:S100" si="9">IF(J$67 = 0, 0, SUM(J97:J98) / J$67)</f>
        <v>23.374299189754094</v>
      </c>
      <c r="K100" s="101">
        <f t="shared" si="9"/>
        <v>0</v>
      </c>
      <c r="L100" s="101">
        <f t="shared" si="9"/>
        <v>0</v>
      </c>
      <c r="M100" s="101">
        <f t="shared" si="9"/>
        <v>0</v>
      </c>
      <c r="N100" s="101">
        <f t="shared" si="9"/>
        <v>6.7528606972780532</v>
      </c>
      <c r="O100" s="101">
        <f t="shared" si="9"/>
        <v>6.1761797613701779</v>
      </c>
      <c r="P100" s="101">
        <f t="shared" si="9"/>
        <v>0</v>
      </c>
      <c r="Q100" s="101">
        <f t="shared" si="9"/>
        <v>25.74541869811144</v>
      </c>
      <c r="R100" s="101">
        <f t="shared" si="9"/>
        <v>6.3668098439372782</v>
      </c>
      <c r="S100" s="101">
        <f t="shared" si="9"/>
        <v>15.585586211640868</v>
      </c>
      <c r="T100" s="79"/>
      <c r="U100" s="79"/>
      <c r="W100" s="3" t="s">
        <v>717</v>
      </c>
    </row>
    <row r="101" spans="2:23" x14ac:dyDescent="0.25">
      <c r="J101" s="92"/>
      <c r="K101" s="92"/>
      <c r="L101" s="92"/>
      <c r="M101" s="92"/>
      <c r="N101" s="92"/>
      <c r="O101" s="92"/>
      <c r="P101" s="92"/>
      <c r="Q101" s="92"/>
      <c r="R101" s="92"/>
      <c r="S101" s="92"/>
      <c r="T101" s="92"/>
      <c r="U101" s="92"/>
    </row>
    <row r="102" spans="2:23" x14ac:dyDescent="0.25">
      <c r="B102" s="30" t="s">
        <v>718</v>
      </c>
      <c r="C102" s="30"/>
      <c r="D102" s="30"/>
      <c r="E102" s="30"/>
      <c r="F102" s="30"/>
      <c r="G102" s="30"/>
      <c r="H102" s="30"/>
      <c r="I102" s="30"/>
      <c r="J102" s="201"/>
      <c r="K102" s="201"/>
      <c r="L102" s="201"/>
      <c r="M102" s="201"/>
      <c r="N102" s="201"/>
      <c r="O102" s="201"/>
      <c r="P102" s="201"/>
      <c r="Q102" s="201"/>
      <c r="R102" s="201"/>
      <c r="S102" s="201"/>
      <c r="T102" s="201"/>
      <c r="U102" s="201"/>
      <c r="V102" s="30"/>
      <c r="W102" s="30"/>
    </row>
    <row r="103" spans="2:23" x14ac:dyDescent="0.25">
      <c r="B103" s="29"/>
      <c r="J103" s="92"/>
      <c r="K103" s="92"/>
      <c r="L103" s="92"/>
      <c r="M103" s="92"/>
      <c r="N103" s="92"/>
      <c r="O103" s="92"/>
      <c r="P103" s="92"/>
      <c r="Q103" s="92"/>
      <c r="R103" s="92"/>
      <c r="S103" s="92"/>
      <c r="T103" s="92"/>
      <c r="U103" s="92"/>
    </row>
    <row r="104" spans="2:23" x14ac:dyDescent="0.25">
      <c r="C104" s="31" t="str">
        <f ca="1">INDEX('Version control'!$H$34:$H$56,MATCH($A$1,'Version control'!$F$34:$F$56,0),1)&amp;"-J: Notional asset values by network level"</f>
        <v>Section 108-J: Notional asset values by network level</v>
      </c>
      <c r="D104" s="31"/>
      <c r="E104" s="31"/>
      <c r="F104" s="31"/>
      <c r="G104" s="31"/>
      <c r="H104" s="192"/>
      <c r="I104" s="192"/>
      <c r="J104" s="202"/>
      <c r="K104" s="202"/>
      <c r="L104" s="202"/>
      <c r="M104" s="202"/>
      <c r="N104" s="202"/>
      <c r="O104" s="202"/>
      <c r="P104" s="202"/>
      <c r="Q104" s="202"/>
      <c r="R104" s="202"/>
      <c r="S104" s="202"/>
      <c r="T104" s="202"/>
      <c r="U104" s="202"/>
      <c r="V104" s="31"/>
      <c r="W104" s="192"/>
    </row>
    <row r="105" spans="2:23" x14ac:dyDescent="0.25">
      <c r="B105" s="29"/>
      <c r="J105" s="92"/>
      <c r="K105" s="92"/>
      <c r="L105" s="92"/>
      <c r="M105" s="92"/>
      <c r="N105" s="92"/>
      <c r="O105" s="92"/>
      <c r="P105" s="92"/>
      <c r="Q105" s="92"/>
      <c r="R105" s="92"/>
      <c r="S105" s="92"/>
      <c r="T105" s="92"/>
      <c r="U105" s="92"/>
    </row>
    <row r="106" spans="2:23" x14ac:dyDescent="0.25">
      <c r="B106" s="29"/>
      <c r="D106" s="29" t="s">
        <v>719</v>
      </c>
      <c r="J106" s="92"/>
      <c r="K106" s="92"/>
      <c r="L106" s="92"/>
      <c r="M106" s="92"/>
      <c r="N106" s="92"/>
      <c r="O106" s="92"/>
      <c r="P106" s="92"/>
      <c r="Q106" s="92"/>
      <c r="R106" s="92"/>
      <c r="S106" s="92"/>
      <c r="T106" s="92"/>
      <c r="U106" s="92"/>
    </row>
    <row r="107" spans="2:23" x14ac:dyDescent="0.25">
      <c r="B107" s="29"/>
      <c r="D107" s="29"/>
      <c r="J107" s="92"/>
      <c r="K107" s="92"/>
      <c r="L107" s="92"/>
      <c r="M107" s="92"/>
      <c r="N107" s="92"/>
      <c r="O107" s="92"/>
      <c r="P107" s="92"/>
      <c r="Q107" s="92"/>
      <c r="R107" s="92"/>
      <c r="S107" s="92"/>
      <c r="T107" s="92"/>
      <c r="U107" s="92"/>
    </row>
    <row r="108" spans="2:23" x14ac:dyDescent="0.25">
      <c r="B108" s="29"/>
      <c r="E108" s="28" t="s">
        <v>706</v>
      </c>
      <c r="F108" s="28"/>
      <c r="G108" s="28" t="s">
        <v>335</v>
      </c>
      <c r="J108" s="79"/>
      <c r="K108" s="124">
        <f t="shared" ref="K108:U108" si="10">K76</f>
        <v>0</v>
      </c>
      <c r="L108" s="124">
        <f t="shared" si="10"/>
        <v>0</v>
      </c>
      <c r="M108" s="124">
        <f t="shared" si="10"/>
        <v>0</v>
      </c>
      <c r="N108" s="124">
        <f t="shared" si="10"/>
        <v>190000205.79569644</v>
      </c>
      <c r="O108" s="124">
        <f t="shared" si="10"/>
        <v>201206670.19670227</v>
      </c>
      <c r="P108" s="124">
        <f t="shared" si="10"/>
        <v>0</v>
      </c>
      <c r="Q108" s="124">
        <f t="shared" si="10"/>
        <v>904434317.03410363</v>
      </c>
      <c r="R108" s="124">
        <f t="shared" si="10"/>
        <v>213100313.06352493</v>
      </c>
      <c r="S108" s="124">
        <f t="shared" si="10"/>
        <v>426365359.23856449</v>
      </c>
      <c r="T108" s="124">
        <f t="shared" si="10"/>
        <v>348944884.14131939</v>
      </c>
      <c r="U108" s="124">
        <f t="shared" si="10"/>
        <v>36344563.725022614</v>
      </c>
    </row>
    <row r="109" spans="2:23" x14ac:dyDescent="0.25">
      <c r="B109" s="29"/>
    </row>
    <row r="110" spans="2:23" x14ac:dyDescent="0.25">
      <c r="C110" s="31" t="str">
        <f ca="1">INDEX('Version control'!$H$34:$H$56,MATCH($A$1,'Version control'!$F$34:$F$56,0),1)&amp;"-K: Unit costs"</f>
        <v>Section 108-K: Unit costs</v>
      </c>
      <c r="D110" s="31"/>
      <c r="E110" s="31"/>
      <c r="F110" s="31"/>
      <c r="G110" s="31"/>
      <c r="H110" s="192"/>
      <c r="I110" s="192"/>
      <c r="J110" s="192"/>
      <c r="K110" s="192"/>
      <c r="L110" s="192"/>
      <c r="M110" s="192"/>
      <c r="N110" s="192"/>
      <c r="O110" s="192"/>
      <c r="P110" s="192"/>
      <c r="Q110" s="192"/>
      <c r="R110" s="192"/>
      <c r="S110" s="192"/>
      <c r="T110" s="192"/>
      <c r="U110" s="192"/>
      <c r="V110" s="31"/>
      <c r="W110" s="192"/>
    </row>
    <row r="111" spans="2:23" x14ac:dyDescent="0.25">
      <c r="B111" s="29"/>
    </row>
    <row r="112" spans="2:23" x14ac:dyDescent="0.25">
      <c r="B112" s="29"/>
      <c r="D112" s="29" t="s">
        <v>720</v>
      </c>
    </row>
    <row r="113" spans="2:24" x14ac:dyDescent="0.25">
      <c r="B113" s="29"/>
      <c r="D113" s="29"/>
    </row>
    <row r="114" spans="2:24" x14ac:dyDescent="0.25">
      <c r="E114" t="s">
        <v>696</v>
      </c>
      <c r="F114" s="194"/>
      <c r="G114" s="28" t="s">
        <v>716</v>
      </c>
      <c r="H114" s="3"/>
      <c r="I114" s="3"/>
      <c r="J114" s="79"/>
      <c r="K114" s="79"/>
      <c r="L114" s="124">
        <f t="shared" ref="L114:S114" si="11">L56</f>
        <v>0</v>
      </c>
      <c r="M114" s="124">
        <f t="shared" si="11"/>
        <v>0</v>
      </c>
      <c r="N114" s="124">
        <f t="shared" si="11"/>
        <v>8.6794513489645837</v>
      </c>
      <c r="O114" s="124">
        <f t="shared" si="11"/>
        <v>7.9382433851892769</v>
      </c>
      <c r="P114" s="124">
        <f t="shared" si="11"/>
        <v>0</v>
      </c>
      <c r="Q114" s="124">
        <f t="shared" si="11"/>
        <v>33.090584726418562</v>
      </c>
      <c r="R114" s="124">
        <f t="shared" si="11"/>
        <v>8.1832602160498897</v>
      </c>
      <c r="S114" s="124">
        <f t="shared" si="11"/>
        <v>20.032152791713386</v>
      </c>
      <c r="T114" s="79"/>
      <c r="U114" s="79"/>
    </row>
    <row r="115" spans="2:24" x14ac:dyDescent="0.25">
      <c r="B115" s="29"/>
      <c r="E115" t="s">
        <v>715</v>
      </c>
      <c r="F115" s="28"/>
      <c r="G115" s="28" t="s">
        <v>716</v>
      </c>
      <c r="J115" s="124">
        <f t="shared" ref="J115:S115" si="12">J100</f>
        <v>23.374299189754094</v>
      </c>
      <c r="K115" s="124">
        <f t="shared" si="12"/>
        <v>0</v>
      </c>
      <c r="L115" s="124">
        <f t="shared" si="12"/>
        <v>0</v>
      </c>
      <c r="M115" s="124">
        <f t="shared" si="12"/>
        <v>0</v>
      </c>
      <c r="N115" s="124">
        <f t="shared" si="12"/>
        <v>6.7528606972780532</v>
      </c>
      <c r="O115" s="124">
        <f t="shared" si="12"/>
        <v>6.1761797613701779</v>
      </c>
      <c r="P115" s="124">
        <f t="shared" si="12"/>
        <v>0</v>
      </c>
      <c r="Q115" s="124">
        <f t="shared" si="12"/>
        <v>25.74541869811144</v>
      </c>
      <c r="R115" s="124">
        <f t="shared" si="12"/>
        <v>6.3668098439372782</v>
      </c>
      <c r="S115" s="124">
        <f t="shared" si="12"/>
        <v>15.585586211640868</v>
      </c>
      <c r="T115" s="79"/>
      <c r="U115" s="79"/>
    </row>
    <row r="116" spans="2:24" x14ac:dyDescent="0.25">
      <c r="B116" s="29"/>
    </row>
    <row r="117" spans="2:24" x14ac:dyDescent="0.25">
      <c r="C117" s="31" t="str">
        <f ca="1">INDEX('Version control'!$H$34:$H$56,MATCH($A$1,'Version control'!$F$34:$F$56,0),1)&amp;"-L: Values used for allocating costs to service models"</f>
        <v>Section 108-L: Values used for allocating costs to service models</v>
      </c>
      <c r="D117" s="31"/>
      <c r="E117" s="31"/>
      <c r="F117" s="31"/>
      <c r="G117" s="31"/>
      <c r="H117" s="192"/>
      <c r="I117" s="192"/>
      <c r="J117" s="192"/>
      <c r="K117" s="192"/>
      <c r="L117" s="192"/>
      <c r="M117" s="192"/>
      <c r="N117" s="192"/>
      <c r="O117" s="192"/>
      <c r="P117" s="192"/>
      <c r="Q117" s="192"/>
      <c r="R117" s="192"/>
      <c r="S117" s="192"/>
      <c r="T117" s="192"/>
      <c r="U117" s="192"/>
      <c r="V117" s="31"/>
      <c r="W117" s="192"/>
    </row>
    <row r="118" spans="2:24" x14ac:dyDescent="0.25">
      <c r="B118" s="29"/>
    </row>
    <row r="119" spans="2:24" x14ac:dyDescent="0.25">
      <c r="B119" s="29"/>
      <c r="D119" s="29" t="s">
        <v>721</v>
      </c>
    </row>
    <row r="120" spans="2:24" x14ac:dyDescent="0.25">
      <c r="B120" s="29"/>
      <c r="D120" s="29"/>
    </row>
    <row r="121" spans="2:24" x14ac:dyDescent="0.25">
      <c r="B121" s="29"/>
      <c r="C121" s="32"/>
      <c r="E121" t="s">
        <v>680</v>
      </c>
      <c r="F121" s="28"/>
      <c r="G121" s="28" t="s">
        <v>203</v>
      </c>
      <c r="H121" s="203">
        <f>H25</f>
        <v>4.8955586267809562E-2</v>
      </c>
    </row>
    <row r="122" spans="2:24" x14ac:dyDescent="0.25">
      <c r="B122" s="29"/>
      <c r="C122" s="32"/>
      <c r="E122" t="s">
        <v>710</v>
      </c>
      <c r="F122" s="28"/>
      <c r="G122" s="28" t="s">
        <v>417</v>
      </c>
      <c r="H122" s="124">
        <f>H90</f>
        <v>88381209.444313332</v>
      </c>
    </row>
    <row r="123" spans="2:24" x14ac:dyDescent="0.25">
      <c r="E123" t="s">
        <v>706</v>
      </c>
      <c r="F123" s="28"/>
      <c r="G123" s="28" t="s">
        <v>335</v>
      </c>
      <c r="H123" s="124">
        <f>SUM(K76:U76)</f>
        <v>2320396313.1949339</v>
      </c>
      <c r="X123" s="63"/>
    </row>
    <row r="124" spans="2:24" x14ac:dyDescent="0.25">
      <c r="B124" s="29"/>
      <c r="C124" s="32"/>
    </row>
    <row r="125" spans="2:24" x14ac:dyDescent="0.25">
      <c r="B125" s="30" t="s">
        <v>280</v>
      </c>
      <c r="C125" s="30"/>
      <c r="D125" s="30"/>
      <c r="E125" s="30"/>
      <c r="F125" s="30"/>
      <c r="G125" s="30"/>
      <c r="H125" s="30"/>
      <c r="I125" s="30"/>
      <c r="J125" s="30"/>
      <c r="K125" s="30"/>
      <c r="L125" s="30"/>
      <c r="M125" s="30"/>
      <c r="N125" s="30"/>
      <c r="O125" s="30"/>
      <c r="P125" s="30"/>
      <c r="Q125" s="30"/>
      <c r="R125" s="30"/>
      <c r="S125" s="30"/>
      <c r="T125" s="30"/>
      <c r="U125" s="30"/>
      <c r="V125" s="30"/>
      <c r="W125" s="30"/>
    </row>
    <row r="127" spans="2:24" x14ac:dyDescent="0.25">
      <c r="E127" t="s">
        <v>281</v>
      </c>
      <c r="G127" s="6" t="s">
        <v>56</v>
      </c>
      <c r="H127" s="204">
        <f t="array" ref="H127">SUM(IF(ISERROR(H23:U123), 1))</f>
        <v>0</v>
      </c>
    </row>
    <row r="129" spans="2:23" x14ac:dyDescent="0.25">
      <c r="E129" t="s">
        <v>722</v>
      </c>
      <c r="G129" s="6" t="s">
        <v>56</v>
      </c>
      <c r="H129" s="204">
        <f>SUM(J129:U129)</f>
        <v>0</v>
      </c>
      <c r="J129" s="205"/>
      <c r="K129" s="205"/>
      <c r="L129" s="205"/>
      <c r="M129" s="205"/>
      <c r="N129" s="204">
        <f t="shared" ref="N129:U129" si="13">IFERROR(IF(OR(AND(N54&gt;0, N48=0), AND(N48&gt;0, N54=0)), 1, 0),1)</f>
        <v>0</v>
      </c>
      <c r="O129" s="204">
        <f t="shared" si="13"/>
        <v>0</v>
      </c>
      <c r="P129" s="204">
        <f t="shared" si="13"/>
        <v>0</v>
      </c>
      <c r="Q129" s="204">
        <f t="shared" si="13"/>
        <v>0</v>
      </c>
      <c r="R129" s="204">
        <f t="shared" si="13"/>
        <v>0</v>
      </c>
      <c r="S129" s="204">
        <f t="shared" si="13"/>
        <v>0</v>
      </c>
      <c r="T129" s="204">
        <f t="shared" si="13"/>
        <v>0</v>
      </c>
      <c r="U129" s="204">
        <f t="shared" si="13"/>
        <v>0</v>
      </c>
    </row>
    <row r="131" spans="2:23" x14ac:dyDescent="0.25">
      <c r="E131" t="s">
        <v>289</v>
      </c>
      <c r="G131" s="6" t="s">
        <v>56</v>
      </c>
      <c r="H131" s="106">
        <f>H127 + H129</f>
        <v>0</v>
      </c>
    </row>
    <row r="133" spans="2:23" x14ac:dyDescent="0.25">
      <c r="B133" s="30" t="s">
        <v>107</v>
      </c>
      <c r="C133" s="30"/>
      <c r="D133" s="30"/>
      <c r="E133" s="30"/>
      <c r="F133" s="30"/>
      <c r="G133" s="30"/>
      <c r="H133" s="30"/>
      <c r="I133" s="30"/>
      <c r="J133" s="30"/>
      <c r="K133" s="30"/>
      <c r="L133" s="30"/>
      <c r="M133" s="30"/>
      <c r="N133" s="30"/>
      <c r="O133" s="30"/>
      <c r="P133" s="30"/>
      <c r="Q133" s="30"/>
      <c r="R133" s="30"/>
      <c r="S133" s="30"/>
      <c r="T133" s="30"/>
      <c r="U133" s="30"/>
      <c r="V133" s="30"/>
      <c r="W133" s="30"/>
    </row>
  </sheetData>
  <sheetProtection sheet="1" objects="1" formatCells="0" formatColumns="0" formatRows="0" sort="0" autoFilter="0"/>
  <conditionalFormatting sqref="H127">
    <cfRule type="cellIs" dxfId="37" priority="5" operator="greaterThan">
      <formula>0</formula>
    </cfRule>
  </conditionalFormatting>
  <conditionalFormatting sqref="H129">
    <cfRule type="cellIs" dxfId="36" priority="4" operator="greaterThan">
      <formula>0</formula>
    </cfRule>
  </conditionalFormatting>
  <conditionalFormatting sqref="J129:U129">
    <cfRule type="cellIs" dxfId="35" priority="3" operator="greaterThan">
      <formula>0</formula>
    </cfRule>
  </conditionalFormatting>
  <conditionalFormatting sqref="H131:H132">
    <cfRule type="cellIs" dxfId="34" priority="2" operator="greaterThan">
      <formula>0</formula>
    </cfRule>
  </conditionalFormatting>
  <conditionalFormatting sqref="A4:XFD4">
    <cfRule type="expression" dxfId="33"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59999389629810485"/>
    <pageSetUpPr fitToPage="1"/>
  </sheetPr>
  <dimension ref="A1:JE29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65" width="24.5703125" hidden="1" customWidth="1"/>
    <col min="266" max="16384" width="8.85546875" hidden="1"/>
  </cols>
  <sheetData>
    <row r="1" spans="1:44" s="1" customFormat="1" x14ac:dyDescent="0.25">
      <c r="A1" s="1" t="str">
        <f ca="1">MID(CELL("filename",A1),FIND("]",CELL("filename",A1))+1,255)</f>
        <v>Initial unit rates</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H294 &amp; IF(H294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6" spans="1:44" x14ac:dyDescent="0.25">
      <c r="H6" s="3"/>
      <c r="I6" s="3"/>
      <c r="J6" s="3"/>
      <c r="K6" s="3"/>
      <c r="L6" s="3"/>
      <c r="M6" s="3"/>
      <c r="N6" s="3"/>
      <c r="O6" s="3"/>
      <c r="P6" s="3"/>
      <c r="Q6" s="3"/>
      <c r="R6" s="3"/>
      <c r="S6" s="3"/>
      <c r="T6" s="3"/>
      <c r="U6" s="3"/>
      <c r="W6" s="3"/>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723</v>
      </c>
      <c r="E9" s="28"/>
    </row>
    <row r="11" spans="1:44" x14ac:dyDescent="0.25">
      <c r="B11" s="30" t="s">
        <v>724</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Inputs for yardstick and unit rate calculations"</f>
        <v>Section 109-A: Inputs for yardstick and unit rate calculations</v>
      </c>
      <c r="D13" s="31"/>
      <c r="E13" s="31"/>
      <c r="F13" s="31"/>
      <c r="G13" s="31"/>
      <c r="H13" s="31"/>
      <c r="I13" s="31"/>
      <c r="J13" s="206"/>
      <c r="K13" s="206"/>
      <c r="L13" s="206"/>
      <c r="M13" s="206"/>
      <c r="N13" s="206"/>
      <c r="O13" s="206"/>
      <c r="P13" s="206"/>
      <c r="Q13" s="206"/>
      <c r="R13" s="206"/>
      <c r="S13" s="206"/>
      <c r="T13" s="206"/>
      <c r="U13" s="206"/>
      <c r="V13" s="206"/>
      <c r="W13" s="206"/>
      <c r="X13" s="206"/>
      <c r="Y13" s="206"/>
      <c r="Z13" s="206"/>
      <c r="AA13" s="206"/>
      <c r="AB13" s="206"/>
      <c r="AC13" s="206"/>
      <c r="AD13" s="206"/>
      <c r="AE13" s="206"/>
      <c r="AF13" s="206"/>
      <c r="AG13" s="206"/>
      <c r="AH13" s="206"/>
      <c r="AI13" s="206"/>
      <c r="AJ13" s="206"/>
      <c r="AK13" s="206"/>
      <c r="AL13" s="206"/>
      <c r="AM13" s="206"/>
      <c r="AN13" s="206"/>
      <c r="AO13" s="206"/>
      <c r="AP13" s="206"/>
      <c r="AQ13" s="31"/>
      <c r="AR13" s="31"/>
    </row>
    <row r="14" spans="1:44" x14ac:dyDescent="0.25">
      <c r="C14" s="32"/>
      <c r="D14" s="32"/>
      <c r="E14" s="32"/>
      <c r="J14" s="63"/>
      <c r="K14" s="63"/>
      <c r="L14" s="63"/>
      <c r="M14" s="63"/>
      <c r="N14" s="63"/>
      <c r="O14" s="63"/>
      <c r="P14" s="63"/>
      <c r="Q14" s="63"/>
      <c r="R14" s="63"/>
      <c r="S14" s="63"/>
    </row>
    <row r="15" spans="1:44" x14ac:dyDescent="0.25">
      <c r="D15" s="29" t="s">
        <v>725</v>
      </c>
    </row>
    <row r="17" spans="5:44" x14ac:dyDescent="0.25">
      <c r="E17" s="32" t="s">
        <v>726</v>
      </c>
      <c r="G17" s="28"/>
      <c r="H17" s="3"/>
      <c r="I17" s="3" t="s">
        <v>190</v>
      </c>
      <c r="AR17" t="s">
        <v>727</v>
      </c>
    </row>
    <row r="18" spans="5:44" x14ac:dyDescent="0.25">
      <c r="F18" s="207" t="s">
        <v>225</v>
      </c>
      <c r="G18" s="64" t="s">
        <v>697</v>
      </c>
      <c r="H18" s="83"/>
    </row>
    <row r="19" spans="5:44" x14ac:dyDescent="0.25">
      <c r="F19" s="208" t="s">
        <v>227</v>
      </c>
      <c r="G19" s="28" t="s">
        <v>697</v>
      </c>
      <c r="H19" s="79"/>
    </row>
    <row r="20" spans="5:44" x14ac:dyDescent="0.25">
      <c r="F20" s="208" t="s">
        <v>228</v>
      </c>
      <c r="G20" s="28" t="s">
        <v>697</v>
      </c>
      <c r="H20" s="211">
        <f t="array" ref="H20:H27">TRANSPOSE('Unit costs'!L114:S114)</f>
        <v>0</v>
      </c>
    </row>
    <row r="21" spans="5:44" x14ac:dyDescent="0.25">
      <c r="F21" s="208" t="s">
        <v>229</v>
      </c>
      <c r="G21" s="28" t="s">
        <v>697</v>
      </c>
      <c r="H21" s="211">
        <v>0</v>
      </c>
    </row>
    <row r="22" spans="5:44" x14ac:dyDescent="0.25">
      <c r="F22" s="208" t="s">
        <v>230</v>
      </c>
      <c r="G22" s="28" t="s">
        <v>697</v>
      </c>
      <c r="H22" s="211">
        <v>8.6794513489645837</v>
      </c>
    </row>
    <row r="23" spans="5:44" x14ac:dyDescent="0.25">
      <c r="F23" s="208" t="s">
        <v>231</v>
      </c>
      <c r="G23" s="28" t="s">
        <v>697</v>
      </c>
      <c r="H23" s="211">
        <v>7.9382433851892769</v>
      </c>
    </row>
    <row r="24" spans="5:44" x14ac:dyDescent="0.25">
      <c r="F24" s="208" t="s">
        <v>232</v>
      </c>
      <c r="G24" s="28" t="s">
        <v>697</v>
      </c>
      <c r="H24" s="211">
        <v>0</v>
      </c>
    </row>
    <row r="25" spans="5:44" x14ac:dyDescent="0.25">
      <c r="F25" s="208" t="s">
        <v>233</v>
      </c>
      <c r="G25" s="28" t="s">
        <v>697</v>
      </c>
      <c r="H25" s="211">
        <v>33.090584726418562</v>
      </c>
    </row>
    <row r="26" spans="5:44" x14ac:dyDescent="0.25">
      <c r="F26" s="208" t="s">
        <v>234</v>
      </c>
      <c r="G26" s="28" t="s">
        <v>697</v>
      </c>
      <c r="H26" s="211">
        <v>8.1832602160498897</v>
      </c>
    </row>
    <row r="27" spans="5:44" x14ac:dyDescent="0.25">
      <c r="F27" s="209" t="s">
        <v>235</v>
      </c>
      <c r="G27" s="67" t="s">
        <v>697</v>
      </c>
      <c r="H27" s="212">
        <v>20.032152791713386</v>
      </c>
    </row>
    <row r="28" spans="5:44" x14ac:dyDescent="0.25">
      <c r="F28" s="208"/>
      <c r="G28" s="28"/>
      <c r="H28" s="123"/>
    </row>
    <row r="29" spans="5:44" x14ac:dyDescent="0.25">
      <c r="E29" s="32" t="s">
        <v>728</v>
      </c>
      <c r="G29" s="28"/>
      <c r="H29" s="92"/>
    </row>
    <row r="30" spans="5:44" x14ac:dyDescent="0.25">
      <c r="F30" s="207" t="s">
        <v>225</v>
      </c>
      <c r="G30" s="64" t="s">
        <v>716</v>
      </c>
      <c r="H30" s="210">
        <f t="array" ref="H30:H39">TRANSPOSE('Unit costs'!J115:S115)</f>
        <v>23.374299189754094</v>
      </c>
    </row>
    <row r="31" spans="5:44" x14ac:dyDescent="0.25">
      <c r="F31" s="208" t="s">
        <v>227</v>
      </c>
      <c r="G31" s="28" t="s">
        <v>716</v>
      </c>
      <c r="H31" s="211">
        <v>0</v>
      </c>
    </row>
    <row r="32" spans="5:44" x14ac:dyDescent="0.25">
      <c r="F32" s="208" t="s">
        <v>228</v>
      </c>
      <c r="G32" s="28" t="s">
        <v>716</v>
      </c>
      <c r="H32" s="211">
        <v>0</v>
      </c>
    </row>
    <row r="33" spans="5:23" x14ac:dyDescent="0.25">
      <c r="F33" s="208" t="s">
        <v>229</v>
      </c>
      <c r="G33" s="28" t="s">
        <v>716</v>
      </c>
      <c r="H33" s="211">
        <v>0</v>
      </c>
      <c r="L33" s="63"/>
      <c r="M33" s="63"/>
      <c r="N33" s="63"/>
      <c r="O33" s="63"/>
      <c r="P33" s="63"/>
      <c r="Q33" s="63"/>
      <c r="R33" s="63"/>
      <c r="S33" s="63"/>
      <c r="T33" s="63"/>
      <c r="U33" s="63"/>
    </row>
    <row r="34" spans="5:23" x14ac:dyDescent="0.25">
      <c r="F34" s="208" t="s">
        <v>230</v>
      </c>
      <c r="G34" s="28" t="s">
        <v>716</v>
      </c>
      <c r="H34" s="211">
        <v>6.7528606972780532</v>
      </c>
      <c r="L34" s="63"/>
      <c r="M34" s="63"/>
      <c r="N34" s="63"/>
      <c r="O34" s="63"/>
      <c r="P34" s="63"/>
      <c r="Q34" s="63"/>
      <c r="R34" s="63"/>
      <c r="S34" s="63"/>
      <c r="T34" s="63"/>
      <c r="U34" s="63"/>
    </row>
    <row r="35" spans="5:23" x14ac:dyDescent="0.25">
      <c r="F35" s="208" t="s">
        <v>231</v>
      </c>
      <c r="G35" s="28" t="s">
        <v>716</v>
      </c>
      <c r="H35" s="211">
        <v>6.1761797613701779</v>
      </c>
      <c r="L35" s="63"/>
      <c r="M35" s="63"/>
      <c r="N35" s="63"/>
      <c r="O35" s="63"/>
      <c r="P35" s="63"/>
      <c r="Q35" s="63"/>
      <c r="R35" s="63"/>
      <c r="S35" s="63"/>
      <c r="T35" s="63"/>
      <c r="U35" s="63"/>
    </row>
    <row r="36" spans="5:23" x14ac:dyDescent="0.25">
      <c r="F36" s="208" t="s">
        <v>232</v>
      </c>
      <c r="G36" s="28" t="s">
        <v>716</v>
      </c>
      <c r="H36" s="211">
        <v>0</v>
      </c>
      <c r="L36" s="63"/>
      <c r="M36" s="63"/>
      <c r="N36" s="63"/>
      <c r="O36" s="63"/>
      <c r="P36" s="63"/>
      <c r="Q36" s="63"/>
      <c r="R36" s="63"/>
      <c r="S36" s="63"/>
      <c r="T36" s="63"/>
      <c r="U36" s="63"/>
    </row>
    <row r="37" spans="5:23" x14ac:dyDescent="0.25">
      <c r="F37" s="208" t="s">
        <v>233</v>
      </c>
      <c r="G37" s="28" t="s">
        <v>716</v>
      </c>
      <c r="H37" s="211">
        <v>25.74541869811144</v>
      </c>
      <c r="L37" s="63"/>
      <c r="M37" s="63"/>
      <c r="N37" s="63"/>
      <c r="O37" s="63"/>
      <c r="P37" s="63"/>
      <c r="Q37" s="63"/>
      <c r="R37" s="63"/>
      <c r="S37" s="63"/>
      <c r="T37" s="63"/>
      <c r="U37" s="63"/>
      <c r="V37" s="63"/>
    </row>
    <row r="38" spans="5:23" x14ac:dyDescent="0.25">
      <c r="F38" s="208" t="s">
        <v>234</v>
      </c>
      <c r="G38" s="28" t="s">
        <v>716</v>
      </c>
      <c r="H38" s="211">
        <v>6.3668098439372782</v>
      </c>
      <c r="L38" s="63"/>
      <c r="M38" s="63"/>
      <c r="N38" s="63"/>
      <c r="O38" s="63"/>
      <c r="P38" s="63"/>
      <c r="Q38" s="63"/>
      <c r="R38" s="63"/>
      <c r="S38" s="63"/>
      <c r="T38" s="63"/>
      <c r="U38" s="63"/>
      <c r="V38" s="63"/>
    </row>
    <row r="39" spans="5:23" x14ac:dyDescent="0.25">
      <c r="F39" s="209" t="s">
        <v>235</v>
      </c>
      <c r="G39" s="67" t="s">
        <v>716</v>
      </c>
      <c r="H39" s="212">
        <v>15.585586211640868</v>
      </c>
      <c r="L39" s="63"/>
      <c r="M39" s="63"/>
      <c r="N39" s="63"/>
      <c r="O39" s="63"/>
      <c r="P39" s="63"/>
      <c r="Q39" s="63"/>
      <c r="R39" s="63"/>
      <c r="S39" s="63"/>
      <c r="T39" s="63"/>
      <c r="U39" s="63"/>
      <c r="V39" s="63"/>
    </row>
    <row r="40" spans="5:23" x14ac:dyDescent="0.25">
      <c r="G40" s="28"/>
      <c r="H40" s="92"/>
      <c r="L40" s="63"/>
      <c r="M40" s="63"/>
      <c r="N40" s="63"/>
      <c r="O40" s="63"/>
      <c r="P40" s="63"/>
      <c r="Q40" s="63"/>
      <c r="R40" s="63"/>
      <c r="S40" s="63"/>
      <c r="T40" s="63"/>
      <c r="U40" s="63"/>
      <c r="V40" s="63"/>
    </row>
    <row r="41" spans="5:23" x14ac:dyDescent="0.25">
      <c r="E41" s="32" t="s">
        <v>729</v>
      </c>
      <c r="F41" s="32"/>
      <c r="H41" s="130"/>
      <c r="I41" s="3"/>
      <c r="J41" s="3"/>
      <c r="K41" s="3"/>
      <c r="L41" s="3"/>
      <c r="M41" s="3"/>
      <c r="N41" s="3"/>
      <c r="O41" s="3"/>
      <c r="P41" s="3"/>
      <c r="Q41" s="3"/>
      <c r="R41" s="3"/>
      <c r="S41" s="63"/>
      <c r="T41" s="63"/>
      <c r="U41" s="63"/>
      <c r="V41" s="63"/>
      <c r="W41" s="3"/>
    </row>
    <row r="42" spans="5:23" x14ac:dyDescent="0.25">
      <c r="E42" s="29" t="s">
        <v>730</v>
      </c>
      <c r="F42" s="29"/>
      <c r="H42" s="130"/>
      <c r="I42" s="3"/>
      <c r="J42" s="3"/>
      <c r="K42" s="3"/>
      <c r="L42" s="3"/>
      <c r="M42" s="3"/>
      <c r="N42" s="3"/>
      <c r="O42" s="3"/>
      <c r="P42" s="3"/>
      <c r="Q42" s="3"/>
      <c r="R42" s="3"/>
      <c r="S42" s="63"/>
      <c r="T42" s="63"/>
      <c r="U42" s="63"/>
      <c r="V42" s="63"/>
      <c r="W42" s="3"/>
    </row>
    <row r="43" spans="5:23" x14ac:dyDescent="0.25">
      <c r="F43" s="23" t="s">
        <v>225</v>
      </c>
      <c r="G43" s="23" t="s">
        <v>342</v>
      </c>
      <c r="H43" s="127">
        <f t="array" ref="H43:H52">TRANSPOSE('Load &amp; loss characteristics'!J29:S29)</f>
        <v>1</v>
      </c>
      <c r="I43" s="3"/>
      <c r="J43" s="154"/>
      <c r="K43" s="154"/>
      <c r="L43" s="154"/>
      <c r="M43" s="154"/>
      <c r="N43" s="154"/>
      <c r="O43" s="154"/>
      <c r="P43" s="154"/>
      <c r="Q43" s="154"/>
      <c r="R43" s="154"/>
      <c r="S43" s="63"/>
      <c r="T43" s="63"/>
      <c r="U43" s="63"/>
      <c r="V43" s="63"/>
    </row>
    <row r="44" spans="5:23" x14ac:dyDescent="0.25">
      <c r="F44" t="s">
        <v>227</v>
      </c>
      <c r="G44" t="s">
        <v>342</v>
      </c>
      <c r="H44" s="123">
        <v>1</v>
      </c>
      <c r="I44" s="3"/>
      <c r="J44" s="154"/>
      <c r="K44" s="154"/>
      <c r="L44" s="154"/>
      <c r="M44" s="154"/>
      <c r="N44" s="154"/>
      <c r="O44" s="154"/>
      <c r="P44" s="154"/>
      <c r="Q44" s="154"/>
      <c r="R44" s="154"/>
      <c r="S44" s="63"/>
      <c r="T44" s="63"/>
      <c r="U44" s="63"/>
      <c r="V44" s="63"/>
    </row>
    <row r="45" spans="5:23" x14ac:dyDescent="0.25">
      <c r="F45" t="s">
        <v>228</v>
      </c>
      <c r="G45" t="s">
        <v>342</v>
      </c>
      <c r="H45" s="123">
        <v>1</v>
      </c>
      <c r="I45" s="3"/>
      <c r="J45" s="154"/>
      <c r="K45" s="154"/>
      <c r="L45" s="154"/>
      <c r="M45" s="154"/>
      <c r="N45" s="154"/>
      <c r="O45" s="154"/>
      <c r="P45" s="154"/>
      <c r="Q45" s="154"/>
      <c r="R45" s="154"/>
      <c r="S45" s="63"/>
      <c r="T45" s="63"/>
      <c r="U45" s="63"/>
      <c r="V45" s="63"/>
    </row>
    <row r="46" spans="5:23" x14ac:dyDescent="0.25">
      <c r="F46" t="s">
        <v>229</v>
      </c>
      <c r="G46" t="s">
        <v>342</v>
      </c>
      <c r="H46" s="123">
        <v>1</v>
      </c>
      <c r="O46" s="154"/>
      <c r="P46" s="154"/>
      <c r="Q46" s="154"/>
      <c r="R46" s="154"/>
      <c r="S46" s="63"/>
      <c r="T46" s="63"/>
      <c r="U46" s="63"/>
      <c r="V46" s="63"/>
    </row>
    <row r="47" spans="5:23" x14ac:dyDescent="0.25">
      <c r="F47" t="s">
        <v>230</v>
      </c>
      <c r="G47" t="s">
        <v>342</v>
      </c>
      <c r="H47" s="123">
        <v>1.0149999999999999</v>
      </c>
      <c r="I47" s="3"/>
      <c r="J47" s="154"/>
      <c r="K47" s="154"/>
      <c r="L47" s="154"/>
      <c r="M47" s="154"/>
      <c r="N47" s="154"/>
      <c r="O47" s="154"/>
      <c r="P47" s="154"/>
      <c r="Q47" s="154"/>
      <c r="R47" s="154"/>
      <c r="S47" s="63"/>
      <c r="T47" s="63"/>
      <c r="U47" s="63"/>
      <c r="V47" s="63"/>
    </row>
    <row r="48" spans="5:23" x14ac:dyDescent="0.25">
      <c r="F48" t="s">
        <v>231</v>
      </c>
      <c r="G48" t="s">
        <v>342</v>
      </c>
      <c r="H48" s="123">
        <v>1.026</v>
      </c>
      <c r="I48" s="3"/>
      <c r="J48" s="154"/>
      <c r="K48" s="154"/>
      <c r="L48" s="154"/>
      <c r="M48" s="154"/>
      <c r="N48" s="154"/>
      <c r="O48" s="154"/>
      <c r="P48" s="154"/>
      <c r="Q48" s="154"/>
      <c r="R48" s="154"/>
      <c r="S48" s="63"/>
      <c r="T48" s="63"/>
      <c r="U48" s="63"/>
      <c r="V48" s="63"/>
    </row>
    <row r="49" spans="4:42" x14ac:dyDescent="0.25">
      <c r="F49" t="s">
        <v>232</v>
      </c>
      <c r="G49" t="s">
        <v>342</v>
      </c>
      <c r="H49" s="123">
        <v>1.026</v>
      </c>
      <c r="I49" s="3"/>
      <c r="J49" s="154"/>
      <c r="K49" s="154"/>
      <c r="L49" s="154"/>
      <c r="M49" s="154"/>
      <c r="N49" s="154"/>
      <c r="O49" s="154"/>
      <c r="P49" s="154"/>
      <c r="Q49" s="154"/>
      <c r="R49" s="154"/>
      <c r="S49" s="63"/>
      <c r="T49" s="63"/>
      <c r="U49" s="63"/>
      <c r="V49" s="63"/>
    </row>
    <row r="50" spans="4:42" x14ac:dyDescent="0.25">
      <c r="F50" t="s">
        <v>233</v>
      </c>
      <c r="G50" t="s">
        <v>342</v>
      </c>
      <c r="H50" s="123">
        <v>1.0349999999999999</v>
      </c>
      <c r="K50" s="154"/>
      <c r="L50" s="154"/>
      <c r="M50" s="154"/>
      <c r="N50" s="154"/>
      <c r="O50" s="154"/>
      <c r="P50" s="154"/>
      <c r="Q50" s="154"/>
      <c r="R50" s="154"/>
      <c r="S50" s="63"/>
      <c r="T50" s="63"/>
      <c r="U50" s="63"/>
      <c r="V50" s="63"/>
    </row>
    <row r="51" spans="4:42" x14ac:dyDescent="0.25">
      <c r="F51" t="s">
        <v>234</v>
      </c>
      <c r="G51" t="s">
        <v>342</v>
      </c>
      <c r="H51" s="123">
        <v>1.0569999999999999</v>
      </c>
      <c r="I51" s="3"/>
      <c r="J51" s="154"/>
      <c r="K51" s="154"/>
      <c r="L51" s="154"/>
      <c r="M51" s="154"/>
      <c r="N51" s="154"/>
      <c r="O51" s="154"/>
      <c r="P51" s="154"/>
      <c r="Q51" s="154"/>
      <c r="R51" s="154"/>
      <c r="S51" s="63"/>
      <c r="T51" s="63"/>
      <c r="U51" s="63"/>
      <c r="V51" s="63"/>
    </row>
    <row r="52" spans="4:42" x14ac:dyDescent="0.25">
      <c r="F52" s="37" t="s">
        <v>235</v>
      </c>
      <c r="G52" s="37" t="s">
        <v>342</v>
      </c>
      <c r="H52" s="128">
        <v>1.0900000000000001</v>
      </c>
      <c r="I52" s="3"/>
      <c r="J52" s="154"/>
      <c r="K52" s="154"/>
      <c r="L52" s="154"/>
      <c r="M52" s="154"/>
      <c r="N52" s="154"/>
      <c r="O52" s="154"/>
      <c r="P52" s="154"/>
      <c r="Q52" s="154"/>
      <c r="R52" s="154"/>
      <c r="S52" s="63"/>
      <c r="T52" s="63"/>
      <c r="U52" s="63"/>
      <c r="V52" s="63"/>
    </row>
    <row r="53" spans="4:42" x14ac:dyDescent="0.25">
      <c r="G53" s="28"/>
      <c r="H53" s="3"/>
      <c r="I53" s="3"/>
      <c r="J53" s="154"/>
      <c r="K53" s="154"/>
      <c r="L53" s="154"/>
      <c r="M53" s="154"/>
      <c r="N53" s="154"/>
      <c r="O53" s="154"/>
      <c r="P53" s="154"/>
      <c r="Q53" s="154"/>
      <c r="R53" s="154"/>
      <c r="S53" s="63"/>
      <c r="T53" s="63"/>
      <c r="U53" s="63"/>
      <c r="V53" s="63"/>
    </row>
    <row r="54" spans="4:42" x14ac:dyDescent="0.25">
      <c r="E54" s="32" t="s">
        <v>468</v>
      </c>
      <c r="F54" s="32"/>
      <c r="J54" s="63"/>
      <c r="K54" s="63"/>
      <c r="L54" s="63"/>
      <c r="M54" s="63"/>
      <c r="N54" s="63"/>
      <c r="O54" s="63"/>
      <c r="P54" s="63"/>
      <c r="Q54" s="63"/>
      <c r="R54" s="63"/>
      <c r="S54" s="63"/>
    </row>
    <row r="55" spans="4:42" x14ac:dyDescent="0.25">
      <c r="D55" s="32"/>
      <c r="E55" s="32"/>
      <c r="F55" s="207" t="s">
        <v>225</v>
      </c>
      <c r="G55" s="23" t="s">
        <v>342</v>
      </c>
      <c r="H55" s="23"/>
      <c r="I55" s="23"/>
      <c r="J55" s="210">
        <f t="array" ref="J55:AP64">TRANSPOSE('Load &amp; loss characteristics'!J230:S262)</f>
        <v>1.0900000000000001</v>
      </c>
      <c r="K55" s="210">
        <v>1.0900000000000001</v>
      </c>
      <c r="L55" s="210">
        <v>1.0900000000000001</v>
      </c>
      <c r="M55" s="210">
        <v>1.0900000000000001</v>
      </c>
      <c r="N55" s="210">
        <v>1.0900000000000001</v>
      </c>
      <c r="O55" s="210">
        <v>1.0900000000000001</v>
      </c>
      <c r="P55" s="210">
        <v>1.0900000000000001</v>
      </c>
      <c r="Q55" s="210">
        <v>1.0569999999999999</v>
      </c>
      <c r="R55" s="210">
        <v>1.0349999999999999</v>
      </c>
      <c r="S55" s="210">
        <v>1.0900000000000001</v>
      </c>
      <c r="T55" s="210">
        <v>1.0900000000000001</v>
      </c>
      <c r="U55" s="210">
        <v>1.0900000000000001</v>
      </c>
      <c r="V55" s="210">
        <v>1.0569999999999999</v>
      </c>
      <c r="W55" s="210">
        <v>1.0349999999999999</v>
      </c>
      <c r="X55" s="210">
        <v>1.0900000000000001</v>
      </c>
      <c r="Y55" s="210">
        <v>1.0900000000000001</v>
      </c>
      <c r="Z55" s="210">
        <v>1.0900000000000001</v>
      </c>
      <c r="AA55" s="210">
        <v>1.0900000000000001</v>
      </c>
      <c r="AB55" s="210">
        <v>1.0900000000000001</v>
      </c>
      <c r="AC55" s="210">
        <v>-1.0900000000000001</v>
      </c>
      <c r="AD55" s="210">
        <v>-1.0569999999999999</v>
      </c>
      <c r="AE55" s="210">
        <v>-1.0900000000000001</v>
      </c>
      <c r="AF55" s="210">
        <v>-1.0900000000000001</v>
      </c>
      <c r="AG55" s="210">
        <v>-1.0900000000000001</v>
      </c>
      <c r="AH55" s="210">
        <v>-1.0900000000000001</v>
      </c>
      <c r="AI55" s="210">
        <v>-1.0569999999999999</v>
      </c>
      <c r="AJ55" s="210">
        <v>-1.0569999999999999</v>
      </c>
      <c r="AK55" s="210">
        <v>-1.0569999999999999</v>
      </c>
      <c r="AL55" s="210">
        <v>-1.0569999999999999</v>
      </c>
      <c r="AM55" s="210">
        <v>-1.0349999999999999</v>
      </c>
      <c r="AN55" s="210">
        <v>-1.0349999999999999</v>
      </c>
      <c r="AO55" s="210">
        <v>-1.0349999999999999</v>
      </c>
      <c r="AP55" s="210">
        <v>-1.0349999999999999</v>
      </c>
    </row>
    <row r="56" spans="4:42" x14ac:dyDescent="0.25">
      <c r="D56" s="32"/>
      <c r="E56" s="32"/>
      <c r="F56" s="208" t="s">
        <v>227</v>
      </c>
      <c r="G56" t="s">
        <v>342</v>
      </c>
      <c r="J56" s="211">
        <v>1.0900000000000001</v>
      </c>
      <c r="K56" s="211">
        <v>1.0900000000000001</v>
      </c>
      <c r="L56" s="211">
        <v>1.0900000000000001</v>
      </c>
      <c r="M56" s="211">
        <v>1.0900000000000001</v>
      </c>
      <c r="N56" s="211">
        <v>1.0900000000000001</v>
      </c>
      <c r="O56" s="211">
        <v>1.0900000000000001</v>
      </c>
      <c r="P56" s="211">
        <v>1.0900000000000001</v>
      </c>
      <c r="Q56" s="211">
        <v>1.0569999999999999</v>
      </c>
      <c r="R56" s="211">
        <v>1.0349999999999999</v>
      </c>
      <c r="S56" s="211">
        <v>1.0900000000000001</v>
      </c>
      <c r="T56" s="211">
        <v>1.0900000000000001</v>
      </c>
      <c r="U56" s="211">
        <v>1.0900000000000001</v>
      </c>
      <c r="V56" s="211">
        <v>1.0569999999999999</v>
      </c>
      <c r="W56" s="211">
        <v>1.0349999999999999</v>
      </c>
      <c r="X56" s="211">
        <v>1.0900000000000001</v>
      </c>
      <c r="Y56" s="211">
        <v>1.0900000000000001</v>
      </c>
      <c r="Z56" s="211">
        <v>1.0900000000000001</v>
      </c>
      <c r="AA56" s="211">
        <v>1.0900000000000001</v>
      </c>
      <c r="AB56" s="211">
        <v>1.0900000000000001</v>
      </c>
      <c r="AC56" s="211">
        <v>-1.0900000000000001</v>
      </c>
      <c r="AD56" s="211">
        <v>-1.0569999999999999</v>
      </c>
      <c r="AE56" s="211">
        <v>-1.0900000000000001</v>
      </c>
      <c r="AF56" s="211">
        <v>-1.0900000000000001</v>
      </c>
      <c r="AG56" s="211">
        <v>-1.0900000000000001</v>
      </c>
      <c r="AH56" s="211">
        <v>-1.0900000000000001</v>
      </c>
      <c r="AI56" s="211">
        <v>-1.0569999999999999</v>
      </c>
      <c r="AJ56" s="211">
        <v>-1.0569999999999999</v>
      </c>
      <c r="AK56" s="211">
        <v>-1.0569999999999999</v>
      </c>
      <c r="AL56" s="211">
        <v>-1.0569999999999999</v>
      </c>
      <c r="AM56" s="211">
        <v>-1.0349999999999999</v>
      </c>
      <c r="AN56" s="211">
        <v>-1.0349999999999999</v>
      </c>
      <c r="AO56" s="211">
        <v>-1.0349999999999999</v>
      </c>
      <c r="AP56" s="211">
        <v>-1.0349999999999999</v>
      </c>
    </row>
    <row r="57" spans="4:42" x14ac:dyDescent="0.25">
      <c r="D57" s="32"/>
      <c r="E57" s="32"/>
      <c r="F57" s="208" t="s">
        <v>228</v>
      </c>
      <c r="G57" t="s">
        <v>342</v>
      </c>
      <c r="J57" s="211">
        <v>1.0900000000000001</v>
      </c>
      <c r="K57" s="211">
        <v>1.0900000000000001</v>
      </c>
      <c r="L57" s="211">
        <v>1.0900000000000001</v>
      </c>
      <c r="M57" s="211">
        <v>1.0900000000000001</v>
      </c>
      <c r="N57" s="211">
        <v>1.0900000000000001</v>
      </c>
      <c r="O57" s="211">
        <v>1.0900000000000001</v>
      </c>
      <c r="P57" s="211">
        <v>1.0900000000000001</v>
      </c>
      <c r="Q57" s="211">
        <v>1.0569999999999999</v>
      </c>
      <c r="R57" s="211">
        <v>1.0349999999999999</v>
      </c>
      <c r="S57" s="211">
        <v>1.0900000000000001</v>
      </c>
      <c r="T57" s="211">
        <v>1.0900000000000001</v>
      </c>
      <c r="U57" s="211">
        <v>1.0900000000000001</v>
      </c>
      <c r="V57" s="211">
        <v>1.0569999999999999</v>
      </c>
      <c r="W57" s="211">
        <v>1.0349999999999999</v>
      </c>
      <c r="X57" s="211">
        <v>1.0900000000000001</v>
      </c>
      <c r="Y57" s="211">
        <v>1.0900000000000001</v>
      </c>
      <c r="Z57" s="211">
        <v>1.0900000000000001</v>
      </c>
      <c r="AA57" s="211">
        <v>1.0900000000000001</v>
      </c>
      <c r="AB57" s="211">
        <v>1.0900000000000001</v>
      </c>
      <c r="AC57" s="211">
        <v>-1.0900000000000001</v>
      </c>
      <c r="AD57" s="211">
        <v>-1.0569999999999999</v>
      </c>
      <c r="AE57" s="211">
        <v>-1.0900000000000001</v>
      </c>
      <c r="AF57" s="211">
        <v>-1.0900000000000001</v>
      </c>
      <c r="AG57" s="211">
        <v>-1.0900000000000001</v>
      </c>
      <c r="AH57" s="211">
        <v>-1.0900000000000001</v>
      </c>
      <c r="AI57" s="211">
        <v>-1.0569999999999999</v>
      </c>
      <c r="AJ57" s="211">
        <v>-1.0569999999999999</v>
      </c>
      <c r="AK57" s="211">
        <v>-1.0569999999999999</v>
      </c>
      <c r="AL57" s="211">
        <v>-1.0569999999999999</v>
      </c>
      <c r="AM57" s="211">
        <v>-1.0349999999999999</v>
      </c>
      <c r="AN57" s="211">
        <v>-1.0349999999999999</v>
      </c>
      <c r="AO57" s="211">
        <v>-1.0349999999999999</v>
      </c>
      <c r="AP57" s="211">
        <v>-1.0349999999999999</v>
      </c>
    </row>
    <row r="58" spans="4:42" x14ac:dyDescent="0.25">
      <c r="D58" s="32"/>
      <c r="E58" s="32"/>
      <c r="F58" s="208" t="s">
        <v>229</v>
      </c>
      <c r="G58" t="s">
        <v>342</v>
      </c>
      <c r="J58" s="211">
        <v>1.0900000000000001</v>
      </c>
      <c r="K58" s="211">
        <v>1.0900000000000001</v>
      </c>
      <c r="L58" s="211">
        <v>1.0900000000000001</v>
      </c>
      <c r="M58" s="211">
        <v>1.0900000000000001</v>
      </c>
      <c r="N58" s="211">
        <v>1.0900000000000001</v>
      </c>
      <c r="O58" s="211">
        <v>1.0900000000000001</v>
      </c>
      <c r="P58" s="211">
        <v>1.0900000000000001</v>
      </c>
      <c r="Q58" s="211">
        <v>1.0569999999999999</v>
      </c>
      <c r="R58" s="211">
        <v>1.0349999999999999</v>
      </c>
      <c r="S58" s="211">
        <v>1.0900000000000001</v>
      </c>
      <c r="T58" s="211">
        <v>1.0900000000000001</v>
      </c>
      <c r="U58" s="211">
        <v>1.0900000000000001</v>
      </c>
      <c r="V58" s="211">
        <v>1.0569999999999999</v>
      </c>
      <c r="W58" s="211">
        <v>1.0349999999999999</v>
      </c>
      <c r="X58" s="211">
        <v>1.0900000000000001</v>
      </c>
      <c r="Y58" s="211">
        <v>1.0900000000000001</v>
      </c>
      <c r="Z58" s="211">
        <v>1.0900000000000001</v>
      </c>
      <c r="AA58" s="211">
        <v>1.0900000000000001</v>
      </c>
      <c r="AB58" s="211">
        <v>1.0900000000000001</v>
      </c>
      <c r="AC58" s="211">
        <v>-1.0900000000000001</v>
      </c>
      <c r="AD58" s="211">
        <v>-1.0569999999999999</v>
      </c>
      <c r="AE58" s="211">
        <v>-1.0900000000000001</v>
      </c>
      <c r="AF58" s="211">
        <v>-1.0900000000000001</v>
      </c>
      <c r="AG58" s="211">
        <v>-1.0900000000000001</v>
      </c>
      <c r="AH58" s="211">
        <v>-1.0900000000000001</v>
      </c>
      <c r="AI58" s="211">
        <v>-1.0569999999999999</v>
      </c>
      <c r="AJ58" s="211">
        <v>-1.0569999999999999</v>
      </c>
      <c r="AK58" s="211">
        <v>-1.0569999999999999</v>
      </c>
      <c r="AL58" s="211">
        <v>-1.0569999999999999</v>
      </c>
      <c r="AM58" s="211">
        <v>-1.0349999999999999</v>
      </c>
      <c r="AN58" s="211">
        <v>-1.0349999999999999</v>
      </c>
      <c r="AO58" s="211">
        <v>-1.0349999999999999</v>
      </c>
      <c r="AP58" s="211">
        <v>-1.0349999999999999</v>
      </c>
    </row>
    <row r="59" spans="4:42" x14ac:dyDescent="0.25">
      <c r="D59" s="32"/>
      <c r="E59" s="32"/>
      <c r="F59" s="208" t="s">
        <v>230</v>
      </c>
      <c r="G59" t="s">
        <v>342</v>
      </c>
      <c r="J59" s="211">
        <v>1.0900000000000001</v>
      </c>
      <c r="K59" s="211">
        <v>1.0900000000000001</v>
      </c>
      <c r="L59" s="211">
        <v>1.0900000000000001</v>
      </c>
      <c r="M59" s="211">
        <v>1.0900000000000001</v>
      </c>
      <c r="N59" s="211">
        <v>1.0900000000000001</v>
      </c>
      <c r="O59" s="211">
        <v>1.0900000000000001</v>
      </c>
      <c r="P59" s="211">
        <v>1.0900000000000001</v>
      </c>
      <c r="Q59" s="211">
        <v>1.0569999999999999</v>
      </c>
      <c r="R59" s="211">
        <v>1.0349999999999999</v>
      </c>
      <c r="S59" s="211">
        <v>1.0900000000000001</v>
      </c>
      <c r="T59" s="211">
        <v>1.0900000000000001</v>
      </c>
      <c r="U59" s="211">
        <v>1.0900000000000001</v>
      </c>
      <c r="V59" s="211">
        <v>1.0569999999999999</v>
      </c>
      <c r="W59" s="211">
        <v>1.0349999999999999</v>
      </c>
      <c r="X59" s="211">
        <v>1.0900000000000001</v>
      </c>
      <c r="Y59" s="211">
        <v>1.0900000000000001</v>
      </c>
      <c r="Z59" s="211">
        <v>1.0900000000000001</v>
      </c>
      <c r="AA59" s="211">
        <v>1.0900000000000001</v>
      </c>
      <c r="AB59" s="211">
        <v>1.0900000000000001</v>
      </c>
      <c r="AC59" s="211">
        <v>-1.0900000000000001</v>
      </c>
      <c r="AD59" s="211">
        <v>-1.0569999999999999</v>
      </c>
      <c r="AE59" s="211">
        <v>-1.0900000000000001</v>
      </c>
      <c r="AF59" s="211">
        <v>-1.0900000000000001</v>
      </c>
      <c r="AG59" s="211">
        <v>-1.0900000000000001</v>
      </c>
      <c r="AH59" s="211">
        <v>-1.0900000000000001</v>
      </c>
      <c r="AI59" s="211">
        <v>-1.0569999999999999</v>
      </c>
      <c r="AJ59" s="211">
        <v>-1.0569999999999999</v>
      </c>
      <c r="AK59" s="211">
        <v>-1.0569999999999999</v>
      </c>
      <c r="AL59" s="211">
        <v>-1.0569999999999999</v>
      </c>
      <c r="AM59" s="211">
        <v>-1.0349999999999999</v>
      </c>
      <c r="AN59" s="211">
        <v>-1.0349999999999999</v>
      </c>
      <c r="AO59" s="211">
        <v>-1.0349999999999999</v>
      </c>
      <c r="AP59" s="211">
        <v>-1.0349999999999999</v>
      </c>
    </row>
    <row r="60" spans="4:42" x14ac:dyDescent="0.25">
      <c r="D60" s="32"/>
      <c r="E60" s="32"/>
      <c r="F60" s="208" t="s">
        <v>231</v>
      </c>
      <c r="G60" t="s">
        <v>342</v>
      </c>
      <c r="J60" s="211">
        <v>1.0900000000000001</v>
      </c>
      <c r="K60" s="211">
        <v>1.0900000000000001</v>
      </c>
      <c r="L60" s="211">
        <v>1.0900000000000001</v>
      </c>
      <c r="M60" s="211">
        <v>1.0900000000000001</v>
      </c>
      <c r="N60" s="211">
        <v>1.0900000000000001</v>
      </c>
      <c r="O60" s="211">
        <v>1.0900000000000001</v>
      </c>
      <c r="P60" s="211">
        <v>1.0900000000000001</v>
      </c>
      <c r="Q60" s="211">
        <v>1.0569999999999999</v>
      </c>
      <c r="R60" s="211">
        <v>1.0349999999999999</v>
      </c>
      <c r="S60" s="211">
        <v>1.0900000000000001</v>
      </c>
      <c r="T60" s="211">
        <v>1.0900000000000001</v>
      </c>
      <c r="U60" s="211">
        <v>1.0900000000000001</v>
      </c>
      <c r="V60" s="211">
        <v>1.0569999999999999</v>
      </c>
      <c r="W60" s="211">
        <v>1.0349999999999999</v>
      </c>
      <c r="X60" s="211">
        <v>1.0900000000000001</v>
      </c>
      <c r="Y60" s="211">
        <v>1.0900000000000001</v>
      </c>
      <c r="Z60" s="211">
        <v>1.0900000000000001</v>
      </c>
      <c r="AA60" s="211">
        <v>1.0900000000000001</v>
      </c>
      <c r="AB60" s="211">
        <v>1.0900000000000001</v>
      </c>
      <c r="AC60" s="211">
        <v>-1.0900000000000001</v>
      </c>
      <c r="AD60" s="211">
        <v>-1.0569999999999999</v>
      </c>
      <c r="AE60" s="211">
        <v>-1.0900000000000001</v>
      </c>
      <c r="AF60" s="211">
        <v>-1.0900000000000001</v>
      </c>
      <c r="AG60" s="211">
        <v>-1.0900000000000001</v>
      </c>
      <c r="AH60" s="211">
        <v>-1.0900000000000001</v>
      </c>
      <c r="AI60" s="211">
        <v>-1.0569999999999999</v>
      </c>
      <c r="AJ60" s="211">
        <v>-1.0569999999999999</v>
      </c>
      <c r="AK60" s="211">
        <v>-1.0569999999999999</v>
      </c>
      <c r="AL60" s="211">
        <v>-1.0569999999999999</v>
      </c>
      <c r="AM60" s="211">
        <v>-1.0349999999999999</v>
      </c>
      <c r="AN60" s="211">
        <v>-1.0349999999999999</v>
      </c>
      <c r="AO60" s="211">
        <v>-1.0349999999999999</v>
      </c>
      <c r="AP60" s="211">
        <v>-1.0349999999999999</v>
      </c>
    </row>
    <row r="61" spans="4:42" x14ac:dyDescent="0.25">
      <c r="D61" s="32"/>
      <c r="E61" s="32"/>
      <c r="F61" s="208" t="s">
        <v>232</v>
      </c>
      <c r="G61" t="s">
        <v>342</v>
      </c>
      <c r="J61" s="211">
        <v>0</v>
      </c>
      <c r="K61" s="211">
        <v>0</v>
      </c>
      <c r="L61" s="211">
        <v>0</v>
      </c>
      <c r="M61" s="211">
        <v>0</v>
      </c>
      <c r="N61" s="211">
        <v>0</v>
      </c>
      <c r="O61" s="211">
        <v>0</v>
      </c>
      <c r="P61" s="211">
        <v>0</v>
      </c>
      <c r="Q61" s="211">
        <v>0</v>
      </c>
      <c r="R61" s="211">
        <v>0</v>
      </c>
      <c r="S61" s="211">
        <v>0</v>
      </c>
      <c r="T61" s="211">
        <v>0</v>
      </c>
      <c r="U61" s="211">
        <v>0</v>
      </c>
      <c r="V61" s="211">
        <v>0</v>
      </c>
      <c r="W61" s="211">
        <v>0</v>
      </c>
      <c r="X61" s="211">
        <v>0</v>
      </c>
      <c r="Y61" s="211">
        <v>0</v>
      </c>
      <c r="Z61" s="211">
        <v>0</v>
      </c>
      <c r="AA61" s="211">
        <v>0</v>
      </c>
      <c r="AB61" s="211">
        <v>0</v>
      </c>
      <c r="AC61" s="211">
        <v>0</v>
      </c>
      <c r="AD61" s="211">
        <v>0</v>
      </c>
      <c r="AE61" s="211">
        <v>0</v>
      </c>
      <c r="AF61" s="211">
        <v>0</v>
      </c>
      <c r="AG61" s="211">
        <v>0</v>
      </c>
      <c r="AH61" s="211">
        <v>0</v>
      </c>
      <c r="AI61" s="211">
        <v>0</v>
      </c>
      <c r="AJ61" s="211">
        <v>0</v>
      </c>
      <c r="AK61" s="211">
        <v>0</v>
      </c>
      <c r="AL61" s="211">
        <v>0</v>
      </c>
      <c r="AM61" s="211">
        <v>0</v>
      </c>
      <c r="AN61" s="211">
        <v>0</v>
      </c>
      <c r="AO61" s="211">
        <v>0</v>
      </c>
      <c r="AP61" s="211">
        <v>0</v>
      </c>
    </row>
    <row r="62" spans="4:42" x14ac:dyDescent="0.25">
      <c r="D62" s="32"/>
      <c r="E62" s="32"/>
      <c r="F62" s="208" t="s">
        <v>233</v>
      </c>
      <c r="G62" t="s">
        <v>342</v>
      </c>
      <c r="J62" s="211">
        <v>1.0900000000000001</v>
      </c>
      <c r="K62" s="211">
        <v>1.0900000000000001</v>
      </c>
      <c r="L62" s="211">
        <v>1.0900000000000001</v>
      </c>
      <c r="M62" s="211">
        <v>1.0900000000000001</v>
      </c>
      <c r="N62" s="211">
        <v>1.0900000000000001</v>
      </c>
      <c r="O62" s="211">
        <v>1.0900000000000001</v>
      </c>
      <c r="P62" s="211">
        <v>1.0900000000000001</v>
      </c>
      <c r="Q62" s="211">
        <v>1.0569999999999999</v>
      </c>
      <c r="R62" s="211">
        <v>1.0349999999999999</v>
      </c>
      <c r="S62" s="211">
        <v>1.0900000000000001</v>
      </c>
      <c r="T62" s="211">
        <v>1.0900000000000001</v>
      </c>
      <c r="U62" s="211">
        <v>1.0900000000000001</v>
      </c>
      <c r="V62" s="211">
        <v>1.0569999999999999</v>
      </c>
      <c r="W62" s="211">
        <v>1.0349999999999999</v>
      </c>
      <c r="X62" s="211">
        <v>1.0900000000000001</v>
      </c>
      <c r="Y62" s="211">
        <v>1.0900000000000001</v>
      </c>
      <c r="Z62" s="211">
        <v>1.0900000000000001</v>
      </c>
      <c r="AA62" s="211">
        <v>1.0900000000000001</v>
      </c>
      <c r="AB62" s="211">
        <v>1.0900000000000001</v>
      </c>
      <c r="AC62" s="211">
        <v>-1.0900000000000001</v>
      </c>
      <c r="AD62" s="211">
        <v>-1.0569999999999999</v>
      </c>
      <c r="AE62" s="211">
        <v>-1.0900000000000001</v>
      </c>
      <c r="AF62" s="211">
        <v>-1.0900000000000001</v>
      </c>
      <c r="AG62" s="211">
        <v>-1.0900000000000001</v>
      </c>
      <c r="AH62" s="211">
        <v>-1.0900000000000001</v>
      </c>
      <c r="AI62" s="211">
        <v>-1.0569999999999999</v>
      </c>
      <c r="AJ62" s="211">
        <v>-1.0569999999999999</v>
      </c>
      <c r="AK62" s="211">
        <v>-1.0569999999999999</v>
      </c>
      <c r="AL62" s="211">
        <v>-1.0569999999999999</v>
      </c>
      <c r="AM62" s="211">
        <v>0</v>
      </c>
      <c r="AN62" s="211">
        <v>0</v>
      </c>
      <c r="AO62" s="211">
        <v>0</v>
      </c>
      <c r="AP62" s="211">
        <v>0</v>
      </c>
    </row>
    <row r="63" spans="4:42" x14ac:dyDescent="0.25">
      <c r="D63" s="32"/>
      <c r="E63" s="32"/>
      <c r="F63" s="208" t="s">
        <v>234</v>
      </c>
      <c r="G63" t="s">
        <v>342</v>
      </c>
      <c r="J63" s="211">
        <v>1.0900000000000001</v>
      </c>
      <c r="K63" s="211">
        <v>1.0900000000000001</v>
      </c>
      <c r="L63" s="211">
        <v>1.0900000000000001</v>
      </c>
      <c r="M63" s="211">
        <v>1.0900000000000001</v>
      </c>
      <c r="N63" s="211">
        <v>1.0900000000000001</v>
      </c>
      <c r="O63" s="211">
        <v>1.0900000000000001</v>
      </c>
      <c r="P63" s="211">
        <v>1.0900000000000001</v>
      </c>
      <c r="Q63" s="211">
        <v>1.0569999999999999</v>
      </c>
      <c r="R63" s="211">
        <v>0</v>
      </c>
      <c r="S63" s="211">
        <v>1.0900000000000001</v>
      </c>
      <c r="T63" s="211">
        <v>1.0900000000000001</v>
      </c>
      <c r="U63" s="211">
        <v>1.0900000000000001</v>
      </c>
      <c r="V63" s="211">
        <v>1.0569999999999999</v>
      </c>
      <c r="W63" s="211">
        <v>0</v>
      </c>
      <c r="X63" s="211">
        <v>1.0900000000000001</v>
      </c>
      <c r="Y63" s="211">
        <v>1.0900000000000001</v>
      </c>
      <c r="Z63" s="211">
        <v>1.0900000000000001</v>
      </c>
      <c r="AA63" s="211">
        <v>1.0900000000000001</v>
      </c>
      <c r="AB63" s="211">
        <v>1.0900000000000001</v>
      </c>
      <c r="AC63" s="211">
        <v>-1.0900000000000001</v>
      </c>
      <c r="AD63" s="211">
        <v>0</v>
      </c>
      <c r="AE63" s="211">
        <v>-1.0900000000000001</v>
      </c>
      <c r="AF63" s="211">
        <v>-1.0900000000000001</v>
      </c>
      <c r="AG63" s="211">
        <v>-1.0900000000000001</v>
      </c>
      <c r="AH63" s="211">
        <v>-1.0900000000000001</v>
      </c>
      <c r="AI63" s="211">
        <v>0</v>
      </c>
      <c r="AJ63" s="211">
        <v>0</v>
      </c>
      <c r="AK63" s="211">
        <v>0</v>
      </c>
      <c r="AL63" s="211">
        <v>0</v>
      </c>
      <c r="AM63" s="211">
        <v>0</v>
      </c>
      <c r="AN63" s="211">
        <v>0</v>
      </c>
      <c r="AO63" s="211">
        <v>0</v>
      </c>
      <c r="AP63" s="211">
        <v>0</v>
      </c>
    </row>
    <row r="64" spans="4:42" x14ac:dyDescent="0.25">
      <c r="D64" s="32"/>
      <c r="E64" s="32"/>
      <c r="F64" s="209" t="s">
        <v>235</v>
      </c>
      <c r="G64" s="37" t="s">
        <v>342</v>
      </c>
      <c r="H64" s="37"/>
      <c r="I64" s="37"/>
      <c r="J64" s="212">
        <v>1.0900000000000001</v>
      </c>
      <c r="K64" s="212">
        <v>1.0900000000000001</v>
      </c>
      <c r="L64" s="212">
        <v>1.0900000000000001</v>
      </c>
      <c r="M64" s="212">
        <v>1.0900000000000001</v>
      </c>
      <c r="N64" s="212">
        <v>1.0900000000000001</v>
      </c>
      <c r="O64" s="212">
        <v>1.0900000000000001</v>
      </c>
      <c r="P64" s="212">
        <v>1.0900000000000001</v>
      </c>
      <c r="Q64" s="212">
        <v>0</v>
      </c>
      <c r="R64" s="212">
        <v>0</v>
      </c>
      <c r="S64" s="212">
        <v>1.0900000000000001</v>
      </c>
      <c r="T64" s="212">
        <v>1.0900000000000001</v>
      </c>
      <c r="U64" s="212">
        <v>1.0900000000000001</v>
      </c>
      <c r="V64" s="212">
        <v>0</v>
      </c>
      <c r="W64" s="212">
        <v>0</v>
      </c>
      <c r="X64" s="212">
        <v>1.0900000000000001</v>
      </c>
      <c r="Y64" s="212">
        <v>1.0900000000000001</v>
      </c>
      <c r="Z64" s="212">
        <v>1.0900000000000001</v>
      </c>
      <c r="AA64" s="212">
        <v>1.0900000000000001</v>
      </c>
      <c r="AB64" s="212">
        <v>1.0900000000000001</v>
      </c>
      <c r="AC64" s="212">
        <v>0</v>
      </c>
      <c r="AD64" s="212">
        <v>0</v>
      </c>
      <c r="AE64" s="212">
        <v>0</v>
      </c>
      <c r="AF64" s="212">
        <v>0</v>
      </c>
      <c r="AG64" s="212">
        <v>0</v>
      </c>
      <c r="AH64" s="212">
        <v>0</v>
      </c>
      <c r="AI64" s="212">
        <v>0</v>
      </c>
      <c r="AJ64" s="212">
        <v>0</v>
      </c>
      <c r="AK64" s="212">
        <v>0</v>
      </c>
      <c r="AL64" s="212">
        <v>0</v>
      </c>
      <c r="AM64" s="212">
        <v>0</v>
      </c>
      <c r="AN64" s="212">
        <v>0</v>
      </c>
      <c r="AO64" s="212">
        <v>0</v>
      </c>
      <c r="AP64" s="212">
        <v>0</v>
      </c>
    </row>
    <row r="65" spans="3:42" x14ac:dyDescent="0.25">
      <c r="D65" s="32"/>
      <c r="E65" s="32"/>
      <c r="J65" s="169"/>
      <c r="K65" s="169"/>
      <c r="L65" s="169"/>
      <c r="M65" s="169"/>
      <c r="N65" s="169"/>
      <c r="O65" s="169"/>
      <c r="P65" s="169"/>
      <c r="Q65" s="169"/>
      <c r="R65" s="169"/>
      <c r="S65" s="169"/>
      <c r="T65" s="169"/>
      <c r="U65" s="169"/>
      <c r="V65" s="169"/>
      <c r="W65" s="169"/>
      <c r="X65" s="169"/>
      <c r="Y65" s="169"/>
      <c r="Z65" s="169"/>
      <c r="AA65" s="169"/>
      <c r="AB65" s="169"/>
      <c r="AC65" s="169"/>
      <c r="AD65" s="169"/>
      <c r="AE65" s="169"/>
      <c r="AF65" s="169"/>
      <c r="AG65" s="169"/>
      <c r="AH65" s="169"/>
      <c r="AI65" s="169"/>
      <c r="AJ65" s="169"/>
      <c r="AK65" s="169"/>
      <c r="AL65" s="169"/>
      <c r="AM65" s="169"/>
      <c r="AN65" s="169"/>
      <c r="AO65" s="169"/>
      <c r="AP65" s="169"/>
    </row>
    <row r="66" spans="3:42" x14ac:dyDescent="0.25">
      <c r="E66" s="32" t="s">
        <v>476</v>
      </c>
      <c r="J66" s="169"/>
      <c r="K66" s="169"/>
      <c r="L66" s="169"/>
      <c r="M66" s="169"/>
      <c r="N66" s="169"/>
      <c r="O66" s="169"/>
      <c r="P66" s="169"/>
      <c r="Q66" s="169"/>
      <c r="R66" s="169"/>
      <c r="S66" s="169"/>
      <c r="T66" s="169"/>
      <c r="U66" s="169"/>
      <c r="V66" s="169"/>
      <c r="W66" s="169"/>
      <c r="X66" s="169"/>
      <c r="Y66" s="169"/>
      <c r="Z66" s="169"/>
      <c r="AA66" s="169"/>
      <c r="AB66" s="169"/>
      <c r="AC66" s="169"/>
      <c r="AD66" s="169"/>
      <c r="AE66" s="169"/>
      <c r="AF66" s="169"/>
      <c r="AG66" s="169"/>
      <c r="AH66" s="169"/>
      <c r="AI66" s="169"/>
      <c r="AJ66" s="169"/>
      <c r="AK66" s="169"/>
      <c r="AL66" s="169"/>
      <c r="AM66" s="169"/>
      <c r="AN66" s="169"/>
      <c r="AO66" s="169"/>
      <c r="AP66" s="169"/>
    </row>
    <row r="67" spans="3:42" x14ac:dyDescent="0.25">
      <c r="D67" s="32"/>
      <c r="E67" s="32"/>
      <c r="F67" s="207" t="s">
        <v>225</v>
      </c>
      <c r="G67" s="64" t="s">
        <v>203</v>
      </c>
      <c r="H67" s="23"/>
      <c r="I67" s="23"/>
      <c r="J67" s="213"/>
      <c r="K67" s="213"/>
      <c r="L67" s="213"/>
      <c r="M67" s="213"/>
      <c r="N67" s="213"/>
      <c r="O67" s="213"/>
      <c r="P67" s="213"/>
      <c r="Q67" s="213"/>
      <c r="R67" s="213"/>
      <c r="S67" s="213"/>
      <c r="T67" s="213"/>
      <c r="U67" s="213"/>
      <c r="V67" s="213"/>
      <c r="W67" s="213"/>
      <c r="X67" s="213"/>
      <c r="Y67" s="213"/>
      <c r="Z67" s="213"/>
      <c r="AA67" s="213"/>
      <c r="AB67" s="213"/>
      <c r="AC67" s="213"/>
      <c r="AD67" s="213"/>
      <c r="AE67" s="213"/>
      <c r="AF67" s="213"/>
      <c r="AG67" s="213"/>
      <c r="AH67" s="213"/>
      <c r="AI67" s="213"/>
      <c r="AJ67" s="213"/>
      <c r="AK67" s="213"/>
      <c r="AL67" s="213"/>
      <c r="AM67" s="213"/>
      <c r="AN67" s="213"/>
      <c r="AO67" s="213"/>
      <c r="AP67" s="213"/>
    </row>
    <row r="68" spans="3:42" x14ac:dyDescent="0.25">
      <c r="D68" s="32"/>
      <c r="E68" s="32"/>
      <c r="F68" s="208" t="s">
        <v>227</v>
      </c>
      <c r="G68" s="28" t="s">
        <v>203</v>
      </c>
      <c r="J68" s="214"/>
      <c r="K68" s="214"/>
      <c r="L68" s="214"/>
      <c r="M68" s="214"/>
      <c r="N68" s="214"/>
      <c r="O68" s="214"/>
      <c r="P68" s="214"/>
      <c r="Q68" s="214"/>
      <c r="R68" s="214"/>
      <c r="S68" s="214"/>
      <c r="T68" s="214"/>
      <c r="U68" s="214"/>
      <c r="V68" s="214"/>
      <c r="W68" s="214"/>
      <c r="X68" s="214"/>
      <c r="Y68" s="214"/>
      <c r="Z68" s="214"/>
      <c r="AA68" s="214"/>
      <c r="AB68" s="214"/>
      <c r="AC68" s="214"/>
      <c r="AD68" s="214"/>
      <c r="AE68" s="214"/>
      <c r="AF68" s="214"/>
      <c r="AG68" s="214"/>
      <c r="AH68" s="214"/>
      <c r="AI68" s="214"/>
      <c r="AJ68" s="214"/>
      <c r="AK68" s="214"/>
      <c r="AL68" s="214"/>
      <c r="AM68" s="214"/>
      <c r="AN68" s="214"/>
      <c r="AO68" s="214"/>
      <c r="AP68" s="214"/>
    </row>
    <row r="69" spans="3:42" x14ac:dyDescent="0.25">
      <c r="D69" s="32"/>
      <c r="E69" s="32"/>
      <c r="F69" s="208" t="s">
        <v>228</v>
      </c>
      <c r="G69" s="28" t="s">
        <v>203</v>
      </c>
      <c r="J69" s="211">
        <f t="array" ref="J69:AP76">TRANSPOSE('Customer contributions'!L68:S100)</f>
        <v>0</v>
      </c>
      <c r="K69" s="211">
        <v>0</v>
      </c>
      <c r="L69" s="211">
        <v>0</v>
      </c>
      <c r="M69" s="211">
        <v>0</v>
      </c>
      <c r="N69" s="211">
        <v>0</v>
      </c>
      <c r="O69" s="211">
        <v>0</v>
      </c>
      <c r="P69" s="211">
        <v>0</v>
      </c>
      <c r="Q69" s="211">
        <v>0</v>
      </c>
      <c r="R69" s="211">
        <v>0</v>
      </c>
      <c r="S69" s="211">
        <v>0</v>
      </c>
      <c r="T69" s="211">
        <v>0</v>
      </c>
      <c r="U69" s="211">
        <v>0</v>
      </c>
      <c r="V69" s="211">
        <v>0</v>
      </c>
      <c r="W69" s="211">
        <v>0</v>
      </c>
      <c r="X69" s="211">
        <v>0</v>
      </c>
      <c r="Y69" s="211">
        <v>0</v>
      </c>
      <c r="Z69" s="211">
        <v>0</v>
      </c>
      <c r="AA69" s="211">
        <v>0</v>
      </c>
      <c r="AB69" s="211">
        <v>0</v>
      </c>
      <c r="AC69" s="211">
        <v>0</v>
      </c>
      <c r="AD69" s="211">
        <v>0</v>
      </c>
      <c r="AE69" s="211">
        <v>0</v>
      </c>
      <c r="AF69" s="211">
        <v>0</v>
      </c>
      <c r="AG69" s="211">
        <v>0</v>
      </c>
      <c r="AH69" s="211">
        <v>0</v>
      </c>
      <c r="AI69" s="211">
        <v>0</v>
      </c>
      <c r="AJ69" s="211">
        <v>0</v>
      </c>
      <c r="AK69" s="211">
        <v>0</v>
      </c>
      <c r="AL69" s="211">
        <v>0</v>
      </c>
      <c r="AM69" s="211">
        <v>0</v>
      </c>
      <c r="AN69" s="211">
        <v>0</v>
      </c>
      <c r="AO69" s="211">
        <v>0</v>
      </c>
      <c r="AP69" s="211">
        <v>0</v>
      </c>
    </row>
    <row r="70" spans="3:42" x14ac:dyDescent="0.25">
      <c r="D70" s="32"/>
      <c r="E70" s="32"/>
      <c r="F70" s="208" t="s">
        <v>229</v>
      </c>
      <c r="G70" s="28" t="s">
        <v>203</v>
      </c>
      <c r="J70" s="211">
        <v>0</v>
      </c>
      <c r="K70" s="211">
        <v>0</v>
      </c>
      <c r="L70" s="211">
        <v>0</v>
      </c>
      <c r="M70" s="211">
        <v>0</v>
      </c>
      <c r="N70" s="211">
        <v>0</v>
      </c>
      <c r="O70" s="211">
        <v>0</v>
      </c>
      <c r="P70" s="211">
        <v>0</v>
      </c>
      <c r="Q70" s="211">
        <v>0</v>
      </c>
      <c r="R70" s="211">
        <v>0</v>
      </c>
      <c r="S70" s="211">
        <v>0</v>
      </c>
      <c r="T70" s="211">
        <v>0</v>
      </c>
      <c r="U70" s="211">
        <v>0</v>
      </c>
      <c r="V70" s="211">
        <v>0</v>
      </c>
      <c r="W70" s="211">
        <v>0</v>
      </c>
      <c r="X70" s="211">
        <v>0</v>
      </c>
      <c r="Y70" s="211">
        <v>0</v>
      </c>
      <c r="Z70" s="211">
        <v>0</v>
      </c>
      <c r="AA70" s="211">
        <v>0</v>
      </c>
      <c r="AB70" s="211">
        <v>0</v>
      </c>
      <c r="AC70" s="211">
        <v>0</v>
      </c>
      <c r="AD70" s="211">
        <v>0</v>
      </c>
      <c r="AE70" s="211">
        <v>0</v>
      </c>
      <c r="AF70" s="211">
        <v>0</v>
      </c>
      <c r="AG70" s="211">
        <v>0</v>
      </c>
      <c r="AH70" s="211">
        <v>0</v>
      </c>
      <c r="AI70" s="211">
        <v>0</v>
      </c>
      <c r="AJ70" s="211">
        <v>0</v>
      </c>
      <c r="AK70" s="211">
        <v>0</v>
      </c>
      <c r="AL70" s="211">
        <v>0</v>
      </c>
      <c r="AM70" s="211">
        <v>0</v>
      </c>
      <c r="AN70" s="211">
        <v>0</v>
      </c>
      <c r="AO70" s="211">
        <v>0</v>
      </c>
      <c r="AP70" s="211">
        <v>0</v>
      </c>
    </row>
    <row r="71" spans="3:42" x14ac:dyDescent="0.25">
      <c r="D71" s="32"/>
      <c r="E71" s="32"/>
      <c r="F71" s="208" t="s">
        <v>230</v>
      </c>
      <c r="G71" s="28" t="s">
        <v>203</v>
      </c>
      <c r="J71" s="211">
        <v>6.4338235294117696E-3</v>
      </c>
      <c r="K71" s="211">
        <v>6.4338235294117696E-3</v>
      </c>
      <c r="L71" s="211">
        <v>6.4338235294117696E-3</v>
      </c>
      <c r="M71" s="211">
        <v>6.4338235294117696E-3</v>
      </c>
      <c r="N71" s="211">
        <v>6.4338235294117696E-3</v>
      </c>
      <c r="O71" s="211">
        <v>6.4338235294117696E-3</v>
      </c>
      <c r="P71" s="211">
        <v>6.4338235294117696E-3</v>
      </c>
      <c r="Q71" s="211">
        <v>6.4338235294117696E-3</v>
      </c>
      <c r="R71" s="211">
        <v>1.16978609625668E-2</v>
      </c>
      <c r="S71" s="211">
        <v>6.4338235294117696E-3</v>
      </c>
      <c r="T71" s="211">
        <v>6.4338235294117696E-3</v>
      </c>
      <c r="U71" s="211">
        <v>6.4338235294117696E-3</v>
      </c>
      <c r="V71" s="211">
        <v>6.4338235294117696E-3</v>
      </c>
      <c r="W71" s="211">
        <v>1.16978609625668E-2</v>
      </c>
      <c r="X71" s="211">
        <v>6.4338235294117696E-3</v>
      </c>
      <c r="Y71" s="211">
        <v>6.4338235294117696E-3</v>
      </c>
      <c r="Z71" s="211">
        <v>6.4338235294117696E-3</v>
      </c>
      <c r="AA71" s="211">
        <v>6.4338235294117696E-3</v>
      </c>
      <c r="AB71" s="211">
        <v>6.4338235294117696E-3</v>
      </c>
      <c r="AC71" s="211">
        <v>6.4338235294117696E-3</v>
      </c>
      <c r="AD71" s="211">
        <v>6.4338235294117696E-3</v>
      </c>
      <c r="AE71" s="211">
        <v>6.4338235294117696E-3</v>
      </c>
      <c r="AF71" s="211">
        <v>6.4338235294117696E-3</v>
      </c>
      <c r="AG71" s="211">
        <v>6.4338235294117696E-3</v>
      </c>
      <c r="AH71" s="211">
        <v>6.4338235294117696E-3</v>
      </c>
      <c r="AI71" s="211">
        <v>6.4338235294117696E-3</v>
      </c>
      <c r="AJ71" s="211">
        <v>6.4338235294117696E-3</v>
      </c>
      <c r="AK71" s="211">
        <v>6.4338235294117696E-3</v>
      </c>
      <c r="AL71" s="211">
        <v>6.4338235294117696E-3</v>
      </c>
      <c r="AM71" s="211">
        <v>1.16978609625668E-2</v>
      </c>
      <c r="AN71" s="211">
        <v>1.16978609625668E-2</v>
      </c>
      <c r="AO71" s="211">
        <v>1.16978609625668E-2</v>
      </c>
      <c r="AP71" s="211">
        <v>1.16978609625668E-2</v>
      </c>
    </row>
    <row r="72" spans="3:42" x14ac:dyDescent="0.25">
      <c r="D72" s="32"/>
      <c r="E72" s="32"/>
      <c r="F72" s="208" t="s">
        <v>231</v>
      </c>
      <c r="G72" s="28" t="s">
        <v>203</v>
      </c>
      <c r="J72" s="211">
        <v>4.1617122473246101E-3</v>
      </c>
      <c r="K72" s="211">
        <v>4.1617122473246101E-3</v>
      </c>
      <c r="L72" s="211">
        <v>4.1617122473246101E-3</v>
      </c>
      <c r="M72" s="211">
        <v>4.1617122473246101E-3</v>
      </c>
      <c r="N72" s="211">
        <v>4.1617122473246101E-3</v>
      </c>
      <c r="O72" s="211">
        <v>4.1617122473246101E-3</v>
      </c>
      <c r="P72" s="211">
        <v>4.1617122473246101E-3</v>
      </c>
      <c r="Q72" s="211">
        <v>4.1617122473246101E-3</v>
      </c>
      <c r="R72" s="211">
        <v>7.56674954059021E-3</v>
      </c>
      <c r="S72" s="211">
        <v>4.1617122473246101E-3</v>
      </c>
      <c r="T72" s="211">
        <v>4.1617122473246101E-3</v>
      </c>
      <c r="U72" s="211">
        <v>4.1617122473246101E-3</v>
      </c>
      <c r="V72" s="211">
        <v>4.1617122473246101E-3</v>
      </c>
      <c r="W72" s="211">
        <v>7.56674954059021E-3</v>
      </c>
      <c r="X72" s="211">
        <v>4.1617122473246101E-3</v>
      </c>
      <c r="Y72" s="211">
        <v>4.1617122473246101E-3</v>
      </c>
      <c r="Z72" s="211">
        <v>4.1617122473246101E-3</v>
      </c>
      <c r="AA72" s="211">
        <v>4.1617122473246101E-3</v>
      </c>
      <c r="AB72" s="211">
        <v>4.1617122473246101E-3</v>
      </c>
      <c r="AC72" s="211">
        <v>4.1617122473246101E-3</v>
      </c>
      <c r="AD72" s="211">
        <v>4.1617122473246101E-3</v>
      </c>
      <c r="AE72" s="211">
        <v>4.1617122473246101E-3</v>
      </c>
      <c r="AF72" s="211">
        <v>4.1617122473246101E-3</v>
      </c>
      <c r="AG72" s="211">
        <v>4.1617122473246101E-3</v>
      </c>
      <c r="AH72" s="211">
        <v>4.1617122473246101E-3</v>
      </c>
      <c r="AI72" s="211">
        <v>4.1617122473246101E-3</v>
      </c>
      <c r="AJ72" s="211">
        <v>4.1617122473246101E-3</v>
      </c>
      <c r="AK72" s="211">
        <v>4.1617122473246101E-3</v>
      </c>
      <c r="AL72" s="211">
        <v>4.1617122473246101E-3</v>
      </c>
      <c r="AM72" s="211">
        <v>7.56674954059021E-3</v>
      </c>
      <c r="AN72" s="211">
        <v>7.56674954059021E-3</v>
      </c>
      <c r="AO72" s="211">
        <v>7.56674954059021E-3</v>
      </c>
      <c r="AP72" s="211">
        <v>7.56674954059021E-3</v>
      </c>
    </row>
    <row r="73" spans="3:42" x14ac:dyDescent="0.25">
      <c r="D73" s="32"/>
      <c r="E73" s="32"/>
      <c r="F73" s="208" t="s">
        <v>232</v>
      </c>
      <c r="G73" s="28" t="s">
        <v>203</v>
      </c>
      <c r="J73" s="211">
        <v>0</v>
      </c>
      <c r="K73" s="211">
        <v>0</v>
      </c>
      <c r="L73" s="211">
        <v>0</v>
      </c>
      <c r="M73" s="211">
        <v>0</v>
      </c>
      <c r="N73" s="211">
        <v>0</v>
      </c>
      <c r="O73" s="211">
        <v>0</v>
      </c>
      <c r="P73" s="211">
        <v>0</v>
      </c>
      <c r="Q73" s="211">
        <v>0</v>
      </c>
      <c r="R73" s="211">
        <v>0</v>
      </c>
      <c r="S73" s="211">
        <v>0</v>
      </c>
      <c r="T73" s="211">
        <v>0</v>
      </c>
      <c r="U73" s="211">
        <v>0</v>
      </c>
      <c r="V73" s="211">
        <v>0</v>
      </c>
      <c r="W73" s="211">
        <v>0</v>
      </c>
      <c r="X73" s="211">
        <v>0</v>
      </c>
      <c r="Y73" s="211">
        <v>0</v>
      </c>
      <c r="Z73" s="211">
        <v>0</v>
      </c>
      <c r="AA73" s="211">
        <v>0</v>
      </c>
      <c r="AB73" s="211">
        <v>0</v>
      </c>
      <c r="AC73" s="211">
        <v>0</v>
      </c>
      <c r="AD73" s="211">
        <v>0</v>
      </c>
      <c r="AE73" s="211">
        <v>0</v>
      </c>
      <c r="AF73" s="211">
        <v>0</v>
      </c>
      <c r="AG73" s="211">
        <v>0</v>
      </c>
      <c r="AH73" s="211">
        <v>0</v>
      </c>
      <c r="AI73" s="211">
        <v>0</v>
      </c>
      <c r="AJ73" s="211">
        <v>0</v>
      </c>
      <c r="AK73" s="211">
        <v>0</v>
      </c>
      <c r="AL73" s="211">
        <v>0</v>
      </c>
      <c r="AM73" s="211">
        <v>0</v>
      </c>
      <c r="AN73" s="211">
        <v>0</v>
      </c>
      <c r="AO73" s="211">
        <v>0</v>
      </c>
      <c r="AP73" s="211">
        <v>0</v>
      </c>
    </row>
    <row r="74" spans="3:42" x14ac:dyDescent="0.25">
      <c r="D74" s="32"/>
      <c r="E74" s="32"/>
      <c r="F74" s="208" t="s">
        <v>233</v>
      </c>
      <c r="G74" s="28" t="s">
        <v>203</v>
      </c>
      <c r="J74" s="211">
        <v>0.42522380337704002</v>
      </c>
      <c r="K74" s="211">
        <v>0.42522380337704002</v>
      </c>
      <c r="L74" s="211">
        <v>0.42522380337704002</v>
      </c>
      <c r="M74" s="211">
        <v>0.42522380337704002</v>
      </c>
      <c r="N74" s="211">
        <v>0.42522380337704002</v>
      </c>
      <c r="O74" s="211">
        <v>0.42522380337704002</v>
      </c>
      <c r="P74" s="211">
        <v>0.42522380337704002</v>
      </c>
      <c r="Q74" s="211">
        <v>0.42522380337704002</v>
      </c>
      <c r="R74" s="211">
        <v>0.38896884219615702</v>
      </c>
      <c r="S74" s="211">
        <v>0.42522380337704002</v>
      </c>
      <c r="T74" s="211">
        <v>0.42522380337704002</v>
      </c>
      <c r="U74" s="211">
        <v>0.42522380337704002</v>
      </c>
      <c r="V74" s="211">
        <v>0.42522380337704002</v>
      </c>
      <c r="W74" s="211">
        <v>0.38896884219615702</v>
      </c>
      <c r="X74" s="211">
        <v>0.42522380337704002</v>
      </c>
      <c r="Y74" s="211">
        <v>0.42522380337704002</v>
      </c>
      <c r="Z74" s="211">
        <v>0.42522380337704002</v>
      </c>
      <c r="AA74" s="211">
        <v>0.42522380337704002</v>
      </c>
      <c r="AB74" s="211">
        <v>0.42522380337704002</v>
      </c>
      <c r="AC74" s="211">
        <v>0.42522380337704002</v>
      </c>
      <c r="AD74" s="211">
        <v>0.42522380337704002</v>
      </c>
      <c r="AE74" s="211">
        <v>0.42522380337704002</v>
      </c>
      <c r="AF74" s="211">
        <v>0.42522380337704002</v>
      </c>
      <c r="AG74" s="211">
        <v>0.42522380337704002</v>
      </c>
      <c r="AH74" s="211">
        <v>0.42522380337704002</v>
      </c>
      <c r="AI74" s="211">
        <v>0.42522380337704002</v>
      </c>
      <c r="AJ74" s="211">
        <v>0.42522380337704002</v>
      </c>
      <c r="AK74" s="211">
        <v>0.42522380337704002</v>
      </c>
      <c r="AL74" s="211">
        <v>0.42522380337704002</v>
      </c>
      <c r="AM74" s="211">
        <v>0.38896884219615702</v>
      </c>
      <c r="AN74" s="211">
        <v>0.38896884219615702</v>
      </c>
      <c r="AO74" s="211">
        <v>0.38896884219615702</v>
      </c>
      <c r="AP74" s="211">
        <v>0.38896884219615702</v>
      </c>
    </row>
    <row r="75" spans="3:42" x14ac:dyDescent="0.25">
      <c r="D75" s="32"/>
      <c r="E75" s="32"/>
      <c r="F75" s="208" t="s">
        <v>234</v>
      </c>
      <c r="G75" s="28" t="s">
        <v>203</v>
      </c>
      <c r="J75" s="211">
        <v>0.78260869565217395</v>
      </c>
      <c r="K75" s="211">
        <v>0.78260869565217395</v>
      </c>
      <c r="L75" s="211">
        <v>0.78260869565217395</v>
      </c>
      <c r="M75" s="211">
        <v>0.78260869565217395</v>
      </c>
      <c r="N75" s="211">
        <v>0.78260869565217395</v>
      </c>
      <c r="O75" s="211">
        <v>0.78260869565217395</v>
      </c>
      <c r="P75" s="211">
        <v>0.78260869565217395</v>
      </c>
      <c r="Q75" s="211">
        <v>0.78260869565217395</v>
      </c>
      <c r="R75" s="211">
        <v>0</v>
      </c>
      <c r="S75" s="211">
        <v>0.78260869565217395</v>
      </c>
      <c r="T75" s="211">
        <v>0.78260869565217395</v>
      </c>
      <c r="U75" s="211">
        <v>0.78260869565217395</v>
      </c>
      <c r="V75" s="211">
        <v>0.78260869565217395</v>
      </c>
      <c r="W75" s="211">
        <v>0</v>
      </c>
      <c r="X75" s="211">
        <v>0.78260869565217395</v>
      </c>
      <c r="Y75" s="211">
        <v>0.78260869565217395</v>
      </c>
      <c r="Z75" s="211">
        <v>0.78260869565217395</v>
      </c>
      <c r="AA75" s="211">
        <v>0.78260869565217395</v>
      </c>
      <c r="AB75" s="211">
        <v>0.78260869565217395</v>
      </c>
      <c r="AC75" s="211">
        <v>0.78260869565217395</v>
      </c>
      <c r="AD75" s="211">
        <v>0.78260869565217395</v>
      </c>
      <c r="AE75" s="211">
        <v>0.78260869565217395</v>
      </c>
      <c r="AF75" s="211">
        <v>0.78260869565217395</v>
      </c>
      <c r="AG75" s="211">
        <v>0.78260869565217395</v>
      </c>
      <c r="AH75" s="211">
        <v>0.78260869565217395</v>
      </c>
      <c r="AI75" s="211">
        <v>0.78260869565217395</v>
      </c>
      <c r="AJ75" s="211">
        <v>0.78260869565217395</v>
      </c>
      <c r="AK75" s="211">
        <v>0.78260869565217395</v>
      </c>
      <c r="AL75" s="211">
        <v>0.78260869565217395</v>
      </c>
      <c r="AM75" s="211">
        <v>0</v>
      </c>
      <c r="AN75" s="211">
        <v>0</v>
      </c>
      <c r="AO75" s="211">
        <v>0</v>
      </c>
      <c r="AP75" s="211">
        <v>0</v>
      </c>
    </row>
    <row r="76" spans="3:42" x14ac:dyDescent="0.25">
      <c r="D76" s="32"/>
      <c r="E76" s="32"/>
      <c r="F76" s="209" t="s">
        <v>235</v>
      </c>
      <c r="G76" s="67" t="s">
        <v>203</v>
      </c>
      <c r="H76" s="37"/>
      <c r="I76" s="37"/>
      <c r="J76" s="212">
        <v>0.966742252456538</v>
      </c>
      <c r="K76" s="212">
        <v>0.966742252456538</v>
      </c>
      <c r="L76" s="212">
        <v>0.966742252456538</v>
      </c>
      <c r="M76" s="212">
        <v>0.966742252456538</v>
      </c>
      <c r="N76" s="212">
        <v>0.966742252456538</v>
      </c>
      <c r="O76" s="212">
        <v>0.966742252456538</v>
      </c>
      <c r="P76" s="212">
        <v>0.966742252456538</v>
      </c>
      <c r="Q76" s="212">
        <v>0</v>
      </c>
      <c r="R76" s="212">
        <v>0</v>
      </c>
      <c r="S76" s="212">
        <v>0.966742252456538</v>
      </c>
      <c r="T76" s="212">
        <v>0.966742252456538</v>
      </c>
      <c r="U76" s="212">
        <v>0.966742252456538</v>
      </c>
      <c r="V76" s="212">
        <v>0</v>
      </c>
      <c r="W76" s="212">
        <v>0</v>
      </c>
      <c r="X76" s="212">
        <v>0.966742252456538</v>
      </c>
      <c r="Y76" s="212">
        <v>0.966742252456538</v>
      </c>
      <c r="Z76" s="212">
        <v>0.966742252456538</v>
      </c>
      <c r="AA76" s="212">
        <v>0.966742252456538</v>
      </c>
      <c r="AB76" s="212">
        <v>0.966742252456538</v>
      </c>
      <c r="AC76" s="212">
        <v>0.966742252456538</v>
      </c>
      <c r="AD76" s="212">
        <v>0</v>
      </c>
      <c r="AE76" s="212">
        <v>0.966742252456538</v>
      </c>
      <c r="AF76" s="212">
        <v>0.966742252456538</v>
      </c>
      <c r="AG76" s="212">
        <v>0.966742252456538</v>
      </c>
      <c r="AH76" s="212">
        <v>0.966742252456538</v>
      </c>
      <c r="AI76" s="212">
        <v>0</v>
      </c>
      <c r="AJ76" s="212">
        <v>0</v>
      </c>
      <c r="AK76" s="212">
        <v>0</v>
      </c>
      <c r="AL76" s="212">
        <v>0</v>
      </c>
      <c r="AM76" s="212">
        <v>0</v>
      </c>
      <c r="AN76" s="212">
        <v>0</v>
      </c>
      <c r="AO76" s="212">
        <v>0</v>
      </c>
      <c r="AP76" s="212">
        <v>0</v>
      </c>
    </row>
    <row r="77" spans="3:42" x14ac:dyDescent="0.25">
      <c r="C77" s="32"/>
      <c r="D77" s="32"/>
      <c r="J77" s="169"/>
      <c r="K77" s="169"/>
      <c r="L77" s="169"/>
      <c r="M77" s="169"/>
      <c r="N77" s="169"/>
      <c r="O77" s="169"/>
      <c r="P77" s="169"/>
      <c r="Q77" s="169"/>
      <c r="R77" s="169"/>
      <c r="S77" s="169"/>
      <c r="T77" s="169"/>
      <c r="U77" s="169"/>
      <c r="V77" s="169"/>
      <c r="W77" s="169"/>
      <c r="X77" s="169"/>
      <c r="Y77" s="169"/>
      <c r="Z77" s="169"/>
      <c r="AA77" s="169"/>
      <c r="AB77" s="169"/>
      <c r="AC77" s="169"/>
      <c r="AD77" s="169"/>
      <c r="AE77" s="169"/>
      <c r="AF77" s="169"/>
      <c r="AG77" s="169"/>
      <c r="AH77" s="169"/>
      <c r="AI77" s="169"/>
      <c r="AJ77" s="169"/>
      <c r="AK77" s="169"/>
      <c r="AL77" s="169"/>
      <c r="AM77" s="169"/>
      <c r="AN77" s="169"/>
      <c r="AO77" s="169"/>
      <c r="AP77" s="169"/>
    </row>
    <row r="78" spans="3:42" x14ac:dyDescent="0.25">
      <c r="E78" s="28" t="s">
        <v>551</v>
      </c>
      <c r="F78" s="28"/>
      <c r="G78" s="28" t="s">
        <v>342</v>
      </c>
      <c r="J78" s="211">
        <f>'Pseudo-load coefficients'!J504</f>
        <v>1.9807134114327527</v>
      </c>
      <c r="K78" s="211">
        <f>'Pseudo-load coefficients'!K504</f>
        <v>1.4480350502291977</v>
      </c>
      <c r="L78" s="211">
        <f>'Pseudo-load coefficients'!L504</f>
        <v>0</v>
      </c>
      <c r="M78" s="211">
        <f>'Pseudo-load coefficients'!M504</f>
        <v>1.8092628262864008</v>
      </c>
      <c r="N78" s="211">
        <f>'Pseudo-load coefficients'!N504</f>
        <v>1.4419295859211105</v>
      </c>
      <c r="O78" s="211">
        <f>'Pseudo-load coefficients'!O504</f>
        <v>0</v>
      </c>
      <c r="P78" s="211">
        <f>'Pseudo-load coefficients'!P504</f>
        <v>1.4334976645897464</v>
      </c>
      <c r="Q78" s="211">
        <f>'Pseudo-load coefficients'!Q504</f>
        <v>1.4334976645897464</v>
      </c>
      <c r="R78" s="211">
        <f>'Pseudo-load coefficients'!R504</f>
        <v>1.443925199590216</v>
      </c>
      <c r="S78" s="211">
        <f>'Pseudo-load coefficients'!S504</f>
        <v>1.9651373200500377</v>
      </c>
      <c r="T78" s="211">
        <f>'Pseudo-load coefficients'!T504</f>
        <v>1.593503792826042</v>
      </c>
      <c r="U78" s="211">
        <f>'Pseudo-load coefficients'!U504</f>
        <v>1.399729153232091</v>
      </c>
      <c r="V78" s="211">
        <f>'Pseudo-load coefficients'!V504</f>
        <v>1.2077168736189998</v>
      </c>
      <c r="W78" s="211">
        <f>'Pseudo-load coefficients'!W504</f>
        <v>1.2071379131919726</v>
      </c>
      <c r="X78" s="211">
        <f>'Pseudo-load coefficients'!X504</f>
        <v>1.0001140642937896</v>
      </c>
      <c r="Y78" s="211">
        <f>'Pseudo-load coefficients'!Y504</f>
        <v>1.8756312022936001</v>
      </c>
      <c r="Z78" s="211">
        <f>'Pseudo-load coefficients'!Z504</f>
        <v>3.4709348232859556</v>
      </c>
      <c r="AA78" s="211">
        <f>'Pseudo-load coefficients'!AA504</f>
        <v>0.28660511948586709</v>
      </c>
      <c r="AB78" s="211">
        <f>'Pseudo-load coefficients'!AB504</f>
        <v>1.7972393634164692</v>
      </c>
      <c r="AC78" s="211">
        <f>'Pseudo-load coefficients'!AC504</f>
        <v>1</v>
      </c>
      <c r="AD78" s="211">
        <f>'Pseudo-load coefficients'!AD504</f>
        <v>1</v>
      </c>
      <c r="AE78" s="211">
        <f>'Pseudo-load coefficients'!AE504</f>
        <v>1</v>
      </c>
      <c r="AF78" s="211">
        <f>'Pseudo-load coefficients'!AF504</f>
        <v>1</v>
      </c>
      <c r="AG78" s="211">
        <f>'Pseudo-load coefficients'!AG504</f>
        <v>1</v>
      </c>
      <c r="AH78" s="211">
        <f>'Pseudo-load coefficients'!AH504</f>
        <v>1</v>
      </c>
      <c r="AI78" s="211">
        <f>'Pseudo-load coefficients'!AI504</f>
        <v>1</v>
      </c>
      <c r="AJ78" s="211">
        <f>'Pseudo-load coefficients'!AJ504</f>
        <v>1</v>
      </c>
      <c r="AK78" s="211">
        <f>'Pseudo-load coefficients'!AK504</f>
        <v>1</v>
      </c>
      <c r="AL78" s="211">
        <f>'Pseudo-load coefficients'!AL504</f>
        <v>1</v>
      </c>
      <c r="AM78" s="211">
        <f>'Pseudo-load coefficients'!AM504</f>
        <v>1</v>
      </c>
      <c r="AN78" s="211">
        <f>'Pseudo-load coefficients'!AN504</f>
        <v>1</v>
      </c>
      <c r="AO78" s="211">
        <f>'Pseudo-load coefficients'!AO504</f>
        <v>1</v>
      </c>
      <c r="AP78" s="211">
        <f>'Pseudo-load coefficients'!AP504</f>
        <v>1</v>
      </c>
    </row>
    <row r="79" spans="3:42" x14ac:dyDescent="0.25">
      <c r="D79" s="32"/>
      <c r="J79" s="169"/>
      <c r="K79" s="169"/>
      <c r="L79" s="169"/>
      <c r="M79" s="169"/>
      <c r="N79" s="169"/>
      <c r="O79" s="169"/>
      <c r="P79" s="169"/>
      <c r="Q79" s="169"/>
      <c r="R79" s="169"/>
      <c r="S79" s="169"/>
      <c r="T79" s="169"/>
      <c r="U79" s="169"/>
      <c r="V79" s="169"/>
      <c r="W79" s="169"/>
      <c r="X79" s="169"/>
      <c r="Y79" s="169"/>
      <c r="Z79" s="169"/>
      <c r="AA79" s="169"/>
      <c r="AB79" s="169"/>
      <c r="AC79" s="169"/>
      <c r="AD79" s="169"/>
      <c r="AE79" s="169"/>
      <c r="AF79" s="169"/>
      <c r="AG79" s="169"/>
      <c r="AH79" s="169"/>
      <c r="AI79" s="169"/>
      <c r="AJ79" s="169"/>
      <c r="AK79" s="169"/>
      <c r="AL79" s="169"/>
      <c r="AM79" s="169"/>
      <c r="AN79" s="169"/>
      <c r="AO79" s="169"/>
      <c r="AP79" s="169"/>
    </row>
    <row r="80" spans="3:42" x14ac:dyDescent="0.25">
      <c r="E80" s="32" t="s">
        <v>619</v>
      </c>
      <c r="J80" s="169"/>
      <c r="K80" s="169"/>
      <c r="L80" s="169"/>
      <c r="M80" s="169"/>
      <c r="N80" s="169"/>
      <c r="O80" s="169"/>
      <c r="P80" s="169"/>
      <c r="Q80" s="169"/>
      <c r="R80" s="169"/>
      <c r="S80" s="169"/>
      <c r="T80" s="169"/>
      <c r="U80" s="169"/>
      <c r="V80" s="169"/>
      <c r="W80" s="169"/>
      <c r="X80" s="169"/>
      <c r="Y80" s="169"/>
      <c r="Z80" s="169"/>
      <c r="AA80" s="169"/>
      <c r="AB80" s="169"/>
      <c r="AC80" s="169"/>
      <c r="AD80" s="169"/>
      <c r="AE80" s="169"/>
      <c r="AF80" s="169"/>
      <c r="AG80" s="169"/>
      <c r="AH80" s="169"/>
      <c r="AI80" s="169"/>
      <c r="AJ80" s="169"/>
      <c r="AK80" s="169"/>
      <c r="AL80" s="169"/>
      <c r="AM80" s="169"/>
      <c r="AN80" s="169"/>
      <c r="AO80" s="169"/>
      <c r="AP80" s="169"/>
    </row>
    <row r="81" spans="5:42" x14ac:dyDescent="0.25">
      <c r="E81" s="32"/>
      <c r="F81" s="207" t="s">
        <v>225</v>
      </c>
      <c r="G81" s="64" t="s">
        <v>342</v>
      </c>
      <c r="H81" s="23"/>
      <c r="I81" s="23"/>
      <c r="J81" s="210">
        <f>'Pseudo-load coefficients'!J509</f>
        <v>1.7201731551756498</v>
      </c>
      <c r="K81" s="210">
        <f>'Pseudo-load coefficients'!K509</f>
        <v>2.011153066413228</v>
      </c>
      <c r="L81" s="210">
        <f>'Pseudo-load coefficients'!L509</f>
        <v>0.63788437675057463</v>
      </c>
      <c r="M81" s="210">
        <f>'Pseudo-load coefficients'!M509</f>
        <v>1.7498926879871817</v>
      </c>
      <c r="N81" s="210">
        <f>'Pseudo-load coefficients'!N509</f>
        <v>1.9223485423665356</v>
      </c>
      <c r="O81" s="210">
        <f>'Pseudo-load coefficients'!O509</f>
        <v>0.57401367023529626</v>
      </c>
      <c r="P81" s="210">
        <f>'Pseudo-load coefficients'!P509</f>
        <v>1.6676583579410345</v>
      </c>
      <c r="Q81" s="210">
        <f>'Pseudo-load coefficients'!Q509</f>
        <v>1.3573501094857139</v>
      </c>
      <c r="R81" s="210">
        <f>'Pseudo-load coefficients'!R509</f>
        <v>1.8866460088951273</v>
      </c>
      <c r="S81" s="210">
        <f>'Pseudo-load coefficients'!S509</f>
        <v>7.8338053256480613</v>
      </c>
      <c r="T81" s="210">
        <f>'Pseudo-load coefficients'!T509</f>
        <v>8.5525314977522306</v>
      </c>
      <c r="U81" s="210">
        <f>'Pseudo-load coefficients'!U509</f>
        <v>6.7902002993910742</v>
      </c>
      <c r="V81" s="210">
        <f>'Pseudo-load coefficients'!V509</f>
        <v>6.7405487014926724</v>
      </c>
      <c r="W81" s="210">
        <f>'Pseudo-load coefficients'!W509</f>
        <v>6.3991931982907664</v>
      </c>
      <c r="X81" s="210">
        <f>'Pseudo-load coefficients'!X509</f>
        <v>0.96400335645505142</v>
      </c>
      <c r="Y81" s="210">
        <f>'Pseudo-load coefficients'!Y509</f>
        <v>1.07110491036573</v>
      </c>
      <c r="Z81" s="210">
        <f>'Pseudo-load coefficients'!Z509</f>
        <v>1.7322439115783099</v>
      </c>
      <c r="AA81" s="210">
        <f>'Pseudo-load coefficients'!AA509</f>
        <v>0.93050972719429625</v>
      </c>
      <c r="AB81" s="210">
        <f>'Pseudo-load coefficients'!AB509</f>
        <v>12.864893142830548</v>
      </c>
      <c r="AC81" s="210">
        <f>'Pseudo-load coefficients'!AC509</f>
        <v>1</v>
      </c>
      <c r="AD81" s="210">
        <f>'Pseudo-load coefficients'!AD509</f>
        <v>1</v>
      </c>
      <c r="AE81" s="210">
        <f>'Pseudo-load coefficients'!AE509</f>
        <v>1</v>
      </c>
      <c r="AF81" s="210">
        <f>'Pseudo-load coefficients'!AF509</f>
        <v>1</v>
      </c>
      <c r="AG81" s="210">
        <f>'Pseudo-load coefficients'!AG509</f>
        <v>5.7057471264367825</v>
      </c>
      <c r="AH81" s="210">
        <f>'Pseudo-load coefficients'!AH509</f>
        <v>5.7057471264367825</v>
      </c>
      <c r="AI81" s="210">
        <f>'Pseudo-load coefficients'!AI509</f>
        <v>1</v>
      </c>
      <c r="AJ81" s="210">
        <f>'Pseudo-load coefficients'!AJ509</f>
        <v>1</v>
      </c>
      <c r="AK81" s="210">
        <f>'Pseudo-load coefficients'!AK509</f>
        <v>5.7057471264367825</v>
      </c>
      <c r="AL81" s="210">
        <f>'Pseudo-load coefficients'!AL509</f>
        <v>5.7057471264367825</v>
      </c>
      <c r="AM81" s="210">
        <f>'Pseudo-load coefficients'!AM509</f>
        <v>1</v>
      </c>
      <c r="AN81" s="210">
        <f>'Pseudo-load coefficients'!AN509</f>
        <v>1</v>
      </c>
      <c r="AO81" s="210">
        <f>'Pseudo-load coefficients'!AO509</f>
        <v>5.7057471264367825</v>
      </c>
      <c r="AP81" s="210">
        <f>'Pseudo-load coefficients'!AP509</f>
        <v>5.7057471264367825</v>
      </c>
    </row>
    <row r="82" spans="5:42" x14ac:dyDescent="0.25">
      <c r="E82" s="32"/>
      <c r="F82" s="208" t="s">
        <v>227</v>
      </c>
      <c r="G82" s="28" t="s">
        <v>342</v>
      </c>
      <c r="J82" s="211">
        <f>'Pseudo-load coefficients'!J509</f>
        <v>1.7201731551756498</v>
      </c>
      <c r="K82" s="211">
        <f>'Pseudo-load coefficients'!K509</f>
        <v>2.011153066413228</v>
      </c>
      <c r="L82" s="211">
        <f>'Pseudo-load coefficients'!L509</f>
        <v>0.63788437675057463</v>
      </c>
      <c r="M82" s="211">
        <f>'Pseudo-load coefficients'!M509</f>
        <v>1.7498926879871817</v>
      </c>
      <c r="N82" s="211">
        <f>'Pseudo-load coefficients'!N509</f>
        <v>1.9223485423665356</v>
      </c>
      <c r="O82" s="211">
        <f>'Pseudo-load coefficients'!O509</f>
        <v>0.57401367023529626</v>
      </c>
      <c r="P82" s="211">
        <f>'Pseudo-load coefficients'!P509</f>
        <v>1.6676583579410345</v>
      </c>
      <c r="Q82" s="211">
        <f>'Pseudo-load coefficients'!Q509</f>
        <v>1.3573501094857139</v>
      </c>
      <c r="R82" s="211">
        <f>'Pseudo-load coefficients'!R509</f>
        <v>1.8866460088951273</v>
      </c>
      <c r="S82" s="211">
        <f>'Pseudo-load coefficients'!S509</f>
        <v>7.8338053256480613</v>
      </c>
      <c r="T82" s="211">
        <f>'Pseudo-load coefficients'!T509</f>
        <v>8.5525314977522306</v>
      </c>
      <c r="U82" s="211">
        <f>'Pseudo-load coefficients'!U509</f>
        <v>6.7902002993910742</v>
      </c>
      <c r="V82" s="211">
        <f>'Pseudo-load coefficients'!V509</f>
        <v>6.7405487014926724</v>
      </c>
      <c r="W82" s="211">
        <f>'Pseudo-load coefficients'!W509</f>
        <v>6.3991931982907664</v>
      </c>
      <c r="X82" s="211">
        <f>'Pseudo-load coefficients'!X509</f>
        <v>0.96400335645505142</v>
      </c>
      <c r="Y82" s="211">
        <f>'Pseudo-load coefficients'!Y509</f>
        <v>1.07110491036573</v>
      </c>
      <c r="Z82" s="211">
        <f>'Pseudo-load coefficients'!Z509</f>
        <v>1.7322439115783099</v>
      </c>
      <c r="AA82" s="211">
        <f>'Pseudo-load coefficients'!AA509</f>
        <v>0.93050972719429625</v>
      </c>
      <c r="AB82" s="211">
        <f>'Pseudo-load coefficients'!AB509</f>
        <v>12.864893142830548</v>
      </c>
      <c r="AC82" s="211">
        <f>'Pseudo-load coefficients'!AC509</f>
        <v>1</v>
      </c>
      <c r="AD82" s="211">
        <f>'Pseudo-load coefficients'!AD509</f>
        <v>1</v>
      </c>
      <c r="AE82" s="211">
        <f>'Pseudo-load coefficients'!AE509</f>
        <v>1</v>
      </c>
      <c r="AF82" s="211">
        <f>'Pseudo-load coefficients'!AF509</f>
        <v>1</v>
      </c>
      <c r="AG82" s="211">
        <f>'Pseudo-load coefficients'!AG509</f>
        <v>5.7057471264367825</v>
      </c>
      <c r="AH82" s="211">
        <f>'Pseudo-load coefficients'!AH509</f>
        <v>5.7057471264367825</v>
      </c>
      <c r="AI82" s="211">
        <f>'Pseudo-load coefficients'!AI509</f>
        <v>1</v>
      </c>
      <c r="AJ82" s="211">
        <f>'Pseudo-load coefficients'!AJ509</f>
        <v>1</v>
      </c>
      <c r="AK82" s="211">
        <f>'Pseudo-load coefficients'!AK509</f>
        <v>5.7057471264367825</v>
      </c>
      <c r="AL82" s="211">
        <f>'Pseudo-load coefficients'!AL509</f>
        <v>5.7057471264367825</v>
      </c>
      <c r="AM82" s="211">
        <f>'Pseudo-load coefficients'!AM509</f>
        <v>1</v>
      </c>
      <c r="AN82" s="211">
        <f>'Pseudo-load coefficients'!AN509</f>
        <v>1</v>
      </c>
      <c r="AO82" s="211">
        <f>'Pseudo-load coefficients'!AO509</f>
        <v>5.7057471264367825</v>
      </c>
      <c r="AP82" s="211">
        <f>'Pseudo-load coefficients'!AP509</f>
        <v>5.7057471264367825</v>
      </c>
    </row>
    <row r="83" spans="5:42" x14ac:dyDescent="0.25">
      <c r="E83" s="32"/>
      <c r="F83" s="208" t="s">
        <v>228</v>
      </c>
      <c r="G83" s="28" t="s">
        <v>342</v>
      </c>
      <c r="J83" s="211">
        <f>'Pseudo-load coefficients'!J510</f>
        <v>0</v>
      </c>
      <c r="K83" s="211">
        <f>'Pseudo-load coefficients'!K510</f>
        <v>0</v>
      </c>
      <c r="L83" s="211">
        <f>'Pseudo-load coefficients'!L510</f>
        <v>0</v>
      </c>
      <c r="M83" s="211">
        <f>'Pseudo-load coefficients'!M510</f>
        <v>0</v>
      </c>
      <c r="N83" s="211">
        <f>'Pseudo-load coefficients'!N510</f>
        <v>0</v>
      </c>
      <c r="O83" s="211">
        <f>'Pseudo-load coefficients'!O510</f>
        <v>0</v>
      </c>
      <c r="P83" s="211">
        <f>'Pseudo-load coefficients'!P510</f>
        <v>0</v>
      </c>
      <c r="Q83" s="211">
        <f>'Pseudo-load coefficients'!Q510</f>
        <v>0</v>
      </c>
      <c r="R83" s="211">
        <f>'Pseudo-load coefficients'!R510</f>
        <v>0</v>
      </c>
      <c r="S83" s="211">
        <f>'Pseudo-load coefficients'!S510</f>
        <v>0</v>
      </c>
      <c r="T83" s="211">
        <f>'Pseudo-load coefficients'!T510</f>
        <v>0</v>
      </c>
      <c r="U83" s="211">
        <f>'Pseudo-load coefficients'!U510</f>
        <v>0</v>
      </c>
      <c r="V83" s="211">
        <f>'Pseudo-load coefficients'!V510</f>
        <v>0</v>
      </c>
      <c r="W83" s="211">
        <f>'Pseudo-load coefficients'!W510</f>
        <v>0</v>
      </c>
      <c r="X83" s="211">
        <f>'Pseudo-load coefficients'!X510</f>
        <v>0</v>
      </c>
      <c r="Y83" s="211">
        <f>'Pseudo-load coefficients'!Y510</f>
        <v>0</v>
      </c>
      <c r="Z83" s="211">
        <f>'Pseudo-load coefficients'!Z510</f>
        <v>0</v>
      </c>
      <c r="AA83" s="211">
        <f>'Pseudo-load coefficients'!AA510</f>
        <v>0</v>
      </c>
      <c r="AB83" s="211">
        <f>'Pseudo-load coefficients'!AB510</f>
        <v>0</v>
      </c>
      <c r="AC83" s="211">
        <f>'Pseudo-load coefficients'!AC510</f>
        <v>0</v>
      </c>
      <c r="AD83" s="211">
        <f>'Pseudo-load coefficients'!AD510</f>
        <v>0</v>
      </c>
      <c r="AE83" s="211">
        <f>'Pseudo-load coefficients'!AE510</f>
        <v>0</v>
      </c>
      <c r="AF83" s="211">
        <f>'Pseudo-load coefficients'!AF510</f>
        <v>0</v>
      </c>
      <c r="AG83" s="211">
        <f>'Pseudo-load coefficients'!AG510</f>
        <v>0</v>
      </c>
      <c r="AH83" s="211">
        <f>'Pseudo-load coefficients'!AH510</f>
        <v>0</v>
      </c>
      <c r="AI83" s="211">
        <f>'Pseudo-load coefficients'!AI510</f>
        <v>0</v>
      </c>
      <c r="AJ83" s="211">
        <f>'Pseudo-load coefficients'!AJ510</f>
        <v>0</v>
      </c>
      <c r="AK83" s="211">
        <f>'Pseudo-load coefficients'!AK510</f>
        <v>0</v>
      </c>
      <c r="AL83" s="211">
        <f>'Pseudo-load coefficients'!AL510</f>
        <v>0</v>
      </c>
      <c r="AM83" s="211">
        <f>'Pseudo-load coefficients'!AM510</f>
        <v>0</v>
      </c>
      <c r="AN83" s="211">
        <f>'Pseudo-load coefficients'!AN510</f>
        <v>0</v>
      </c>
      <c r="AO83" s="211">
        <f>'Pseudo-load coefficients'!AO510</f>
        <v>0</v>
      </c>
      <c r="AP83" s="211">
        <f>'Pseudo-load coefficients'!AP510</f>
        <v>0</v>
      </c>
    </row>
    <row r="84" spans="5:42" x14ac:dyDescent="0.25">
      <c r="E84" s="32"/>
      <c r="F84" s="208" t="s">
        <v>229</v>
      </c>
      <c r="G84" s="28" t="s">
        <v>342</v>
      </c>
      <c r="J84" s="211">
        <f>'Pseudo-load coefficients'!J511</f>
        <v>0</v>
      </c>
      <c r="K84" s="211">
        <f>'Pseudo-load coefficients'!K511</f>
        <v>0</v>
      </c>
      <c r="L84" s="211">
        <f>'Pseudo-load coefficients'!L511</f>
        <v>0</v>
      </c>
      <c r="M84" s="211">
        <f>'Pseudo-load coefficients'!M511</f>
        <v>0</v>
      </c>
      <c r="N84" s="211">
        <f>'Pseudo-load coefficients'!N511</f>
        <v>0</v>
      </c>
      <c r="O84" s="211">
        <f>'Pseudo-load coefficients'!O511</f>
        <v>0</v>
      </c>
      <c r="P84" s="211">
        <f>'Pseudo-load coefficients'!P511</f>
        <v>0</v>
      </c>
      <c r="Q84" s="211">
        <f>'Pseudo-load coefficients'!Q511</f>
        <v>0</v>
      </c>
      <c r="R84" s="211">
        <f>'Pseudo-load coefficients'!R511</f>
        <v>0</v>
      </c>
      <c r="S84" s="211">
        <f>'Pseudo-load coefficients'!S511</f>
        <v>0</v>
      </c>
      <c r="T84" s="211">
        <f>'Pseudo-load coefficients'!T511</f>
        <v>0</v>
      </c>
      <c r="U84" s="211">
        <f>'Pseudo-load coefficients'!U511</f>
        <v>0</v>
      </c>
      <c r="V84" s="211">
        <f>'Pseudo-load coefficients'!V511</f>
        <v>0</v>
      </c>
      <c r="W84" s="211">
        <f>'Pseudo-load coefficients'!W511</f>
        <v>0</v>
      </c>
      <c r="X84" s="211">
        <f>'Pseudo-load coefficients'!X511</f>
        <v>0</v>
      </c>
      <c r="Y84" s="211">
        <f>'Pseudo-load coefficients'!Y511</f>
        <v>0</v>
      </c>
      <c r="Z84" s="211">
        <f>'Pseudo-load coefficients'!Z511</f>
        <v>0</v>
      </c>
      <c r="AA84" s="211">
        <f>'Pseudo-load coefficients'!AA511</f>
        <v>0</v>
      </c>
      <c r="AB84" s="211">
        <f>'Pseudo-load coefficients'!AB511</f>
        <v>0</v>
      </c>
      <c r="AC84" s="211">
        <f>'Pseudo-load coefficients'!AC511</f>
        <v>0</v>
      </c>
      <c r="AD84" s="211">
        <f>'Pseudo-load coefficients'!AD511</f>
        <v>0</v>
      </c>
      <c r="AE84" s="211">
        <f>'Pseudo-load coefficients'!AE511</f>
        <v>0</v>
      </c>
      <c r="AF84" s="211">
        <f>'Pseudo-load coefficients'!AF511</f>
        <v>0</v>
      </c>
      <c r="AG84" s="211">
        <f>'Pseudo-load coefficients'!AG511</f>
        <v>0</v>
      </c>
      <c r="AH84" s="211">
        <f>'Pseudo-load coefficients'!AH511</f>
        <v>0</v>
      </c>
      <c r="AI84" s="211">
        <f>'Pseudo-load coefficients'!AI511</f>
        <v>0</v>
      </c>
      <c r="AJ84" s="211">
        <f>'Pseudo-load coefficients'!AJ511</f>
        <v>0</v>
      </c>
      <c r="AK84" s="211">
        <f>'Pseudo-load coefficients'!AK511</f>
        <v>0</v>
      </c>
      <c r="AL84" s="211">
        <f>'Pseudo-load coefficients'!AL511</f>
        <v>0</v>
      </c>
      <c r="AM84" s="211">
        <f>'Pseudo-load coefficients'!AM511</f>
        <v>0</v>
      </c>
      <c r="AN84" s="211">
        <f>'Pseudo-load coefficients'!AN511</f>
        <v>0</v>
      </c>
      <c r="AO84" s="211">
        <f>'Pseudo-load coefficients'!AO511</f>
        <v>0</v>
      </c>
      <c r="AP84" s="211">
        <f>'Pseudo-load coefficients'!AP511</f>
        <v>0</v>
      </c>
    </row>
    <row r="85" spans="5:42" x14ac:dyDescent="0.25">
      <c r="E85" s="32"/>
      <c r="F85" s="208" t="s">
        <v>230</v>
      </c>
      <c r="G85" s="28" t="s">
        <v>342</v>
      </c>
      <c r="J85" s="211">
        <f>'Pseudo-load coefficients'!J512</f>
        <v>1.6922249106213094</v>
      </c>
      <c r="K85" s="211">
        <f>'Pseudo-load coefficients'!K512</f>
        <v>1.9546625898424457</v>
      </c>
      <c r="L85" s="211">
        <f>'Pseudo-load coefficients'!L512</f>
        <v>0.67653120124937716</v>
      </c>
      <c r="M85" s="211">
        <f>'Pseudo-load coefficients'!M512</f>
        <v>1.7424624914289761</v>
      </c>
      <c r="N85" s="211">
        <f>'Pseudo-load coefficients'!N512</f>
        <v>1.8891928069643484</v>
      </c>
      <c r="O85" s="211">
        <f>'Pseudo-load coefficients'!O512</f>
        <v>0.61423983993483533</v>
      </c>
      <c r="P85" s="211">
        <f>'Pseudo-load coefficients'!P512</f>
        <v>1.6389445788072325</v>
      </c>
      <c r="Q85" s="211">
        <f>'Pseudo-load coefficients'!Q512</f>
        <v>1.3339792247565812</v>
      </c>
      <c r="R85" s="211">
        <f>'Pseudo-load coefficients'!R512</f>
        <v>1.8551789393459415</v>
      </c>
      <c r="S85" s="211">
        <f>'Pseudo-load coefficients'!S512</f>
        <v>7.0546355924773847</v>
      </c>
      <c r="T85" s="211">
        <f>'Pseudo-load coefficients'!T512</f>
        <v>7.7113861425089754</v>
      </c>
      <c r="U85" s="211">
        <f>'Pseudo-load coefficients'!U512</f>
        <v>6.1244943876860667</v>
      </c>
      <c r="V85" s="211">
        <f>'Pseudo-load coefficients'!V512</f>
        <v>6.0797105935031945</v>
      </c>
      <c r="W85" s="211">
        <f>'Pseudo-load coefficients'!W512</f>
        <v>5.7718213161053971</v>
      </c>
      <c r="X85" s="211">
        <f>'Pseudo-load coefficients'!X512</f>
        <v>0.96334240275326455</v>
      </c>
      <c r="Y85" s="211">
        <f>'Pseudo-load coefficients'!Y512</f>
        <v>1.0101211359837954</v>
      </c>
      <c r="Z85" s="211">
        <f>'Pseudo-load coefficients'!Z512</f>
        <v>1.5821722193444481</v>
      </c>
      <c r="AA85" s="211">
        <f>'Pseudo-load coefficients'!AA512</f>
        <v>0.97403163253443814</v>
      </c>
      <c r="AB85" s="211">
        <f>'Pseudo-load coefficients'!AB512</f>
        <v>10.88567881316431</v>
      </c>
      <c r="AC85" s="211">
        <f>'Pseudo-load coefficients'!AC512</f>
        <v>1</v>
      </c>
      <c r="AD85" s="211">
        <f>'Pseudo-load coefficients'!AD512</f>
        <v>1</v>
      </c>
      <c r="AE85" s="211">
        <f>'Pseudo-load coefficients'!AE512</f>
        <v>1</v>
      </c>
      <c r="AF85" s="211">
        <f>'Pseudo-load coefficients'!AF512</f>
        <v>1</v>
      </c>
      <c r="AG85" s="211">
        <f>'Pseudo-load coefficients'!AG512</f>
        <v>5.1463601532567056</v>
      </c>
      <c r="AH85" s="211">
        <f>'Pseudo-load coefficients'!AH512</f>
        <v>5.1463601532567056</v>
      </c>
      <c r="AI85" s="211">
        <f>'Pseudo-load coefficients'!AI512</f>
        <v>1</v>
      </c>
      <c r="AJ85" s="211">
        <f>'Pseudo-load coefficients'!AJ512</f>
        <v>1</v>
      </c>
      <c r="AK85" s="211">
        <f>'Pseudo-load coefficients'!AK512</f>
        <v>5.1463601532567056</v>
      </c>
      <c r="AL85" s="211">
        <f>'Pseudo-load coefficients'!AL512</f>
        <v>5.1463601532567056</v>
      </c>
      <c r="AM85" s="211">
        <f>'Pseudo-load coefficients'!AM512</f>
        <v>1</v>
      </c>
      <c r="AN85" s="211">
        <f>'Pseudo-load coefficients'!AN512</f>
        <v>1</v>
      </c>
      <c r="AO85" s="211">
        <f>'Pseudo-load coefficients'!AO512</f>
        <v>5.1463601532567056</v>
      </c>
      <c r="AP85" s="211">
        <f>'Pseudo-load coefficients'!AP512</f>
        <v>5.1463601532567056</v>
      </c>
    </row>
    <row r="86" spans="5:42" x14ac:dyDescent="0.25">
      <c r="E86" s="32"/>
      <c r="F86" s="208" t="s">
        <v>231</v>
      </c>
      <c r="G86" s="28" t="s">
        <v>342</v>
      </c>
      <c r="J86" s="211">
        <f>'Pseudo-load coefficients'!J513</f>
        <v>1.6922249106213094</v>
      </c>
      <c r="K86" s="211">
        <f>'Pseudo-load coefficients'!K513</f>
        <v>1.9546625898424457</v>
      </c>
      <c r="L86" s="211">
        <f>'Pseudo-load coefficients'!L513</f>
        <v>0.67653120124937716</v>
      </c>
      <c r="M86" s="211">
        <f>'Pseudo-load coefficients'!M513</f>
        <v>1.7424624914289761</v>
      </c>
      <c r="N86" s="211">
        <f>'Pseudo-load coefficients'!N513</f>
        <v>1.8891928069643484</v>
      </c>
      <c r="O86" s="211">
        <f>'Pseudo-load coefficients'!O513</f>
        <v>0.61423983993483533</v>
      </c>
      <c r="P86" s="211">
        <f>'Pseudo-load coefficients'!P513</f>
        <v>1.6389445788072325</v>
      </c>
      <c r="Q86" s="211">
        <f>'Pseudo-load coefficients'!Q513</f>
        <v>1.3339792247565812</v>
      </c>
      <c r="R86" s="211">
        <f>'Pseudo-load coefficients'!R513</f>
        <v>1.8551789393459415</v>
      </c>
      <c r="S86" s="211">
        <f>'Pseudo-load coefficients'!S513</f>
        <v>7.0546355924773847</v>
      </c>
      <c r="T86" s="211">
        <f>'Pseudo-load coefficients'!T513</f>
        <v>7.7113861425089754</v>
      </c>
      <c r="U86" s="211">
        <f>'Pseudo-load coefficients'!U513</f>
        <v>6.1244943876860667</v>
      </c>
      <c r="V86" s="211">
        <f>'Pseudo-load coefficients'!V513</f>
        <v>6.0797105935031945</v>
      </c>
      <c r="W86" s="211">
        <f>'Pseudo-load coefficients'!W513</f>
        <v>5.7718213161053971</v>
      </c>
      <c r="X86" s="211">
        <f>'Pseudo-load coefficients'!X513</f>
        <v>0.96334240275326455</v>
      </c>
      <c r="Y86" s="211">
        <f>'Pseudo-load coefficients'!Y513</f>
        <v>1.0101211359837954</v>
      </c>
      <c r="Z86" s="211">
        <f>'Pseudo-load coefficients'!Z513</f>
        <v>1.5821722193444481</v>
      </c>
      <c r="AA86" s="211">
        <f>'Pseudo-load coefficients'!AA513</f>
        <v>0.97403163253443814</v>
      </c>
      <c r="AB86" s="211">
        <f>'Pseudo-load coefficients'!AB513</f>
        <v>10.88567881316431</v>
      </c>
      <c r="AC86" s="211">
        <f>'Pseudo-load coefficients'!AC513</f>
        <v>1</v>
      </c>
      <c r="AD86" s="211">
        <f>'Pseudo-load coefficients'!AD513</f>
        <v>1</v>
      </c>
      <c r="AE86" s="211">
        <f>'Pseudo-load coefficients'!AE513</f>
        <v>1</v>
      </c>
      <c r="AF86" s="211">
        <f>'Pseudo-load coefficients'!AF513</f>
        <v>1</v>
      </c>
      <c r="AG86" s="211">
        <f>'Pseudo-load coefficients'!AG513</f>
        <v>5.1463601532567056</v>
      </c>
      <c r="AH86" s="211">
        <f>'Pseudo-load coefficients'!AH513</f>
        <v>5.1463601532567056</v>
      </c>
      <c r="AI86" s="211">
        <f>'Pseudo-load coefficients'!AI513</f>
        <v>1</v>
      </c>
      <c r="AJ86" s="211">
        <f>'Pseudo-load coefficients'!AJ513</f>
        <v>1</v>
      </c>
      <c r="AK86" s="211">
        <f>'Pseudo-load coefficients'!AK513</f>
        <v>5.1463601532567056</v>
      </c>
      <c r="AL86" s="211">
        <f>'Pseudo-load coefficients'!AL513</f>
        <v>5.1463601532567056</v>
      </c>
      <c r="AM86" s="211">
        <f>'Pseudo-load coefficients'!AM513</f>
        <v>1</v>
      </c>
      <c r="AN86" s="211">
        <f>'Pseudo-load coefficients'!AN513</f>
        <v>1</v>
      </c>
      <c r="AO86" s="211">
        <f>'Pseudo-load coefficients'!AO513</f>
        <v>5.1463601532567056</v>
      </c>
      <c r="AP86" s="211">
        <f>'Pseudo-load coefficients'!AP513</f>
        <v>5.1463601532567056</v>
      </c>
    </row>
    <row r="87" spans="5:42" x14ac:dyDescent="0.25">
      <c r="E87" s="32"/>
      <c r="F87" s="208" t="s">
        <v>232</v>
      </c>
      <c r="G87" s="28" t="s">
        <v>342</v>
      </c>
      <c r="J87" s="211">
        <f>'Pseudo-load coefficients'!J514</f>
        <v>0</v>
      </c>
      <c r="K87" s="211">
        <f>'Pseudo-load coefficients'!K514</f>
        <v>0</v>
      </c>
      <c r="L87" s="211">
        <f>'Pseudo-load coefficients'!L514</f>
        <v>0</v>
      </c>
      <c r="M87" s="211">
        <f>'Pseudo-load coefficients'!M514</f>
        <v>0</v>
      </c>
      <c r="N87" s="211">
        <f>'Pseudo-load coefficients'!N514</f>
        <v>0</v>
      </c>
      <c r="O87" s="211">
        <f>'Pseudo-load coefficients'!O514</f>
        <v>0</v>
      </c>
      <c r="P87" s="211">
        <f>'Pseudo-load coefficients'!P514</f>
        <v>0</v>
      </c>
      <c r="Q87" s="211">
        <f>'Pseudo-load coefficients'!Q514</f>
        <v>0</v>
      </c>
      <c r="R87" s="211">
        <f>'Pseudo-load coefficients'!R514</f>
        <v>0</v>
      </c>
      <c r="S87" s="211">
        <f>'Pseudo-load coefficients'!S514</f>
        <v>0</v>
      </c>
      <c r="T87" s="211">
        <f>'Pseudo-load coefficients'!T514</f>
        <v>0</v>
      </c>
      <c r="U87" s="211">
        <f>'Pseudo-load coefficients'!U514</f>
        <v>0</v>
      </c>
      <c r="V87" s="211">
        <f>'Pseudo-load coefficients'!V514</f>
        <v>0</v>
      </c>
      <c r="W87" s="211">
        <f>'Pseudo-load coefficients'!W514</f>
        <v>0</v>
      </c>
      <c r="X87" s="211">
        <f>'Pseudo-load coefficients'!X514</f>
        <v>0</v>
      </c>
      <c r="Y87" s="211">
        <f>'Pseudo-load coefficients'!Y514</f>
        <v>0</v>
      </c>
      <c r="Z87" s="211">
        <f>'Pseudo-load coefficients'!Z514</f>
        <v>0</v>
      </c>
      <c r="AA87" s="211">
        <f>'Pseudo-load coefficients'!AA514</f>
        <v>0</v>
      </c>
      <c r="AB87" s="211">
        <f>'Pseudo-load coefficients'!AB514</f>
        <v>0</v>
      </c>
      <c r="AC87" s="211">
        <f>'Pseudo-load coefficients'!AC514</f>
        <v>0</v>
      </c>
      <c r="AD87" s="211">
        <f>'Pseudo-load coefficients'!AD514</f>
        <v>0</v>
      </c>
      <c r="AE87" s="211">
        <f>'Pseudo-load coefficients'!AE514</f>
        <v>0</v>
      </c>
      <c r="AF87" s="211">
        <f>'Pseudo-load coefficients'!AF514</f>
        <v>0</v>
      </c>
      <c r="AG87" s="211">
        <f>'Pseudo-load coefficients'!AG514</f>
        <v>0</v>
      </c>
      <c r="AH87" s="211">
        <f>'Pseudo-load coefficients'!AH514</f>
        <v>0</v>
      </c>
      <c r="AI87" s="211">
        <f>'Pseudo-load coefficients'!AI514</f>
        <v>0</v>
      </c>
      <c r="AJ87" s="211">
        <f>'Pseudo-load coefficients'!AJ514</f>
        <v>0</v>
      </c>
      <c r="AK87" s="211">
        <f>'Pseudo-load coefficients'!AK514</f>
        <v>0</v>
      </c>
      <c r="AL87" s="211">
        <f>'Pseudo-load coefficients'!AL514</f>
        <v>0</v>
      </c>
      <c r="AM87" s="211">
        <f>'Pseudo-load coefficients'!AM514</f>
        <v>0</v>
      </c>
      <c r="AN87" s="211">
        <f>'Pseudo-load coefficients'!AN514</f>
        <v>0</v>
      </c>
      <c r="AO87" s="211">
        <f>'Pseudo-load coefficients'!AO514</f>
        <v>0</v>
      </c>
      <c r="AP87" s="211">
        <f>'Pseudo-load coefficients'!AP514</f>
        <v>0</v>
      </c>
    </row>
    <row r="88" spans="5:42" x14ac:dyDescent="0.25">
      <c r="E88" s="32"/>
      <c r="F88" s="208" t="s">
        <v>233</v>
      </c>
      <c r="G88" s="28" t="s">
        <v>342</v>
      </c>
      <c r="J88" s="211">
        <f>'Pseudo-load coefficients'!J515</f>
        <v>1.6922249106213094</v>
      </c>
      <c r="K88" s="211">
        <f>'Pseudo-load coefficients'!K515</f>
        <v>1.9546625898424457</v>
      </c>
      <c r="L88" s="211">
        <f>'Pseudo-load coefficients'!L515</f>
        <v>0.67653120124937716</v>
      </c>
      <c r="M88" s="211">
        <f>'Pseudo-load coefficients'!M515</f>
        <v>1.7424624914289761</v>
      </c>
      <c r="N88" s="211">
        <f>'Pseudo-load coefficients'!N515</f>
        <v>1.8891928069643484</v>
      </c>
      <c r="O88" s="211">
        <f>'Pseudo-load coefficients'!O515</f>
        <v>0.61423983993483533</v>
      </c>
      <c r="P88" s="211">
        <f>'Pseudo-load coefficients'!P515</f>
        <v>1.6389445788072325</v>
      </c>
      <c r="Q88" s="211">
        <f>'Pseudo-load coefficients'!Q515</f>
        <v>1.3339792247565812</v>
      </c>
      <c r="R88" s="211">
        <f>'Pseudo-load coefficients'!R515</f>
        <v>1.8551789393459415</v>
      </c>
      <c r="S88" s="211">
        <f>'Pseudo-load coefficients'!S515</f>
        <v>7.0546355924773847</v>
      </c>
      <c r="T88" s="211">
        <f>'Pseudo-load coefficients'!T515</f>
        <v>7.7113861425089754</v>
      </c>
      <c r="U88" s="211">
        <f>'Pseudo-load coefficients'!U515</f>
        <v>6.1244943876860667</v>
      </c>
      <c r="V88" s="211">
        <f>'Pseudo-load coefficients'!V515</f>
        <v>6.0797105935031945</v>
      </c>
      <c r="W88" s="211">
        <f>'Pseudo-load coefficients'!W515</f>
        <v>5.7718213161053971</v>
      </c>
      <c r="X88" s="211">
        <f>'Pseudo-load coefficients'!X515</f>
        <v>0.96334240275326455</v>
      </c>
      <c r="Y88" s="211">
        <f>'Pseudo-load coefficients'!Y515</f>
        <v>1.0101211359837954</v>
      </c>
      <c r="Z88" s="211">
        <f>'Pseudo-load coefficients'!Z515</f>
        <v>1.5821722193444481</v>
      </c>
      <c r="AA88" s="211">
        <f>'Pseudo-load coefficients'!AA515</f>
        <v>0.97403163253443814</v>
      </c>
      <c r="AB88" s="211">
        <f>'Pseudo-load coefficients'!AB515</f>
        <v>10.88567881316431</v>
      </c>
      <c r="AC88" s="211">
        <f>'Pseudo-load coefficients'!AC515</f>
        <v>1</v>
      </c>
      <c r="AD88" s="211">
        <f>'Pseudo-load coefficients'!AD515</f>
        <v>1</v>
      </c>
      <c r="AE88" s="211">
        <f>'Pseudo-load coefficients'!AE515</f>
        <v>1</v>
      </c>
      <c r="AF88" s="211">
        <f>'Pseudo-load coefficients'!AF515</f>
        <v>1</v>
      </c>
      <c r="AG88" s="211">
        <f>'Pseudo-load coefficients'!AG515</f>
        <v>5.1463601532567056</v>
      </c>
      <c r="AH88" s="211">
        <f>'Pseudo-load coefficients'!AH515</f>
        <v>5.1463601532567056</v>
      </c>
      <c r="AI88" s="211">
        <f>'Pseudo-load coefficients'!AI515</f>
        <v>1</v>
      </c>
      <c r="AJ88" s="211">
        <f>'Pseudo-load coefficients'!AJ515</f>
        <v>1</v>
      </c>
      <c r="AK88" s="211">
        <f>'Pseudo-load coefficients'!AK515</f>
        <v>5.1463601532567056</v>
      </c>
      <c r="AL88" s="211">
        <f>'Pseudo-load coefficients'!AL515</f>
        <v>5.1463601532567056</v>
      </c>
      <c r="AM88" s="211">
        <f>'Pseudo-load coefficients'!AM515</f>
        <v>1</v>
      </c>
      <c r="AN88" s="211">
        <f>'Pseudo-load coefficients'!AN515</f>
        <v>1</v>
      </c>
      <c r="AO88" s="211">
        <f>'Pseudo-load coefficients'!AO515</f>
        <v>5.1463601532567056</v>
      </c>
      <c r="AP88" s="211">
        <f>'Pseudo-load coefficients'!AP515</f>
        <v>5.1463601532567056</v>
      </c>
    </row>
    <row r="89" spans="5:42" x14ac:dyDescent="0.25">
      <c r="E89" s="32"/>
      <c r="F89" s="208" t="s">
        <v>234</v>
      </c>
      <c r="G89" s="28" t="s">
        <v>342</v>
      </c>
      <c r="J89" s="211">
        <f>'Pseudo-load coefficients'!J516</f>
        <v>1.6922249106213094</v>
      </c>
      <c r="K89" s="211">
        <f>'Pseudo-load coefficients'!K516</f>
        <v>1.9546625898424457</v>
      </c>
      <c r="L89" s="211">
        <f>'Pseudo-load coefficients'!L516</f>
        <v>0.67653120124937716</v>
      </c>
      <c r="M89" s="211">
        <f>'Pseudo-load coefficients'!M516</f>
        <v>1.7424624914289761</v>
      </c>
      <c r="N89" s="211">
        <f>'Pseudo-load coefficients'!N516</f>
        <v>1.8891928069643484</v>
      </c>
      <c r="O89" s="211">
        <f>'Pseudo-load coefficients'!O516</f>
        <v>0.61423983993483533</v>
      </c>
      <c r="P89" s="211">
        <f>'Pseudo-load coefficients'!P516</f>
        <v>1.6389445788072325</v>
      </c>
      <c r="Q89" s="211">
        <f>'Pseudo-load coefficients'!Q516</f>
        <v>1.3339792247565812</v>
      </c>
      <c r="R89" s="211">
        <f>'Pseudo-load coefficients'!R516</f>
        <v>1.8551789393459415</v>
      </c>
      <c r="S89" s="211">
        <f>'Pseudo-load coefficients'!S516</f>
        <v>7.0546355924773847</v>
      </c>
      <c r="T89" s="211">
        <f>'Pseudo-load coefficients'!T516</f>
        <v>7.7113861425089754</v>
      </c>
      <c r="U89" s="211">
        <f>'Pseudo-load coefficients'!U516</f>
        <v>6.1244943876860667</v>
      </c>
      <c r="V89" s="211">
        <f>'Pseudo-load coefficients'!V516</f>
        <v>6.0797105935031945</v>
      </c>
      <c r="W89" s="211">
        <f>'Pseudo-load coefficients'!W516</f>
        <v>5.7718213161053971</v>
      </c>
      <c r="X89" s="211">
        <f>'Pseudo-load coefficients'!X516</f>
        <v>0.96334240275326455</v>
      </c>
      <c r="Y89" s="211">
        <f>'Pseudo-load coefficients'!Y516</f>
        <v>1.0101211359837954</v>
      </c>
      <c r="Z89" s="211">
        <f>'Pseudo-load coefficients'!Z516</f>
        <v>1.5821722193444481</v>
      </c>
      <c r="AA89" s="211">
        <f>'Pseudo-load coefficients'!AA516</f>
        <v>0.97403163253443814</v>
      </c>
      <c r="AB89" s="211">
        <f>'Pseudo-load coefficients'!AB516</f>
        <v>10.88567881316431</v>
      </c>
      <c r="AC89" s="211">
        <f>'Pseudo-load coefficients'!AC516</f>
        <v>1</v>
      </c>
      <c r="AD89" s="211">
        <f>'Pseudo-load coefficients'!AD516</f>
        <v>1</v>
      </c>
      <c r="AE89" s="211">
        <f>'Pseudo-load coefficients'!AE516</f>
        <v>1</v>
      </c>
      <c r="AF89" s="211">
        <f>'Pseudo-load coefficients'!AF516</f>
        <v>1</v>
      </c>
      <c r="AG89" s="211">
        <f>'Pseudo-load coefficients'!AG516</f>
        <v>5.1463601532567056</v>
      </c>
      <c r="AH89" s="211">
        <f>'Pseudo-load coefficients'!AH516</f>
        <v>5.1463601532567056</v>
      </c>
      <c r="AI89" s="211">
        <f>'Pseudo-load coefficients'!AI516</f>
        <v>1</v>
      </c>
      <c r="AJ89" s="211">
        <f>'Pseudo-load coefficients'!AJ516</f>
        <v>1</v>
      </c>
      <c r="AK89" s="211">
        <f>'Pseudo-load coefficients'!AK516</f>
        <v>5.1463601532567056</v>
      </c>
      <c r="AL89" s="211">
        <f>'Pseudo-load coefficients'!AL516</f>
        <v>5.1463601532567056</v>
      </c>
      <c r="AM89" s="211">
        <f>'Pseudo-load coefficients'!AM516</f>
        <v>1</v>
      </c>
      <c r="AN89" s="211">
        <f>'Pseudo-load coefficients'!AN516</f>
        <v>1</v>
      </c>
      <c r="AO89" s="211">
        <f>'Pseudo-load coefficients'!AO516</f>
        <v>5.1463601532567056</v>
      </c>
      <c r="AP89" s="211">
        <f>'Pseudo-load coefficients'!AP516</f>
        <v>5.1463601532567056</v>
      </c>
    </row>
    <row r="90" spans="5:42" x14ac:dyDescent="0.25">
      <c r="E90" s="32"/>
      <c r="F90" s="209" t="s">
        <v>235</v>
      </c>
      <c r="G90" s="67" t="s">
        <v>342</v>
      </c>
      <c r="H90" s="37"/>
      <c r="I90" s="37"/>
      <c r="J90" s="212">
        <f>'Pseudo-load coefficients'!J517</f>
        <v>1.6922249106213094</v>
      </c>
      <c r="K90" s="212">
        <f>'Pseudo-load coefficients'!K517</f>
        <v>1.9546625898424457</v>
      </c>
      <c r="L90" s="212">
        <f>'Pseudo-load coefficients'!L517</f>
        <v>0.67653120124937716</v>
      </c>
      <c r="M90" s="212">
        <f>'Pseudo-load coefficients'!M517</f>
        <v>1.7424624914289761</v>
      </c>
      <c r="N90" s="212">
        <f>'Pseudo-load coefficients'!N517</f>
        <v>1.8891928069643484</v>
      </c>
      <c r="O90" s="212">
        <f>'Pseudo-load coefficients'!O517</f>
        <v>0.61423983993483533</v>
      </c>
      <c r="P90" s="212">
        <f>'Pseudo-load coefficients'!P517</f>
        <v>1.6389445788072325</v>
      </c>
      <c r="Q90" s="212">
        <f>'Pseudo-load coefficients'!Q517</f>
        <v>1.3339792247565812</v>
      </c>
      <c r="R90" s="212">
        <f>'Pseudo-load coefficients'!R517</f>
        <v>1.8551789393459415</v>
      </c>
      <c r="S90" s="212">
        <f>'Pseudo-load coefficients'!S517</f>
        <v>7.0546355924773847</v>
      </c>
      <c r="T90" s="212">
        <f>'Pseudo-load coefficients'!T517</f>
        <v>7.7113861425089754</v>
      </c>
      <c r="U90" s="212">
        <f>'Pseudo-load coefficients'!U517</f>
        <v>6.1244943876860667</v>
      </c>
      <c r="V90" s="212">
        <f>'Pseudo-load coefficients'!V517</f>
        <v>6.0797105935031945</v>
      </c>
      <c r="W90" s="212">
        <f>'Pseudo-load coefficients'!W517</f>
        <v>5.7718213161053971</v>
      </c>
      <c r="X90" s="212">
        <f>'Pseudo-load coefficients'!X517</f>
        <v>0.96334240275326455</v>
      </c>
      <c r="Y90" s="212">
        <f>'Pseudo-load coefficients'!Y517</f>
        <v>1.0101211359837954</v>
      </c>
      <c r="Z90" s="212">
        <f>'Pseudo-load coefficients'!Z517</f>
        <v>1.5821722193444481</v>
      </c>
      <c r="AA90" s="212">
        <f>'Pseudo-load coefficients'!AA517</f>
        <v>0.97403163253443814</v>
      </c>
      <c r="AB90" s="212">
        <f>'Pseudo-load coefficients'!AB517</f>
        <v>10.88567881316431</v>
      </c>
      <c r="AC90" s="212">
        <f>'Pseudo-load coefficients'!AC517</f>
        <v>1</v>
      </c>
      <c r="AD90" s="212">
        <f>'Pseudo-load coefficients'!AD517</f>
        <v>1</v>
      </c>
      <c r="AE90" s="212">
        <f>'Pseudo-load coefficients'!AE517</f>
        <v>1</v>
      </c>
      <c r="AF90" s="212">
        <f>'Pseudo-load coefficients'!AF517</f>
        <v>1</v>
      </c>
      <c r="AG90" s="212">
        <f>'Pseudo-load coefficients'!AG517</f>
        <v>5.1463601532567056</v>
      </c>
      <c r="AH90" s="212">
        <f>'Pseudo-load coefficients'!AH517</f>
        <v>5.1463601532567056</v>
      </c>
      <c r="AI90" s="212">
        <f>'Pseudo-load coefficients'!AI517</f>
        <v>1</v>
      </c>
      <c r="AJ90" s="212">
        <f>'Pseudo-load coefficients'!AJ517</f>
        <v>1</v>
      </c>
      <c r="AK90" s="212">
        <f>'Pseudo-load coefficients'!AK517</f>
        <v>5.1463601532567056</v>
      </c>
      <c r="AL90" s="212">
        <f>'Pseudo-load coefficients'!AL517</f>
        <v>5.1463601532567056</v>
      </c>
      <c r="AM90" s="212">
        <f>'Pseudo-load coefficients'!AM517</f>
        <v>1</v>
      </c>
      <c r="AN90" s="212">
        <f>'Pseudo-load coefficients'!AN517</f>
        <v>1</v>
      </c>
      <c r="AO90" s="212">
        <f>'Pseudo-load coefficients'!AO517</f>
        <v>5.1463601532567056</v>
      </c>
      <c r="AP90" s="212">
        <f>'Pseudo-load coefficients'!AP517</f>
        <v>5.1463601532567056</v>
      </c>
    </row>
    <row r="91" spans="5:42" x14ac:dyDescent="0.25">
      <c r="E91" s="32"/>
      <c r="J91" s="169"/>
      <c r="K91" s="169"/>
      <c r="L91" s="169"/>
      <c r="M91" s="169"/>
      <c r="N91" s="169"/>
      <c r="O91" s="169"/>
      <c r="P91" s="169"/>
      <c r="Q91" s="169"/>
      <c r="R91" s="169"/>
      <c r="S91" s="169"/>
      <c r="T91" s="169"/>
      <c r="U91" s="169"/>
      <c r="V91" s="169"/>
      <c r="W91" s="169"/>
      <c r="X91" s="169"/>
      <c r="Y91" s="169"/>
      <c r="Z91" s="169"/>
      <c r="AA91" s="169"/>
      <c r="AB91" s="169"/>
      <c r="AC91" s="169"/>
      <c r="AD91" s="169"/>
      <c r="AE91" s="169"/>
      <c r="AF91" s="169"/>
      <c r="AG91" s="169"/>
      <c r="AH91" s="169"/>
      <c r="AI91" s="169"/>
      <c r="AJ91" s="169"/>
      <c r="AK91" s="169"/>
      <c r="AL91" s="169"/>
      <c r="AM91" s="169"/>
      <c r="AN91" s="169"/>
      <c r="AO91" s="169"/>
      <c r="AP91" s="169"/>
    </row>
    <row r="92" spans="5:42" x14ac:dyDescent="0.25">
      <c r="E92" s="32" t="s">
        <v>622</v>
      </c>
      <c r="J92" s="169"/>
      <c r="K92" s="169"/>
      <c r="L92" s="169"/>
      <c r="M92" s="169"/>
      <c r="N92" s="169"/>
      <c r="O92" s="169"/>
      <c r="P92" s="169"/>
      <c r="Q92" s="169"/>
      <c r="R92" s="169"/>
      <c r="S92" s="169"/>
      <c r="T92" s="169"/>
      <c r="U92" s="169"/>
      <c r="V92" s="169"/>
      <c r="W92" s="169"/>
      <c r="X92" s="169"/>
      <c r="Y92" s="169"/>
      <c r="Z92" s="169"/>
      <c r="AA92" s="169"/>
      <c r="AB92" s="169"/>
      <c r="AC92" s="169"/>
      <c r="AD92" s="169"/>
      <c r="AE92" s="169"/>
      <c r="AF92" s="169"/>
      <c r="AG92" s="169"/>
      <c r="AH92" s="169"/>
      <c r="AI92" s="169"/>
      <c r="AJ92" s="169"/>
      <c r="AK92" s="169"/>
      <c r="AL92" s="169"/>
      <c r="AM92" s="169"/>
      <c r="AN92" s="169"/>
      <c r="AO92" s="169"/>
      <c r="AP92" s="169"/>
    </row>
    <row r="93" spans="5:42" x14ac:dyDescent="0.25">
      <c r="E93" s="32"/>
      <c r="F93" s="207" t="s">
        <v>225</v>
      </c>
      <c r="G93" s="64" t="s">
        <v>342</v>
      </c>
      <c r="H93" s="23"/>
      <c r="I93" s="23"/>
      <c r="J93" s="210">
        <f>'Pseudo-load coefficients'!J520</f>
        <v>0</v>
      </c>
      <c r="K93" s="210">
        <f>'Pseudo-load coefficients'!K520</f>
        <v>0.63929108082131025</v>
      </c>
      <c r="L93" s="210">
        <f>'Pseudo-load coefficients'!L520</f>
        <v>0</v>
      </c>
      <c r="M93" s="210">
        <f>'Pseudo-load coefficients'!M520</f>
        <v>0</v>
      </c>
      <c r="N93" s="210">
        <f>'Pseudo-load coefficients'!N520</f>
        <v>0.53217688692969822</v>
      </c>
      <c r="O93" s="210">
        <f>'Pseudo-load coefficients'!O520</f>
        <v>0</v>
      </c>
      <c r="P93" s="210">
        <f>'Pseudo-load coefficients'!P520</f>
        <v>0.50200210014915581</v>
      </c>
      <c r="Q93" s="210">
        <f>'Pseudo-load coefficients'!Q520</f>
        <v>0.40859244482232721</v>
      </c>
      <c r="R93" s="210">
        <f>'Pseudo-load coefficients'!R520</f>
        <v>0.56362240705136524</v>
      </c>
      <c r="S93" s="210">
        <f>'Pseudo-load coefficients'!S520</f>
        <v>1.0393471442838491</v>
      </c>
      <c r="T93" s="210">
        <f>'Pseudo-load coefficients'!T520</f>
        <v>1.134703866010494</v>
      </c>
      <c r="U93" s="210">
        <f>'Pseudo-load coefficients'!U520</f>
        <v>0.90088724405512599</v>
      </c>
      <c r="V93" s="210">
        <f>'Pseudo-load coefficients'!V520</f>
        <v>0.89429973717441791</v>
      </c>
      <c r="W93" s="210">
        <f>'Pseudo-load coefficients'!W520</f>
        <v>0.84901052552182599</v>
      </c>
      <c r="X93" s="210">
        <f>'Pseudo-load coefficients'!X520</f>
        <v>0</v>
      </c>
      <c r="Y93" s="210">
        <f>'Pseudo-load coefficients'!Y520</f>
        <v>0</v>
      </c>
      <c r="Z93" s="210">
        <f>'Pseudo-load coefficients'!Z520</f>
        <v>0</v>
      </c>
      <c r="AA93" s="210">
        <f>'Pseudo-load coefficients'!AA520</f>
        <v>0</v>
      </c>
      <c r="AB93" s="210">
        <f>'Pseudo-load coefficients'!AB520</f>
        <v>0.87476501925688155</v>
      </c>
      <c r="AC93" s="210">
        <f>'Pseudo-load coefficients'!AC520</f>
        <v>0</v>
      </c>
      <c r="AD93" s="210">
        <f>'Pseudo-load coefficients'!AD520</f>
        <v>0</v>
      </c>
      <c r="AE93" s="210">
        <f>'Pseudo-load coefficients'!AE520</f>
        <v>0</v>
      </c>
      <c r="AF93" s="210">
        <f>'Pseudo-load coefficients'!AF520</f>
        <v>0</v>
      </c>
      <c r="AG93" s="210">
        <f>'Pseudo-load coefficients'!AG520</f>
        <v>0.75700783148798267</v>
      </c>
      <c r="AH93" s="210">
        <f>'Pseudo-load coefficients'!AH520</f>
        <v>0.75700783148798267</v>
      </c>
      <c r="AI93" s="210">
        <f>'Pseudo-load coefficients'!AI520</f>
        <v>0</v>
      </c>
      <c r="AJ93" s="210">
        <f>'Pseudo-load coefficients'!AJ520</f>
        <v>0</v>
      </c>
      <c r="AK93" s="210">
        <f>'Pseudo-load coefficients'!AK520</f>
        <v>0.75700783148798267</v>
      </c>
      <c r="AL93" s="210">
        <f>'Pseudo-load coefficients'!AL520</f>
        <v>0.75700783148798267</v>
      </c>
      <c r="AM93" s="210">
        <f>'Pseudo-load coefficients'!AM520</f>
        <v>0</v>
      </c>
      <c r="AN93" s="210">
        <f>'Pseudo-load coefficients'!AN520</f>
        <v>0</v>
      </c>
      <c r="AO93" s="210">
        <f>'Pseudo-load coefficients'!AO520</f>
        <v>0.75700783148798267</v>
      </c>
      <c r="AP93" s="210">
        <f>'Pseudo-load coefficients'!AP520</f>
        <v>0.75700783148798267</v>
      </c>
    </row>
    <row r="94" spans="5:42" x14ac:dyDescent="0.25">
      <c r="E94" s="32"/>
      <c r="F94" s="208" t="s">
        <v>227</v>
      </c>
      <c r="G94" s="28" t="s">
        <v>342</v>
      </c>
      <c r="J94" s="211">
        <f>'Pseudo-load coefficients'!J520</f>
        <v>0</v>
      </c>
      <c r="K94" s="211">
        <f>'Pseudo-load coefficients'!K520</f>
        <v>0.63929108082131025</v>
      </c>
      <c r="L94" s="211">
        <f>'Pseudo-load coefficients'!L520</f>
        <v>0</v>
      </c>
      <c r="M94" s="211">
        <f>'Pseudo-load coefficients'!M520</f>
        <v>0</v>
      </c>
      <c r="N94" s="211">
        <f>'Pseudo-load coefficients'!N520</f>
        <v>0.53217688692969822</v>
      </c>
      <c r="O94" s="211">
        <f>'Pseudo-load coefficients'!O520</f>
        <v>0</v>
      </c>
      <c r="P94" s="211">
        <f>'Pseudo-load coefficients'!P520</f>
        <v>0.50200210014915581</v>
      </c>
      <c r="Q94" s="211">
        <f>'Pseudo-load coefficients'!Q520</f>
        <v>0.40859244482232721</v>
      </c>
      <c r="R94" s="211">
        <f>'Pseudo-load coefficients'!R520</f>
        <v>0.56362240705136524</v>
      </c>
      <c r="S94" s="211">
        <f>'Pseudo-load coefficients'!S520</f>
        <v>1.0393471442838491</v>
      </c>
      <c r="T94" s="211">
        <f>'Pseudo-load coefficients'!T520</f>
        <v>1.134703866010494</v>
      </c>
      <c r="U94" s="211">
        <f>'Pseudo-load coefficients'!U520</f>
        <v>0.90088724405512599</v>
      </c>
      <c r="V94" s="211">
        <f>'Pseudo-load coefficients'!V520</f>
        <v>0.89429973717441791</v>
      </c>
      <c r="W94" s="211">
        <f>'Pseudo-load coefficients'!W520</f>
        <v>0.84901052552182599</v>
      </c>
      <c r="X94" s="211">
        <f>'Pseudo-load coefficients'!X520</f>
        <v>0</v>
      </c>
      <c r="Y94" s="211">
        <f>'Pseudo-load coefficients'!Y520</f>
        <v>0</v>
      </c>
      <c r="Z94" s="211">
        <f>'Pseudo-load coefficients'!Z520</f>
        <v>0</v>
      </c>
      <c r="AA94" s="211">
        <f>'Pseudo-load coefficients'!AA520</f>
        <v>0</v>
      </c>
      <c r="AB94" s="211">
        <f>'Pseudo-load coefficients'!AB520</f>
        <v>0.87476501925688155</v>
      </c>
      <c r="AC94" s="211">
        <f>'Pseudo-load coefficients'!AC520</f>
        <v>0</v>
      </c>
      <c r="AD94" s="211">
        <f>'Pseudo-load coefficients'!AD520</f>
        <v>0</v>
      </c>
      <c r="AE94" s="211">
        <f>'Pseudo-load coefficients'!AE520</f>
        <v>0</v>
      </c>
      <c r="AF94" s="211">
        <f>'Pseudo-load coefficients'!AF520</f>
        <v>0</v>
      </c>
      <c r="AG94" s="211">
        <f>'Pseudo-load coefficients'!AG520</f>
        <v>0.75700783148798267</v>
      </c>
      <c r="AH94" s="211">
        <f>'Pseudo-load coefficients'!AH520</f>
        <v>0.75700783148798267</v>
      </c>
      <c r="AI94" s="211">
        <f>'Pseudo-load coefficients'!AI520</f>
        <v>0</v>
      </c>
      <c r="AJ94" s="211">
        <f>'Pseudo-load coefficients'!AJ520</f>
        <v>0</v>
      </c>
      <c r="AK94" s="211">
        <f>'Pseudo-load coefficients'!AK520</f>
        <v>0.75700783148798267</v>
      </c>
      <c r="AL94" s="211">
        <f>'Pseudo-load coefficients'!AL520</f>
        <v>0.75700783148798267</v>
      </c>
      <c r="AM94" s="211">
        <f>'Pseudo-load coefficients'!AM520</f>
        <v>0</v>
      </c>
      <c r="AN94" s="211">
        <f>'Pseudo-load coefficients'!AN520</f>
        <v>0</v>
      </c>
      <c r="AO94" s="211">
        <f>'Pseudo-load coefficients'!AO520</f>
        <v>0.75700783148798267</v>
      </c>
      <c r="AP94" s="211">
        <f>'Pseudo-load coefficients'!AP520</f>
        <v>0.75700783148798267</v>
      </c>
    </row>
    <row r="95" spans="5:42" x14ac:dyDescent="0.25">
      <c r="E95" s="32"/>
      <c r="F95" s="208" t="s">
        <v>228</v>
      </c>
      <c r="G95" s="28" t="s">
        <v>342</v>
      </c>
      <c r="J95" s="211">
        <f>'Pseudo-load coefficients'!J521</f>
        <v>0</v>
      </c>
      <c r="K95" s="211">
        <f>'Pseudo-load coefficients'!K521</f>
        <v>0</v>
      </c>
      <c r="L95" s="211">
        <f>'Pseudo-load coefficients'!L521</f>
        <v>0</v>
      </c>
      <c r="M95" s="211">
        <f>'Pseudo-load coefficients'!M521</f>
        <v>0</v>
      </c>
      <c r="N95" s="211">
        <f>'Pseudo-load coefficients'!N521</f>
        <v>0</v>
      </c>
      <c r="O95" s="211">
        <f>'Pseudo-load coefficients'!O521</f>
        <v>0</v>
      </c>
      <c r="P95" s="211">
        <f>'Pseudo-load coefficients'!P521</f>
        <v>0</v>
      </c>
      <c r="Q95" s="211">
        <f>'Pseudo-load coefficients'!Q521</f>
        <v>0</v>
      </c>
      <c r="R95" s="211">
        <f>'Pseudo-load coefficients'!R521</f>
        <v>0</v>
      </c>
      <c r="S95" s="211">
        <f>'Pseudo-load coefficients'!S521</f>
        <v>0</v>
      </c>
      <c r="T95" s="211">
        <f>'Pseudo-load coefficients'!T521</f>
        <v>0</v>
      </c>
      <c r="U95" s="211">
        <f>'Pseudo-load coefficients'!U521</f>
        <v>0</v>
      </c>
      <c r="V95" s="211">
        <f>'Pseudo-load coefficients'!V521</f>
        <v>0</v>
      </c>
      <c r="W95" s="211">
        <f>'Pseudo-load coefficients'!W521</f>
        <v>0</v>
      </c>
      <c r="X95" s="211">
        <f>'Pseudo-load coefficients'!X521</f>
        <v>0</v>
      </c>
      <c r="Y95" s="211">
        <f>'Pseudo-load coefficients'!Y521</f>
        <v>0</v>
      </c>
      <c r="Z95" s="211">
        <f>'Pseudo-load coefficients'!Z521</f>
        <v>0</v>
      </c>
      <c r="AA95" s="211">
        <f>'Pseudo-load coefficients'!AA521</f>
        <v>0</v>
      </c>
      <c r="AB95" s="211">
        <f>'Pseudo-load coefficients'!AB521</f>
        <v>0</v>
      </c>
      <c r="AC95" s="211">
        <f>'Pseudo-load coefficients'!AC521</f>
        <v>0</v>
      </c>
      <c r="AD95" s="211">
        <f>'Pseudo-load coefficients'!AD521</f>
        <v>0</v>
      </c>
      <c r="AE95" s="211">
        <f>'Pseudo-load coefficients'!AE521</f>
        <v>0</v>
      </c>
      <c r="AF95" s="211">
        <f>'Pseudo-load coefficients'!AF521</f>
        <v>0</v>
      </c>
      <c r="AG95" s="211">
        <f>'Pseudo-load coefficients'!AG521</f>
        <v>0</v>
      </c>
      <c r="AH95" s="211">
        <f>'Pseudo-load coefficients'!AH521</f>
        <v>0</v>
      </c>
      <c r="AI95" s="211">
        <f>'Pseudo-load coefficients'!AI521</f>
        <v>0</v>
      </c>
      <c r="AJ95" s="211">
        <f>'Pseudo-load coefficients'!AJ521</f>
        <v>0</v>
      </c>
      <c r="AK95" s="211">
        <f>'Pseudo-load coefficients'!AK521</f>
        <v>0</v>
      </c>
      <c r="AL95" s="211">
        <f>'Pseudo-load coefficients'!AL521</f>
        <v>0</v>
      </c>
      <c r="AM95" s="211">
        <f>'Pseudo-load coefficients'!AM521</f>
        <v>0</v>
      </c>
      <c r="AN95" s="211">
        <f>'Pseudo-load coefficients'!AN521</f>
        <v>0</v>
      </c>
      <c r="AO95" s="211">
        <f>'Pseudo-load coefficients'!AO521</f>
        <v>0</v>
      </c>
      <c r="AP95" s="211">
        <f>'Pseudo-load coefficients'!AP521</f>
        <v>0</v>
      </c>
    </row>
    <row r="96" spans="5:42" x14ac:dyDescent="0.25">
      <c r="E96" s="32"/>
      <c r="F96" s="208" t="s">
        <v>229</v>
      </c>
      <c r="G96" s="28" t="s">
        <v>342</v>
      </c>
      <c r="J96" s="211">
        <f>'Pseudo-load coefficients'!J522</f>
        <v>0</v>
      </c>
      <c r="K96" s="211">
        <f>'Pseudo-load coefficients'!K522</f>
        <v>0</v>
      </c>
      <c r="L96" s="211">
        <f>'Pseudo-load coefficients'!L522</f>
        <v>0</v>
      </c>
      <c r="M96" s="211">
        <f>'Pseudo-load coefficients'!M522</f>
        <v>0</v>
      </c>
      <c r="N96" s="211">
        <f>'Pseudo-load coefficients'!N522</f>
        <v>0</v>
      </c>
      <c r="O96" s="211">
        <f>'Pseudo-load coefficients'!O522</f>
        <v>0</v>
      </c>
      <c r="P96" s="211">
        <f>'Pseudo-load coefficients'!P522</f>
        <v>0</v>
      </c>
      <c r="Q96" s="211">
        <f>'Pseudo-load coefficients'!Q522</f>
        <v>0</v>
      </c>
      <c r="R96" s="211">
        <f>'Pseudo-load coefficients'!R522</f>
        <v>0</v>
      </c>
      <c r="S96" s="211">
        <f>'Pseudo-load coefficients'!S522</f>
        <v>0</v>
      </c>
      <c r="T96" s="211">
        <f>'Pseudo-load coefficients'!T522</f>
        <v>0</v>
      </c>
      <c r="U96" s="211">
        <f>'Pseudo-load coefficients'!U522</f>
        <v>0</v>
      </c>
      <c r="V96" s="211">
        <f>'Pseudo-load coefficients'!V522</f>
        <v>0</v>
      </c>
      <c r="W96" s="211">
        <f>'Pseudo-load coefficients'!W522</f>
        <v>0</v>
      </c>
      <c r="X96" s="211">
        <f>'Pseudo-load coefficients'!X522</f>
        <v>0</v>
      </c>
      <c r="Y96" s="211">
        <f>'Pseudo-load coefficients'!Y522</f>
        <v>0</v>
      </c>
      <c r="Z96" s="211">
        <f>'Pseudo-load coefficients'!Z522</f>
        <v>0</v>
      </c>
      <c r="AA96" s="211">
        <f>'Pseudo-load coefficients'!AA522</f>
        <v>0</v>
      </c>
      <c r="AB96" s="211">
        <f>'Pseudo-load coefficients'!AB522</f>
        <v>0</v>
      </c>
      <c r="AC96" s="211">
        <f>'Pseudo-load coefficients'!AC522</f>
        <v>0</v>
      </c>
      <c r="AD96" s="211">
        <f>'Pseudo-load coefficients'!AD522</f>
        <v>0</v>
      </c>
      <c r="AE96" s="211">
        <f>'Pseudo-load coefficients'!AE522</f>
        <v>0</v>
      </c>
      <c r="AF96" s="211">
        <f>'Pseudo-load coefficients'!AF522</f>
        <v>0</v>
      </c>
      <c r="AG96" s="211">
        <f>'Pseudo-load coefficients'!AG522</f>
        <v>0</v>
      </c>
      <c r="AH96" s="211">
        <f>'Pseudo-load coefficients'!AH522</f>
        <v>0</v>
      </c>
      <c r="AI96" s="211">
        <f>'Pseudo-load coefficients'!AI522</f>
        <v>0</v>
      </c>
      <c r="AJ96" s="211">
        <f>'Pseudo-load coefficients'!AJ522</f>
        <v>0</v>
      </c>
      <c r="AK96" s="211">
        <f>'Pseudo-load coefficients'!AK522</f>
        <v>0</v>
      </c>
      <c r="AL96" s="211">
        <f>'Pseudo-load coefficients'!AL522</f>
        <v>0</v>
      </c>
      <c r="AM96" s="211">
        <f>'Pseudo-load coefficients'!AM522</f>
        <v>0</v>
      </c>
      <c r="AN96" s="211">
        <f>'Pseudo-load coefficients'!AN522</f>
        <v>0</v>
      </c>
      <c r="AO96" s="211">
        <f>'Pseudo-load coefficients'!AO522</f>
        <v>0</v>
      </c>
      <c r="AP96" s="211">
        <f>'Pseudo-load coefficients'!AP522</f>
        <v>0</v>
      </c>
    </row>
    <row r="97" spans="3:42" x14ac:dyDescent="0.25">
      <c r="E97" s="32"/>
      <c r="F97" s="208" t="s">
        <v>230</v>
      </c>
      <c r="G97" s="28" t="s">
        <v>342</v>
      </c>
      <c r="J97" s="211">
        <f>'Pseudo-load coefficients'!J523</f>
        <v>0</v>
      </c>
      <c r="K97" s="211">
        <f>'Pseudo-load coefficients'!K523</f>
        <v>0.69297119319265954</v>
      </c>
      <c r="L97" s="211">
        <f>'Pseudo-load coefficients'!L523</f>
        <v>0</v>
      </c>
      <c r="M97" s="211">
        <f>'Pseudo-load coefficients'!M523</f>
        <v>0</v>
      </c>
      <c r="N97" s="211">
        <f>'Pseudo-load coefficients'!N523</f>
        <v>0.59285671536095186</v>
      </c>
      <c r="O97" s="211">
        <f>'Pseudo-load coefficients'!O523</f>
        <v>0</v>
      </c>
      <c r="P97" s="211">
        <f>'Pseudo-load coefficients'!P523</f>
        <v>0.55778854727449012</v>
      </c>
      <c r="Q97" s="211">
        <f>'Pseudo-load coefficients'!Q523</f>
        <v>0.45399847163400642</v>
      </c>
      <c r="R97" s="211">
        <f>'Pseudo-load coefficients'!R523</f>
        <v>0.62639185018679178</v>
      </c>
      <c r="S97" s="211">
        <f>'Pseudo-load coefficients'!S523</f>
        <v>1.134992123964369</v>
      </c>
      <c r="T97" s="211">
        <f>'Pseudo-load coefficients'!T523</f>
        <v>1.2406540950079161</v>
      </c>
      <c r="U97" s="211">
        <f>'Pseudo-load coefficients'!U523</f>
        <v>0.98534542318529406</v>
      </c>
      <c r="V97" s="211">
        <f>'Pseudo-load coefficients'!V523</f>
        <v>0.97814033753451957</v>
      </c>
      <c r="W97" s="211">
        <f>'Pseudo-load coefficients'!W523</f>
        <v>0.92860526228949714</v>
      </c>
      <c r="X97" s="211">
        <f>'Pseudo-load coefficients'!X523</f>
        <v>0</v>
      </c>
      <c r="Y97" s="211">
        <f>'Pseudo-load coefficients'!Y523</f>
        <v>0</v>
      </c>
      <c r="Z97" s="211">
        <f>'Pseudo-load coefficients'!Z523</f>
        <v>0</v>
      </c>
      <c r="AA97" s="211">
        <f>'Pseudo-load coefficients'!AA523</f>
        <v>0</v>
      </c>
      <c r="AB97" s="211">
        <f>'Pseudo-load coefficients'!AB523</f>
        <v>0.95428911191659793</v>
      </c>
      <c r="AC97" s="211">
        <f>'Pseudo-load coefficients'!AC523</f>
        <v>0</v>
      </c>
      <c r="AD97" s="211">
        <f>'Pseudo-load coefficients'!AD523</f>
        <v>0</v>
      </c>
      <c r="AE97" s="211">
        <f>'Pseudo-load coefficients'!AE523</f>
        <v>0</v>
      </c>
      <c r="AF97" s="211">
        <f>'Pseudo-load coefficients'!AF523</f>
        <v>0</v>
      </c>
      <c r="AG97" s="211">
        <f>'Pseudo-load coefficients'!AG523</f>
        <v>0.82797731568998101</v>
      </c>
      <c r="AH97" s="211">
        <f>'Pseudo-load coefficients'!AH523</f>
        <v>0.82797731568998101</v>
      </c>
      <c r="AI97" s="211">
        <f>'Pseudo-load coefficients'!AI523</f>
        <v>0</v>
      </c>
      <c r="AJ97" s="211">
        <f>'Pseudo-load coefficients'!AJ523</f>
        <v>0</v>
      </c>
      <c r="AK97" s="211">
        <f>'Pseudo-load coefficients'!AK523</f>
        <v>0.82797731568998101</v>
      </c>
      <c r="AL97" s="211">
        <f>'Pseudo-load coefficients'!AL523</f>
        <v>0.82797731568998101</v>
      </c>
      <c r="AM97" s="211">
        <f>'Pseudo-load coefficients'!AM523</f>
        <v>0</v>
      </c>
      <c r="AN97" s="211">
        <f>'Pseudo-load coefficients'!AN523</f>
        <v>0</v>
      </c>
      <c r="AO97" s="211">
        <f>'Pseudo-load coefficients'!AO523</f>
        <v>0.82797731568998101</v>
      </c>
      <c r="AP97" s="211">
        <f>'Pseudo-load coefficients'!AP523</f>
        <v>0.82797731568998101</v>
      </c>
    </row>
    <row r="98" spans="3:42" x14ac:dyDescent="0.25">
      <c r="E98" s="32"/>
      <c r="F98" s="208" t="s">
        <v>231</v>
      </c>
      <c r="G98" s="28" t="s">
        <v>342</v>
      </c>
      <c r="J98" s="211">
        <f>'Pseudo-load coefficients'!J524</f>
        <v>0</v>
      </c>
      <c r="K98" s="211">
        <f>'Pseudo-load coefficients'!K524</f>
        <v>0.69297119319265954</v>
      </c>
      <c r="L98" s="211">
        <f>'Pseudo-load coefficients'!L524</f>
        <v>0</v>
      </c>
      <c r="M98" s="211">
        <f>'Pseudo-load coefficients'!M524</f>
        <v>0</v>
      </c>
      <c r="N98" s="211">
        <f>'Pseudo-load coefficients'!N524</f>
        <v>0.59285671536095186</v>
      </c>
      <c r="O98" s="211">
        <f>'Pseudo-load coefficients'!O524</f>
        <v>0</v>
      </c>
      <c r="P98" s="211">
        <f>'Pseudo-load coefficients'!P524</f>
        <v>0.55778854727449012</v>
      </c>
      <c r="Q98" s="211">
        <f>'Pseudo-load coefficients'!Q524</f>
        <v>0.45399847163400642</v>
      </c>
      <c r="R98" s="211">
        <f>'Pseudo-load coefficients'!R524</f>
        <v>0.62639185018679178</v>
      </c>
      <c r="S98" s="211">
        <f>'Pseudo-load coefficients'!S524</f>
        <v>1.134992123964369</v>
      </c>
      <c r="T98" s="211">
        <f>'Pseudo-load coefficients'!T524</f>
        <v>1.2406540950079161</v>
      </c>
      <c r="U98" s="211">
        <f>'Pseudo-load coefficients'!U524</f>
        <v>0.98534542318529406</v>
      </c>
      <c r="V98" s="211">
        <f>'Pseudo-load coefficients'!V524</f>
        <v>0.97814033753451957</v>
      </c>
      <c r="W98" s="211">
        <f>'Pseudo-load coefficients'!W524</f>
        <v>0.92860526228949714</v>
      </c>
      <c r="X98" s="211">
        <f>'Pseudo-load coefficients'!X524</f>
        <v>0</v>
      </c>
      <c r="Y98" s="211">
        <f>'Pseudo-load coefficients'!Y524</f>
        <v>0</v>
      </c>
      <c r="Z98" s="211">
        <f>'Pseudo-load coefficients'!Z524</f>
        <v>0</v>
      </c>
      <c r="AA98" s="211">
        <f>'Pseudo-load coefficients'!AA524</f>
        <v>0</v>
      </c>
      <c r="AB98" s="211">
        <f>'Pseudo-load coefficients'!AB524</f>
        <v>0.95428911191659793</v>
      </c>
      <c r="AC98" s="211">
        <f>'Pseudo-load coefficients'!AC524</f>
        <v>0</v>
      </c>
      <c r="AD98" s="211">
        <f>'Pseudo-load coefficients'!AD524</f>
        <v>0</v>
      </c>
      <c r="AE98" s="211">
        <f>'Pseudo-load coefficients'!AE524</f>
        <v>0</v>
      </c>
      <c r="AF98" s="211">
        <f>'Pseudo-load coefficients'!AF524</f>
        <v>0</v>
      </c>
      <c r="AG98" s="211">
        <f>'Pseudo-load coefficients'!AG524</f>
        <v>0.82797731568998101</v>
      </c>
      <c r="AH98" s="211">
        <f>'Pseudo-load coefficients'!AH524</f>
        <v>0.82797731568998101</v>
      </c>
      <c r="AI98" s="211">
        <f>'Pseudo-load coefficients'!AI524</f>
        <v>0</v>
      </c>
      <c r="AJ98" s="211">
        <f>'Pseudo-load coefficients'!AJ524</f>
        <v>0</v>
      </c>
      <c r="AK98" s="211">
        <f>'Pseudo-load coefficients'!AK524</f>
        <v>0.82797731568998101</v>
      </c>
      <c r="AL98" s="211">
        <f>'Pseudo-load coefficients'!AL524</f>
        <v>0.82797731568998101</v>
      </c>
      <c r="AM98" s="211">
        <f>'Pseudo-load coefficients'!AM524</f>
        <v>0</v>
      </c>
      <c r="AN98" s="211">
        <f>'Pseudo-load coefficients'!AN524</f>
        <v>0</v>
      </c>
      <c r="AO98" s="211">
        <f>'Pseudo-load coefficients'!AO524</f>
        <v>0.82797731568998101</v>
      </c>
      <c r="AP98" s="211">
        <f>'Pseudo-load coefficients'!AP524</f>
        <v>0.82797731568998101</v>
      </c>
    </row>
    <row r="99" spans="3:42" x14ac:dyDescent="0.25">
      <c r="E99" s="32"/>
      <c r="F99" s="208" t="s">
        <v>232</v>
      </c>
      <c r="G99" s="28" t="s">
        <v>342</v>
      </c>
      <c r="J99" s="211">
        <f>'Pseudo-load coefficients'!J525</f>
        <v>0</v>
      </c>
      <c r="K99" s="211">
        <f>'Pseudo-load coefficients'!K525</f>
        <v>0</v>
      </c>
      <c r="L99" s="211">
        <f>'Pseudo-load coefficients'!L525</f>
        <v>0</v>
      </c>
      <c r="M99" s="211">
        <f>'Pseudo-load coefficients'!M525</f>
        <v>0</v>
      </c>
      <c r="N99" s="211">
        <f>'Pseudo-load coefficients'!N525</f>
        <v>0</v>
      </c>
      <c r="O99" s="211">
        <f>'Pseudo-load coefficients'!O525</f>
        <v>0</v>
      </c>
      <c r="P99" s="211">
        <f>'Pseudo-load coefficients'!P525</f>
        <v>0</v>
      </c>
      <c r="Q99" s="211">
        <f>'Pseudo-load coefficients'!Q525</f>
        <v>0</v>
      </c>
      <c r="R99" s="211">
        <f>'Pseudo-load coefficients'!R525</f>
        <v>0</v>
      </c>
      <c r="S99" s="211">
        <f>'Pseudo-load coefficients'!S525</f>
        <v>0</v>
      </c>
      <c r="T99" s="211">
        <f>'Pseudo-load coefficients'!T525</f>
        <v>0</v>
      </c>
      <c r="U99" s="211">
        <f>'Pseudo-load coefficients'!U525</f>
        <v>0</v>
      </c>
      <c r="V99" s="211">
        <f>'Pseudo-load coefficients'!V525</f>
        <v>0</v>
      </c>
      <c r="W99" s="211">
        <f>'Pseudo-load coefficients'!W525</f>
        <v>0</v>
      </c>
      <c r="X99" s="211">
        <f>'Pseudo-load coefficients'!X525</f>
        <v>0</v>
      </c>
      <c r="Y99" s="211">
        <f>'Pseudo-load coefficients'!Y525</f>
        <v>0</v>
      </c>
      <c r="Z99" s="211">
        <f>'Pseudo-load coefficients'!Z525</f>
        <v>0</v>
      </c>
      <c r="AA99" s="211">
        <f>'Pseudo-load coefficients'!AA525</f>
        <v>0</v>
      </c>
      <c r="AB99" s="211">
        <f>'Pseudo-load coefficients'!AB525</f>
        <v>0</v>
      </c>
      <c r="AC99" s="211">
        <f>'Pseudo-load coefficients'!AC525</f>
        <v>0</v>
      </c>
      <c r="AD99" s="211">
        <f>'Pseudo-load coefficients'!AD525</f>
        <v>0</v>
      </c>
      <c r="AE99" s="211">
        <f>'Pseudo-load coefficients'!AE525</f>
        <v>0</v>
      </c>
      <c r="AF99" s="211">
        <f>'Pseudo-load coefficients'!AF525</f>
        <v>0</v>
      </c>
      <c r="AG99" s="211">
        <f>'Pseudo-load coefficients'!AG525</f>
        <v>0</v>
      </c>
      <c r="AH99" s="211">
        <f>'Pseudo-load coefficients'!AH525</f>
        <v>0</v>
      </c>
      <c r="AI99" s="211">
        <f>'Pseudo-load coefficients'!AI525</f>
        <v>0</v>
      </c>
      <c r="AJ99" s="211">
        <f>'Pseudo-load coefficients'!AJ525</f>
        <v>0</v>
      </c>
      <c r="AK99" s="211">
        <f>'Pseudo-load coefficients'!AK525</f>
        <v>0</v>
      </c>
      <c r="AL99" s="211">
        <f>'Pseudo-load coefficients'!AL525</f>
        <v>0</v>
      </c>
      <c r="AM99" s="211">
        <f>'Pseudo-load coefficients'!AM525</f>
        <v>0</v>
      </c>
      <c r="AN99" s="211">
        <f>'Pseudo-load coefficients'!AN525</f>
        <v>0</v>
      </c>
      <c r="AO99" s="211">
        <f>'Pseudo-load coefficients'!AO525</f>
        <v>0</v>
      </c>
      <c r="AP99" s="211">
        <f>'Pseudo-load coefficients'!AP525</f>
        <v>0</v>
      </c>
    </row>
    <row r="100" spans="3:42" x14ac:dyDescent="0.25">
      <c r="E100" s="32"/>
      <c r="F100" s="208" t="s">
        <v>233</v>
      </c>
      <c r="G100" s="28" t="s">
        <v>342</v>
      </c>
      <c r="J100" s="211">
        <f>'Pseudo-load coefficients'!J526</f>
        <v>0</v>
      </c>
      <c r="K100" s="211">
        <f>'Pseudo-load coefficients'!K526</f>
        <v>0.69297119319265954</v>
      </c>
      <c r="L100" s="211">
        <f>'Pseudo-load coefficients'!L526</f>
        <v>0</v>
      </c>
      <c r="M100" s="211">
        <f>'Pseudo-load coefficients'!M526</f>
        <v>0</v>
      </c>
      <c r="N100" s="211">
        <f>'Pseudo-load coefficients'!N526</f>
        <v>0.59285671536095186</v>
      </c>
      <c r="O100" s="211">
        <f>'Pseudo-load coefficients'!O526</f>
        <v>0</v>
      </c>
      <c r="P100" s="211">
        <f>'Pseudo-load coefficients'!P526</f>
        <v>0.55778854727449012</v>
      </c>
      <c r="Q100" s="211">
        <f>'Pseudo-load coefficients'!Q526</f>
        <v>0.45399847163400642</v>
      </c>
      <c r="R100" s="211">
        <f>'Pseudo-load coefficients'!R526</f>
        <v>0.62639185018679178</v>
      </c>
      <c r="S100" s="211">
        <f>'Pseudo-load coefficients'!S526</f>
        <v>1.134992123964369</v>
      </c>
      <c r="T100" s="211">
        <f>'Pseudo-load coefficients'!T526</f>
        <v>1.2406540950079161</v>
      </c>
      <c r="U100" s="211">
        <f>'Pseudo-load coefficients'!U526</f>
        <v>0.98534542318529406</v>
      </c>
      <c r="V100" s="211">
        <f>'Pseudo-load coefficients'!V526</f>
        <v>0.97814033753451957</v>
      </c>
      <c r="W100" s="211">
        <f>'Pseudo-load coefficients'!W526</f>
        <v>0.92860526228949714</v>
      </c>
      <c r="X100" s="211">
        <f>'Pseudo-load coefficients'!X526</f>
        <v>0</v>
      </c>
      <c r="Y100" s="211">
        <f>'Pseudo-load coefficients'!Y526</f>
        <v>0</v>
      </c>
      <c r="Z100" s="211">
        <f>'Pseudo-load coefficients'!Z526</f>
        <v>0</v>
      </c>
      <c r="AA100" s="211">
        <f>'Pseudo-load coefficients'!AA526</f>
        <v>0</v>
      </c>
      <c r="AB100" s="211">
        <f>'Pseudo-load coefficients'!AB526</f>
        <v>0.95428911191659793</v>
      </c>
      <c r="AC100" s="211">
        <f>'Pseudo-load coefficients'!AC526</f>
        <v>0</v>
      </c>
      <c r="AD100" s="211">
        <f>'Pseudo-load coefficients'!AD526</f>
        <v>0</v>
      </c>
      <c r="AE100" s="211">
        <f>'Pseudo-load coefficients'!AE526</f>
        <v>0</v>
      </c>
      <c r="AF100" s="211">
        <f>'Pseudo-load coefficients'!AF526</f>
        <v>0</v>
      </c>
      <c r="AG100" s="211">
        <f>'Pseudo-load coefficients'!AG526</f>
        <v>0.82797731568998101</v>
      </c>
      <c r="AH100" s="211">
        <f>'Pseudo-load coefficients'!AH526</f>
        <v>0.82797731568998101</v>
      </c>
      <c r="AI100" s="211">
        <f>'Pseudo-load coefficients'!AI526</f>
        <v>0</v>
      </c>
      <c r="AJ100" s="211">
        <f>'Pseudo-load coefficients'!AJ526</f>
        <v>0</v>
      </c>
      <c r="AK100" s="211">
        <f>'Pseudo-load coefficients'!AK526</f>
        <v>0.82797731568998101</v>
      </c>
      <c r="AL100" s="211">
        <f>'Pseudo-load coefficients'!AL526</f>
        <v>0.82797731568998101</v>
      </c>
      <c r="AM100" s="211">
        <f>'Pseudo-load coefficients'!AM526</f>
        <v>0</v>
      </c>
      <c r="AN100" s="211">
        <f>'Pseudo-load coefficients'!AN526</f>
        <v>0</v>
      </c>
      <c r="AO100" s="211">
        <f>'Pseudo-load coefficients'!AO526</f>
        <v>0.82797731568998101</v>
      </c>
      <c r="AP100" s="211">
        <f>'Pseudo-load coefficients'!AP526</f>
        <v>0.82797731568998101</v>
      </c>
    </row>
    <row r="101" spans="3:42" x14ac:dyDescent="0.25">
      <c r="E101" s="32"/>
      <c r="F101" s="208" t="s">
        <v>234</v>
      </c>
      <c r="G101" s="28" t="s">
        <v>342</v>
      </c>
      <c r="J101" s="211">
        <f>'Pseudo-load coefficients'!J527</f>
        <v>0</v>
      </c>
      <c r="K101" s="211">
        <f>'Pseudo-load coefficients'!K527</f>
        <v>0.69297119319265954</v>
      </c>
      <c r="L101" s="211">
        <f>'Pseudo-load coefficients'!L527</f>
        <v>0</v>
      </c>
      <c r="M101" s="211">
        <f>'Pseudo-load coefficients'!M527</f>
        <v>0</v>
      </c>
      <c r="N101" s="211">
        <f>'Pseudo-load coefficients'!N527</f>
        <v>0.59285671536095186</v>
      </c>
      <c r="O101" s="211">
        <f>'Pseudo-load coefficients'!O527</f>
        <v>0</v>
      </c>
      <c r="P101" s="211">
        <f>'Pseudo-load coefficients'!P527</f>
        <v>0.55778854727449012</v>
      </c>
      <c r="Q101" s="211">
        <f>'Pseudo-load coefficients'!Q527</f>
        <v>0.45399847163400642</v>
      </c>
      <c r="R101" s="211">
        <f>'Pseudo-load coefficients'!R527</f>
        <v>0.62639185018679178</v>
      </c>
      <c r="S101" s="211">
        <f>'Pseudo-load coefficients'!S527</f>
        <v>1.134992123964369</v>
      </c>
      <c r="T101" s="211">
        <f>'Pseudo-load coefficients'!T527</f>
        <v>1.2406540950079161</v>
      </c>
      <c r="U101" s="211">
        <f>'Pseudo-load coefficients'!U527</f>
        <v>0.98534542318529406</v>
      </c>
      <c r="V101" s="211">
        <f>'Pseudo-load coefficients'!V527</f>
        <v>0.97814033753451957</v>
      </c>
      <c r="W101" s="211">
        <f>'Pseudo-load coefficients'!W527</f>
        <v>0.92860526228949714</v>
      </c>
      <c r="X101" s="211">
        <f>'Pseudo-load coefficients'!X527</f>
        <v>0</v>
      </c>
      <c r="Y101" s="211">
        <f>'Pseudo-load coefficients'!Y527</f>
        <v>0</v>
      </c>
      <c r="Z101" s="211">
        <f>'Pseudo-load coefficients'!Z527</f>
        <v>0</v>
      </c>
      <c r="AA101" s="211">
        <f>'Pseudo-load coefficients'!AA527</f>
        <v>0</v>
      </c>
      <c r="AB101" s="211">
        <f>'Pseudo-load coefficients'!AB527</f>
        <v>0.95428911191659793</v>
      </c>
      <c r="AC101" s="211">
        <f>'Pseudo-load coefficients'!AC527</f>
        <v>0</v>
      </c>
      <c r="AD101" s="211">
        <f>'Pseudo-load coefficients'!AD527</f>
        <v>0</v>
      </c>
      <c r="AE101" s="211">
        <f>'Pseudo-load coefficients'!AE527</f>
        <v>0</v>
      </c>
      <c r="AF101" s="211">
        <f>'Pseudo-load coefficients'!AF527</f>
        <v>0</v>
      </c>
      <c r="AG101" s="211">
        <f>'Pseudo-load coefficients'!AG527</f>
        <v>0.82797731568998101</v>
      </c>
      <c r="AH101" s="211">
        <f>'Pseudo-load coefficients'!AH527</f>
        <v>0.82797731568998101</v>
      </c>
      <c r="AI101" s="211">
        <f>'Pseudo-load coefficients'!AI527</f>
        <v>0</v>
      </c>
      <c r="AJ101" s="211">
        <f>'Pseudo-load coefficients'!AJ527</f>
        <v>0</v>
      </c>
      <c r="AK101" s="211">
        <f>'Pseudo-load coefficients'!AK527</f>
        <v>0.82797731568998101</v>
      </c>
      <c r="AL101" s="211">
        <f>'Pseudo-load coefficients'!AL527</f>
        <v>0.82797731568998101</v>
      </c>
      <c r="AM101" s="211">
        <f>'Pseudo-load coefficients'!AM527</f>
        <v>0</v>
      </c>
      <c r="AN101" s="211">
        <f>'Pseudo-load coefficients'!AN527</f>
        <v>0</v>
      </c>
      <c r="AO101" s="211">
        <f>'Pseudo-load coefficients'!AO527</f>
        <v>0.82797731568998101</v>
      </c>
      <c r="AP101" s="211">
        <f>'Pseudo-load coefficients'!AP527</f>
        <v>0.82797731568998101</v>
      </c>
    </row>
    <row r="102" spans="3:42" x14ac:dyDescent="0.25">
      <c r="E102" s="32"/>
      <c r="F102" s="209" t="s">
        <v>235</v>
      </c>
      <c r="G102" s="67" t="s">
        <v>342</v>
      </c>
      <c r="H102" s="37"/>
      <c r="I102" s="37"/>
      <c r="J102" s="212">
        <f>'Pseudo-load coefficients'!J528</f>
        <v>0</v>
      </c>
      <c r="K102" s="212">
        <f>'Pseudo-load coefficients'!K528</f>
        <v>0.69297119319265954</v>
      </c>
      <c r="L102" s="212">
        <f>'Pseudo-load coefficients'!L528</f>
        <v>0</v>
      </c>
      <c r="M102" s="212">
        <f>'Pseudo-load coefficients'!M528</f>
        <v>0</v>
      </c>
      <c r="N102" s="212">
        <f>'Pseudo-load coefficients'!N528</f>
        <v>0.59285671536095186</v>
      </c>
      <c r="O102" s="212">
        <f>'Pseudo-load coefficients'!O528</f>
        <v>0</v>
      </c>
      <c r="P102" s="212">
        <f>'Pseudo-load coefficients'!P528</f>
        <v>0.55778854727449012</v>
      </c>
      <c r="Q102" s="212">
        <f>'Pseudo-load coefficients'!Q528</f>
        <v>0.45399847163400642</v>
      </c>
      <c r="R102" s="212">
        <f>'Pseudo-load coefficients'!R528</f>
        <v>0.62639185018679178</v>
      </c>
      <c r="S102" s="212">
        <f>'Pseudo-load coefficients'!S528</f>
        <v>1.134992123964369</v>
      </c>
      <c r="T102" s="212">
        <f>'Pseudo-load coefficients'!T528</f>
        <v>1.2406540950079161</v>
      </c>
      <c r="U102" s="212">
        <f>'Pseudo-load coefficients'!U528</f>
        <v>0.98534542318529406</v>
      </c>
      <c r="V102" s="212">
        <f>'Pseudo-load coefficients'!V528</f>
        <v>0.97814033753451957</v>
      </c>
      <c r="W102" s="212">
        <f>'Pseudo-load coefficients'!W528</f>
        <v>0.92860526228949714</v>
      </c>
      <c r="X102" s="212">
        <f>'Pseudo-load coefficients'!X528</f>
        <v>0</v>
      </c>
      <c r="Y102" s="212">
        <f>'Pseudo-load coefficients'!Y528</f>
        <v>0</v>
      </c>
      <c r="Z102" s="212">
        <f>'Pseudo-load coefficients'!Z528</f>
        <v>0</v>
      </c>
      <c r="AA102" s="212">
        <f>'Pseudo-load coefficients'!AA528</f>
        <v>0</v>
      </c>
      <c r="AB102" s="212">
        <f>'Pseudo-load coefficients'!AB528</f>
        <v>0.95428911191659793</v>
      </c>
      <c r="AC102" s="212">
        <f>'Pseudo-load coefficients'!AC528</f>
        <v>0</v>
      </c>
      <c r="AD102" s="212">
        <f>'Pseudo-load coefficients'!AD528</f>
        <v>0</v>
      </c>
      <c r="AE102" s="212">
        <f>'Pseudo-load coefficients'!AE528</f>
        <v>0</v>
      </c>
      <c r="AF102" s="212">
        <f>'Pseudo-load coefficients'!AF528</f>
        <v>0</v>
      </c>
      <c r="AG102" s="212">
        <f>'Pseudo-load coefficients'!AG528</f>
        <v>0.82797731568998101</v>
      </c>
      <c r="AH102" s="212">
        <f>'Pseudo-load coefficients'!AH528</f>
        <v>0.82797731568998101</v>
      </c>
      <c r="AI102" s="212">
        <f>'Pseudo-load coefficients'!AI528</f>
        <v>0</v>
      </c>
      <c r="AJ102" s="212">
        <f>'Pseudo-load coefficients'!AJ528</f>
        <v>0</v>
      </c>
      <c r="AK102" s="212">
        <f>'Pseudo-load coefficients'!AK528</f>
        <v>0.82797731568998101</v>
      </c>
      <c r="AL102" s="212">
        <f>'Pseudo-load coefficients'!AL528</f>
        <v>0.82797731568998101</v>
      </c>
      <c r="AM102" s="212">
        <f>'Pseudo-load coefficients'!AM528</f>
        <v>0</v>
      </c>
      <c r="AN102" s="212">
        <f>'Pseudo-load coefficients'!AN528</f>
        <v>0</v>
      </c>
      <c r="AO102" s="212">
        <f>'Pseudo-load coefficients'!AO528</f>
        <v>0.82797731568998101</v>
      </c>
      <c r="AP102" s="212">
        <f>'Pseudo-load coefficients'!AP528</f>
        <v>0.82797731568998101</v>
      </c>
    </row>
    <row r="103" spans="3:42" x14ac:dyDescent="0.25">
      <c r="E103" s="32"/>
      <c r="J103" s="169"/>
      <c r="K103" s="169"/>
      <c r="L103" s="169"/>
      <c r="M103" s="169"/>
      <c r="N103" s="169"/>
      <c r="O103" s="169"/>
      <c r="P103" s="169"/>
      <c r="Q103" s="169"/>
      <c r="R103" s="169"/>
      <c r="S103" s="169"/>
      <c r="T103" s="169"/>
      <c r="U103" s="169"/>
      <c r="V103" s="169"/>
      <c r="W103" s="169"/>
      <c r="X103" s="169"/>
      <c r="Y103" s="169"/>
      <c r="Z103" s="169"/>
      <c r="AA103" s="169"/>
      <c r="AB103" s="169"/>
      <c r="AC103" s="169"/>
      <c r="AD103" s="169"/>
      <c r="AE103" s="169"/>
      <c r="AF103" s="169"/>
      <c r="AG103" s="169"/>
      <c r="AH103" s="169"/>
      <c r="AI103" s="169"/>
      <c r="AJ103" s="169"/>
      <c r="AK103" s="169"/>
      <c r="AL103" s="169"/>
      <c r="AM103" s="169"/>
      <c r="AN103" s="169"/>
      <c r="AO103" s="169"/>
      <c r="AP103" s="169"/>
    </row>
    <row r="104" spans="3:42" x14ac:dyDescent="0.25">
      <c r="E104" s="32" t="s">
        <v>625</v>
      </c>
      <c r="J104" s="169"/>
      <c r="K104" s="169"/>
      <c r="L104" s="169"/>
      <c r="M104" s="169"/>
      <c r="N104" s="169"/>
      <c r="O104" s="169"/>
      <c r="P104" s="169"/>
      <c r="Q104" s="169"/>
      <c r="R104" s="169"/>
      <c r="S104" s="169"/>
      <c r="T104" s="169"/>
      <c r="U104" s="169"/>
      <c r="V104" s="169"/>
      <c r="W104" s="169"/>
      <c r="X104" s="169"/>
      <c r="Y104" s="169"/>
      <c r="Z104" s="169"/>
      <c r="AA104" s="169"/>
      <c r="AB104" s="169"/>
      <c r="AC104" s="169"/>
      <c r="AD104" s="169"/>
      <c r="AE104" s="169"/>
      <c r="AF104" s="169"/>
      <c r="AG104" s="169"/>
      <c r="AH104" s="169"/>
      <c r="AI104" s="169"/>
      <c r="AJ104" s="169"/>
      <c r="AK104" s="169"/>
      <c r="AL104" s="169"/>
      <c r="AM104" s="169"/>
      <c r="AN104" s="169"/>
      <c r="AO104" s="169"/>
      <c r="AP104" s="169"/>
    </row>
    <row r="105" spans="3:42" x14ac:dyDescent="0.25">
      <c r="C105" s="32"/>
      <c r="E105" s="32"/>
      <c r="F105" s="207" t="s">
        <v>225</v>
      </c>
      <c r="G105" s="64" t="s">
        <v>342</v>
      </c>
      <c r="H105" s="23"/>
      <c r="I105" s="23"/>
      <c r="J105" s="210">
        <f>'Pseudo-load coefficients'!J531</f>
        <v>0</v>
      </c>
      <c r="K105" s="210">
        <f>'Pseudo-load coefficients'!K531</f>
        <v>0</v>
      </c>
      <c r="L105" s="210">
        <f>'Pseudo-load coefficients'!L531</f>
        <v>0</v>
      </c>
      <c r="M105" s="210">
        <f>'Pseudo-load coefficients'!M531</f>
        <v>0</v>
      </c>
      <c r="N105" s="210">
        <f>'Pseudo-load coefficients'!N531</f>
        <v>0</v>
      </c>
      <c r="O105" s="210">
        <f>'Pseudo-load coefficients'!O531</f>
        <v>0</v>
      </c>
      <c r="P105" s="210">
        <f>'Pseudo-load coefficients'!P531</f>
        <v>0</v>
      </c>
      <c r="Q105" s="210">
        <f>'Pseudo-load coefficients'!Q531</f>
        <v>0</v>
      </c>
      <c r="R105" s="210">
        <f>'Pseudo-load coefficients'!R531</f>
        <v>0</v>
      </c>
      <c r="S105" s="210">
        <f>'Pseudo-load coefficients'!S531</f>
        <v>0.47838633364392702</v>
      </c>
      <c r="T105" s="210">
        <f>'Pseudo-load coefficients'!T531</f>
        <v>0.52227672459366681</v>
      </c>
      <c r="U105" s="210">
        <f>'Pseudo-load coefficients'!U531</f>
        <v>0.41465659292023166</v>
      </c>
      <c r="V105" s="210">
        <f>'Pseudo-load coefficients'!V531</f>
        <v>0.41162452295030122</v>
      </c>
      <c r="W105" s="210">
        <f>'Pseudo-load coefficients'!W531</f>
        <v>0.39077899502898689</v>
      </c>
      <c r="X105" s="210">
        <f>'Pseudo-load coefficients'!X531</f>
        <v>0</v>
      </c>
      <c r="Y105" s="210">
        <f>'Pseudo-load coefficients'!Y531</f>
        <v>0</v>
      </c>
      <c r="Z105" s="210">
        <f>'Pseudo-load coefficients'!Z531</f>
        <v>0</v>
      </c>
      <c r="AA105" s="210">
        <f>'Pseudo-load coefficients'!AA531</f>
        <v>0</v>
      </c>
      <c r="AB105" s="210">
        <f>'Pseudo-load coefficients'!AB531</f>
        <v>0.33457705970609664</v>
      </c>
      <c r="AC105" s="210">
        <f>'Pseudo-load coefficients'!AC531</f>
        <v>0</v>
      </c>
      <c r="AD105" s="210">
        <f>'Pseudo-load coefficients'!AD531</f>
        <v>0</v>
      </c>
      <c r="AE105" s="210">
        <f>'Pseudo-load coefficients'!AE531</f>
        <v>0</v>
      </c>
      <c r="AF105" s="210">
        <f>'Pseudo-load coefficients'!AF531</f>
        <v>0</v>
      </c>
      <c r="AG105" s="210">
        <f>'Pseudo-load coefficients'!AG531</f>
        <v>0.34843238184370617</v>
      </c>
      <c r="AH105" s="210">
        <f>'Pseudo-load coefficients'!AH531</f>
        <v>0.34843238184370617</v>
      </c>
      <c r="AI105" s="210">
        <f>'Pseudo-load coefficients'!AI531</f>
        <v>0</v>
      </c>
      <c r="AJ105" s="210">
        <f>'Pseudo-load coefficients'!AJ531</f>
        <v>0</v>
      </c>
      <c r="AK105" s="210">
        <f>'Pseudo-load coefficients'!AK531</f>
        <v>0.34843238184370617</v>
      </c>
      <c r="AL105" s="210">
        <f>'Pseudo-load coefficients'!AL531</f>
        <v>0.34843238184370617</v>
      </c>
      <c r="AM105" s="210">
        <f>'Pseudo-load coefficients'!AM531</f>
        <v>0</v>
      </c>
      <c r="AN105" s="210">
        <f>'Pseudo-load coefficients'!AN531</f>
        <v>0</v>
      </c>
      <c r="AO105" s="210">
        <f>'Pseudo-load coefficients'!AO531</f>
        <v>0.34843238184370617</v>
      </c>
      <c r="AP105" s="210">
        <f>'Pseudo-load coefficients'!AP531</f>
        <v>0.34843238184370617</v>
      </c>
    </row>
    <row r="106" spans="3:42" x14ac:dyDescent="0.25">
      <c r="C106" s="32"/>
      <c r="E106" s="32"/>
      <c r="F106" s="208" t="s">
        <v>227</v>
      </c>
      <c r="G106" s="28" t="s">
        <v>342</v>
      </c>
      <c r="J106" s="211">
        <f>'Pseudo-load coefficients'!J531</f>
        <v>0</v>
      </c>
      <c r="K106" s="211">
        <f>'Pseudo-load coefficients'!K531</f>
        <v>0</v>
      </c>
      <c r="L106" s="211">
        <f>'Pseudo-load coefficients'!L531</f>
        <v>0</v>
      </c>
      <c r="M106" s="211">
        <f>'Pseudo-load coefficients'!M531</f>
        <v>0</v>
      </c>
      <c r="N106" s="211">
        <f>'Pseudo-load coefficients'!N531</f>
        <v>0</v>
      </c>
      <c r="O106" s="211">
        <f>'Pseudo-load coefficients'!O531</f>
        <v>0</v>
      </c>
      <c r="P106" s="211">
        <f>'Pseudo-load coefficients'!P531</f>
        <v>0</v>
      </c>
      <c r="Q106" s="211">
        <f>'Pseudo-load coefficients'!Q531</f>
        <v>0</v>
      </c>
      <c r="R106" s="211">
        <f>'Pseudo-load coefficients'!R531</f>
        <v>0</v>
      </c>
      <c r="S106" s="211">
        <f>'Pseudo-load coefficients'!S531</f>
        <v>0.47838633364392702</v>
      </c>
      <c r="T106" s="211">
        <f>'Pseudo-load coefficients'!T531</f>
        <v>0.52227672459366681</v>
      </c>
      <c r="U106" s="211">
        <f>'Pseudo-load coefficients'!U531</f>
        <v>0.41465659292023166</v>
      </c>
      <c r="V106" s="211">
        <f>'Pseudo-load coefficients'!V531</f>
        <v>0.41162452295030122</v>
      </c>
      <c r="W106" s="211">
        <f>'Pseudo-load coefficients'!W531</f>
        <v>0.39077899502898689</v>
      </c>
      <c r="X106" s="211">
        <f>'Pseudo-load coefficients'!X531</f>
        <v>0</v>
      </c>
      <c r="Y106" s="211">
        <f>'Pseudo-load coefficients'!Y531</f>
        <v>0</v>
      </c>
      <c r="Z106" s="211">
        <f>'Pseudo-load coefficients'!Z531</f>
        <v>0</v>
      </c>
      <c r="AA106" s="211">
        <f>'Pseudo-load coefficients'!AA531</f>
        <v>0</v>
      </c>
      <c r="AB106" s="211">
        <f>'Pseudo-load coefficients'!AB531</f>
        <v>0.33457705970609664</v>
      </c>
      <c r="AC106" s="211">
        <f>'Pseudo-load coefficients'!AC531</f>
        <v>0</v>
      </c>
      <c r="AD106" s="211">
        <f>'Pseudo-load coefficients'!AD531</f>
        <v>0</v>
      </c>
      <c r="AE106" s="211">
        <f>'Pseudo-load coefficients'!AE531</f>
        <v>0</v>
      </c>
      <c r="AF106" s="211">
        <f>'Pseudo-load coefficients'!AF531</f>
        <v>0</v>
      </c>
      <c r="AG106" s="211">
        <f>'Pseudo-load coefficients'!AG531</f>
        <v>0.34843238184370617</v>
      </c>
      <c r="AH106" s="211">
        <f>'Pseudo-load coefficients'!AH531</f>
        <v>0.34843238184370617</v>
      </c>
      <c r="AI106" s="211">
        <f>'Pseudo-load coefficients'!AI531</f>
        <v>0</v>
      </c>
      <c r="AJ106" s="211">
        <f>'Pseudo-load coefficients'!AJ531</f>
        <v>0</v>
      </c>
      <c r="AK106" s="211">
        <f>'Pseudo-load coefficients'!AK531</f>
        <v>0.34843238184370617</v>
      </c>
      <c r="AL106" s="211">
        <f>'Pseudo-load coefficients'!AL531</f>
        <v>0.34843238184370617</v>
      </c>
      <c r="AM106" s="211">
        <f>'Pseudo-load coefficients'!AM531</f>
        <v>0</v>
      </c>
      <c r="AN106" s="211">
        <f>'Pseudo-load coefficients'!AN531</f>
        <v>0</v>
      </c>
      <c r="AO106" s="211">
        <f>'Pseudo-load coefficients'!AO531</f>
        <v>0.34843238184370617</v>
      </c>
      <c r="AP106" s="211">
        <f>'Pseudo-load coefficients'!AP531</f>
        <v>0.34843238184370617</v>
      </c>
    </row>
    <row r="107" spans="3:42" x14ac:dyDescent="0.25">
      <c r="C107" s="32"/>
      <c r="E107" s="32"/>
      <c r="F107" s="208" t="s">
        <v>228</v>
      </c>
      <c r="G107" s="28" t="s">
        <v>342</v>
      </c>
      <c r="J107" s="211">
        <f>'Pseudo-load coefficients'!J532</f>
        <v>0</v>
      </c>
      <c r="K107" s="211">
        <f>'Pseudo-load coefficients'!K532</f>
        <v>0</v>
      </c>
      <c r="L107" s="211">
        <f>'Pseudo-load coefficients'!L532</f>
        <v>0</v>
      </c>
      <c r="M107" s="211">
        <f>'Pseudo-load coefficients'!M532</f>
        <v>0</v>
      </c>
      <c r="N107" s="211">
        <f>'Pseudo-load coefficients'!N532</f>
        <v>0</v>
      </c>
      <c r="O107" s="211">
        <f>'Pseudo-load coefficients'!O532</f>
        <v>0</v>
      </c>
      <c r="P107" s="211">
        <f>'Pseudo-load coefficients'!P532</f>
        <v>0</v>
      </c>
      <c r="Q107" s="211">
        <f>'Pseudo-load coefficients'!Q532</f>
        <v>0</v>
      </c>
      <c r="R107" s="211">
        <f>'Pseudo-load coefficients'!R532</f>
        <v>0</v>
      </c>
      <c r="S107" s="211">
        <f>'Pseudo-load coefficients'!S532</f>
        <v>0</v>
      </c>
      <c r="T107" s="211">
        <f>'Pseudo-load coefficients'!T532</f>
        <v>0</v>
      </c>
      <c r="U107" s="211">
        <f>'Pseudo-load coefficients'!U532</f>
        <v>0</v>
      </c>
      <c r="V107" s="211">
        <f>'Pseudo-load coefficients'!V532</f>
        <v>0</v>
      </c>
      <c r="W107" s="211">
        <f>'Pseudo-load coefficients'!W532</f>
        <v>0</v>
      </c>
      <c r="X107" s="211">
        <f>'Pseudo-load coefficients'!X532</f>
        <v>0</v>
      </c>
      <c r="Y107" s="211">
        <f>'Pseudo-load coefficients'!Y532</f>
        <v>0</v>
      </c>
      <c r="Z107" s="211">
        <f>'Pseudo-load coefficients'!Z532</f>
        <v>0</v>
      </c>
      <c r="AA107" s="211">
        <f>'Pseudo-load coefficients'!AA532</f>
        <v>0</v>
      </c>
      <c r="AB107" s="211">
        <f>'Pseudo-load coefficients'!AB532</f>
        <v>0</v>
      </c>
      <c r="AC107" s="211">
        <f>'Pseudo-load coefficients'!AC532</f>
        <v>0</v>
      </c>
      <c r="AD107" s="211">
        <f>'Pseudo-load coefficients'!AD532</f>
        <v>0</v>
      </c>
      <c r="AE107" s="211">
        <f>'Pseudo-load coefficients'!AE532</f>
        <v>0</v>
      </c>
      <c r="AF107" s="211">
        <f>'Pseudo-load coefficients'!AF532</f>
        <v>0</v>
      </c>
      <c r="AG107" s="211">
        <f>'Pseudo-load coefficients'!AG532</f>
        <v>0</v>
      </c>
      <c r="AH107" s="211">
        <f>'Pseudo-load coefficients'!AH532</f>
        <v>0</v>
      </c>
      <c r="AI107" s="211">
        <f>'Pseudo-load coefficients'!AI532</f>
        <v>0</v>
      </c>
      <c r="AJ107" s="211">
        <f>'Pseudo-load coefficients'!AJ532</f>
        <v>0</v>
      </c>
      <c r="AK107" s="211">
        <f>'Pseudo-load coefficients'!AK532</f>
        <v>0</v>
      </c>
      <c r="AL107" s="211">
        <f>'Pseudo-load coefficients'!AL532</f>
        <v>0</v>
      </c>
      <c r="AM107" s="211">
        <f>'Pseudo-load coefficients'!AM532</f>
        <v>0</v>
      </c>
      <c r="AN107" s="211">
        <f>'Pseudo-load coefficients'!AN532</f>
        <v>0</v>
      </c>
      <c r="AO107" s="211">
        <f>'Pseudo-load coefficients'!AO532</f>
        <v>0</v>
      </c>
      <c r="AP107" s="211">
        <f>'Pseudo-load coefficients'!AP532</f>
        <v>0</v>
      </c>
    </row>
    <row r="108" spans="3:42" x14ac:dyDescent="0.25">
      <c r="C108" s="32"/>
      <c r="E108" s="32"/>
      <c r="F108" s="208" t="s">
        <v>229</v>
      </c>
      <c r="G108" s="28" t="s">
        <v>342</v>
      </c>
      <c r="J108" s="211">
        <f>'Pseudo-load coefficients'!J533</f>
        <v>0</v>
      </c>
      <c r="K108" s="211">
        <f>'Pseudo-load coefficients'!K533</f>
        <v>0</v>
      </c>
      <c r="L108" s="211">
        <f>'Pseudo-load coefficients'!L533</f>
        <v>0</v>
      </c>
      <c r="M108" s="211">
        <f>'Pseudo-load coefficients'!M533</f>
        <v>0</v>
      </c>
      <c r="N108" s="211">
        <f>'Pseudo-load coefficients'!N533</f>
        <v>0</v>
      </c>
      <c r="O108" s="211">
        <f>'Pseudo-load coefficients'!O533</f>
        <v>0</v>
      </c>
      <c r="P108" s="211">
        <f>'Pseudo-load coefficients'!P533</f>
        <v>0</v>
      </c>
      <c r="Q108" s="211">
        <f>'Pseudo-load coefficients'!Q533</f>
        <v>0</v>
      </c>
      <c r="R108" s="211">
        <f>'Pseudo-load coefficients'!R533</f>
        <v>0</v>
      </c>
      <c r="S108" s="211">
        <f>'Pseudo-load coefficients'!S533</f>
        <v>0</v>
      </c>
      <c r="T108" s="211">
        <f>'Pseudo-load coefficients'!T533</f>
        <v>0</v>
      </c>
      <c r="U108" s="211">
        <f>'Pseudo-load coefficients'!U533</f>
        <v>0</v>
      </c>
      <c r="V108" s="211">
        <f>'Pseudo-load coefficients'!V533</f>
        <v>0</v>
      </c>
      <c r="W108" s="211">
        <f>'Pseudo-load coefficients'!W533</f>
        <v>0</v>
      </c>
      <c r="X108" s="211">
        <f>'Pseudo-load coefficients'!X533</f>
        <v>0</v>
      </c>
      <c r="Y108" s="211">
        <f>'Pseudo-load coefficients'!Y533</f>
        <v>0</v>
      </c>
      <c r="Z108" s="211">
        <f>'Pseudo-load coefficients'!Z533</f>
        <v>0</v>
      </c>
      <c r="AA108" s="211">
        <f>'Pseudo-load coefficients'!AA533</f>
        <v>0</v>
      </c>
      <c r="AB108" s="211">
        <f>'Pseudo-load coefficients'!AB533</f>
        <v>0</v>
      </c>
      <c r="AC108" s="211">
        <f>'Pseudo-load coefficients'!AC533</f>
        <v>0</v>
      </c>
      <c r="AD108" s="211">
        <f>'Pseudo-load coefficients'!AD533</f>
        <v>0</v>
      </c>
      <c r="AE108" s="211">
        <f>'Pseudo-load coefficients'!AE533</f>
        <v>0</v>
      </c>
      <c r="AF108" s="211">
        <f>'Pseudo-load coefficients'!AF533</f>
        <v>0</v>
      </c>
      <c r="AG108" s="211">
        <f>'Pseudo-load coefficients'!AG533</f>
        <v>0</v>
      </c>
      <c r="AH108" s="211">
        <f>'Pseudo-load coefficients'!AH533</f>
        <v>0</v>
      </c>
      <c r="AI108" s="211">
        <f>'Pseudo-load coefficients'!AI533</f>
        <v>0</v>
      </c>
      <c r="AJ108" s="211">
        <f>'Pseudo-load coefficients'!AJ533</f>
        <v>0</v>
      </c>
      <c r="AK108" s="211">
        <f>'Pseudo-load coefficients'!AK533</f>
        <v>0</v>
      </c>
      <c r="AL108" s="211">
        <f>'Pseudo-load coefficients'!AL533</f>
        <v>0</v>
      </c>
      <c r="AM108" s="211">
        <f>'Pseudo-load coefficients'!AM533</f>
        <v>0</v>
      </c>
      <c r="AN108" s="211">
        <f>'Pseudo-load coefficients'!AN533</f>
        <v>0</v>
      </c>
      <c r="AO108" s="211">
        <f>'Pseudo-load coefficients'!AO533</f>
        <v>0</v>
      </c>
      <c r="AP108" s="211">
        <f>'Pseudo-load coefficients'!AP533</f>
        <v>0</v>
      </c>
    </row>
    <row r="109" spans="3:42" x14ac:dyDescent="0.25">
      <c r="C109" s="32"/>
      <c r="E109" s="32"/>
      <c r="F109" s="208" t="s">
        <v>230</v>
      </c>
      <c r="G109" s="28" t="s">
        <v>342</v>
      </c>
      <c r="J109" s="211">
        <f>'Pseudo-load coefficients'!J534</f>
        <v>0</v>
      </c>
      <c r="K109" s="211">
        <f>'Pseudo-load coefficients'!K534</f>
        <v>0</v>
      </c>
      <c r="L109" s="211">
        <f>'Pseudo-load coefficients'!L534</f>
        <v>0</v>
      </c>
      <c r="M109" s="211">
        <f>'Pseudo-load coefficients'!M534</f>
        <v>0</v>
      </c>
      <c r="N109" s="211">
        <f>'Pseudo-load coefficients'!N534</f>
        <v>0</v>
      </c>
      <c r="O109" s="211">
        <f>'Pseudo-load coefficients'!O534</f>
        <v>0</v>
      </c>
      <c r="P109" s="211">
        <f>'Pseudo-load coefficients'!P534</f>
        <v>0</v>
      </c>
      <c r="Q109" s="211">
        <f>'Pseudo-load coefficients'!Q534</f>
        <v>0</v>
      </c>
      <c r="R109" s="211">
        <f>'Pseudo-load coefficients'!R534</f>
        <v>0</v>
      </c>
      <c r="S109" s="211">
        <f>'Pseudo-load coefficients'!S534</f>
        <v>0.53382338970359733</v>
      </c>
      <c r="T109" s="211">
        <f>'Pseudo-load coefficients'!T534</f>
        <v>0.58351962138158964</v>
      </c>
      <c r="U109" s="211">
        <f>'Pseudo-load coefficients'!U534</f>
        <v>0.46343972149908247</v>
      </c>
      <c r="V109" s="211">
        <f>'Pseudo-load coefficients'!V534</f>
        <v>0.46005093741504249</v>
      </c>
      <c r="W109" s="211">
        <f>'Pseudo-load coefficients'!W534</f>
        <v>0.43675299444416182</v>
      </c>
      <c r="X109" s="211">
        <f>'Pseudo-load coefficients'!X534</f>
        <v>0</v>
      </c>
      <c r="Y109" s="211">
        <f>'Pseudo-load coefficients'!Y534</f>
        <v>0</v>
      </c>
      <c r="Z109" s="211">
        <f>'Pseudo-load coefficients'!Z534</f>
        <v>0</v>
      </c>
      <c r="AA109" s="211">
        <f>'Pseudo-load coefficients'!AA534</f>
        <v>0</v>
      </c>
      <c r="AB109" s="211">
        <f>'Pseudo-load coefficients'!AB534</f>
        <v>0.37393906673034333</v>
      </c>
      <c r="AC109" s="211">
        <f>'Pseudo-load coefficients'!AC534</f>
        <v>0</v>
      </c>
      <c r="AD109" s="211">
        <f>'Pseudo-load coefficients'!AD534</f>
        <v>0</v>
      </c>
      <c r="AE109" s="211">
        <f>'Pseudo-load coefficients'!AE534</f>
        <v>0</v>
      </c>
      <c r="AF109" s="211">
        <f>'Pseudo-load coefficients'!AF534</f>
        <v>0</v>
      </c>
      <c r="AG109" s="211">
        <f>'Pseudo-load coefficients'!AG534</f>
        <v>0.38942442676649514</v>
      </c>
      <c r="AH109" s="211">
        <f>'Pseudo-load coefficients'!AH534</f>
        <v>0.38942442676649514</v>
      </c>
      <c r="AI109" s="211">
        <f>'Pseudo-load coefficients'!AI534</f>
        <v>0</v>
      </c>
      <c r="AJ109" s="211">
        <f>'Pseudo-load coefficients'!AJ534</f>
        <v>0</v>
      </c>
      <c r="AK109" s="211">
        <f>'Pseudo-load coefficients'!AK534</f>
        <v>0.38942442676649514</v>
      </c>
      <c r="AL109" s="211">
        <f>'Pseudo-load coefficients'!AL534</f>
        <v>0.38942442676649514</v>
      </c>
      <c r="AM109" s="211">
        <f>'Pseudo-load coefficients'!AM534</f>
        <v>0</v>
      </c>
      <c r="AN109" s="211">
        <f>'Pseudo-load coefficients'!AN534</f>
        <v>0</v>
      </c>
      <c r="AO109" s="211">
        <f>'Pseudo-load coefficients'!AO534</f>
        <v>0.38942442676649514</v>
      </c>
      <c r="AP109" s="211">
        <f>'Pseudo-load coefficients'!AP534</f>
        <v>0.38942442676649514</v>
      </c>
    </row>
    <row r="110" spans="3:42" x14ac:dyDescent="0.25">
      <c r="C110" s="32"/>
      <c r="E110" s="32"/>
      <c r="F110" s="208" t="s">
        <v>231</v>
      </c>
      <c r="G110" s="28" t="s">
        <v>342</v>
      </c>
      <c r="J110" s="211">
        <f>'Pseudo-load coefficients'!J535</f>
        <v>0</v>
      </c>
      <c r="K110" s="211">
        <f>'Pseudo-load coefficients'!K535</f>
        <v>0</v>
      </c>
      <c r="L110" s="211">
        <f>'Pseudo-load coefficients'!L535</f>
        <v>0</v>
      </c>
      <c r="M110" s="211">
        <f>'Pseudo-load coefficients'!M535</f>
        <v>0</v>
      </c>
      <c r="N110" s="211">
        <f>'Pseudo-load coefficients'!N535</f>
        <v>0</v>
      </c>
      <c r="O110" s="211">
        <f>'Pseudo-load coefficients'!O535</f>
        <v>0</v>
      </c>
      <c r="P110" s="211">
        <f>'Pseudo-load coefficients'!P535</f>
        <v>0</v>
      </c>
      <c r="Q110" s="211">
        <f>'Pseudo-load coefficients'!Q535</f>
        <v>0</v>
      </c>
      <c r="R110" s="211">
        <f>'Pseudo-load coefficients'!R535</f>
        <v>0</v>
      </c>
      <c r="S110" s="211">
        <f>'Pseudo-load coefficients'!S535</f>
        <v>0.53382338970359733</v>
      </c>
      <c r="T110" s="211">
        <f>'Pseudo-load coefficients'!T535</f>
        <v>0.58351962138158964</v>
      </c>
      <c r="U110" s="211">
        <f>'Pseudo-load coefficients'!U535</f>
        <v>0.46343972149908247</v>
      </c>
      <c r="V110" s="211">
        <f>'Pseudo-load coefficients'!V535</f>
        <v>0.46005093741504249</v>
      </c>
      <c r="W110" s="211">
        <f>'Pseudo-load coefficients'!W535</f>
        <v>0.43675299444416182</v>
      </c>
      <c r="X110" s="211">
        <f>'Pseudo-load coefficients'!X535</f>
        <v>0</v>
      </c>
      <c r="Y110" s="211">
        <f>'Pseudo-load coefficients'!Y535</f>
        <v>0</v>
      </c>
      <c r="Z110" s="211">
        <f>'Pseudo-load coefficients'!Z535</f>
        <v>0</v>
      </c>
      <c r="AA110" s="211">
        <f>'Pseudo-load coefficients'!AA535</f>
        <v>0</v>
      </c>
      <c r="AB110" s="211">
        <f>'Pseudo-load coefficients'!AB535</f>
        <v>0.37393906673034333</v>
      </c>
      <c r="AC110" s="211">
        <f>'Pseudo-load coefficients'!AC535</f>
        <v>0</v>
      </c>
      <c r="AD110" s="211">
        <f>'Pseudo-load coefficients'!AD535</f>
        <v>0</v>
      </c>
      <c r="AE110" s="211">
        <f>'Pseudo-load coefficients'!AE535</f>
        <v>0</v>
      </c>
      <c r="AF110" s="211">
        <f>'Pseudo-load coefficients'!AF535</f>
        <v>0</v>
      </c>
      <c r="AG110" s="211">
        <f>'Pseudo-load coefficients'!AG535</f>
        <v>0.38942442676649514</v>
      </c>
      <c r="AH110" s="211">
        <f>'Pseudo-load coefficients'!AH535</f>
        <v>0.38942442676649514</v>
      </c>
      <c r="AI110" s="211">
        <f>'Pseudo-load coefficients'!AI535</f>
        <v>0</v>
      </c>
      <c r="AJ110" s="211">
        <f>'Pseudo-load coefficients'!AJ535</f>
        <v>0</v>
      </c>
      <c r="AK110" s="211">
        <f>'Pseudo-load coefficients'!AK535</f>
        <v>0.38942442676649514</v>
      </c>
      <c r="AL110" s="211">
        <f>'Pseudo-load coefficients'!AL535</f>
        <v>0.38942442676649514</v>
      </c>
      <c r="AM110" s="211">
        <f>'Pseudo-load coefficients'!AM535</f>
        <v>0</v>
      </c>
      <c r="AN110" s="211">
        <f>'Pseudo-load coefficients'!AN535</f>
        <v>0</v>
      </c>
      <c r="AO110" s="211">
        <f>'Pseudo-load coefficients'!AO535</f>
        <v>0.38942442676649514</v>
      </c>
      <c r="AP110" s="211">
        <f>'Pseudo-load coefficients'!AP535</f>
        <v>0.38942442676649514</v>
      </c>
    </row>
    <row r="111" spans="3:42" x14ac:dyDescent="0.25">
      <c r="C111" s="32"/>
      <c r="E111" s="32"/>
      <c r="F111" s="208" t="s">
        <v>232</v>
      </c>
      <c r="G111" s="28" t="s">
        <v>342</v>
      </c>
      <c r="J111" s="211">
        <f>'Pseudo-load coefficients'!J536</f>
        <v>0</v>
      </c>
      <c r="K111" s="211">
        <f>'Pseudo-load coefficients'!K536</f>
        <v>0</v>
      </c>
      <c r="L111" s="211">
        <f>'Pseudo-load coefficients'!L536</f>
        <v>0</v>
      </c>
      <c r="M111" s="211">
        <f>'Pseudo-load coefficients'!M536</f>
        <v>0</v>
      </c>
      <c r="N111" s="211">
        <f>'Pseudo-load coefficients'!N536</f>
        <v>0</v>
      </c>
      <c r="O111" s="211">
        <f>'Pseudo-load coefficients'!O536</f>
        <v>0</v>
      </c>
      <c r="P111" s="211">
        <f>'Pseudo-load coefficients'!P536</f>
        <v>0</v>
      </c>
      <c r="Q111" s="211">
        <f>'Pseudo-load coefficients'!Q536</f>
        <v>0</v>
      </c>
      <c r="R111" s="211">
        <f>'Pseudo-load coefficients'!R536</f>
        <v>0</v>
      </c>
      <c r="S111" s="211">
        <f>'Pseudo-load coefficients'!S536</f>
        <v>0</v>
      </c>
      <c r="T111" s="211">
        <f>'Pseudo-load coefficients'!T536</f>
        <v>0</v>
      </c>
      <c r="U111" s="211">
        <f>'Pseudo-load coefficients'!U536</f>
        <v>0</v>
      </c>
      <c r="V111" s="211">
        <f>'Pseudo-load coefficients'!V536</f>
        <v>0</v>
      </c>
      <c r="W111" s="211">
        <f>'Pseudo-load coefficients'!W536</f>
        <v>0</v>
      </c>
      <c r="X111" s="211">
        <f>'Pseudo-load coefficients'!X536</f>
        <v>0</v>
      </c>
      <c r="Y111" s="211">
        <f>'Pseudo-load coefficients'!Y536</f>
        <v>0</v>
      </c>
      <c r="Z111" s="211">
        <f>'Pseudo-load coefficients'!Z536</f>
        <v>0</v>
      </c>
      <c r="AA111" s="211">
        <f>'Pseudo-load coefficients'!AA536</f>
        <v>0</v>
      </c>
      <c r="AB111" s="211">
        <f>'Pseudo-load coefficients'!AB536</f>
        <v>0</v>
      </c>
      <c r="AC111" s="211">
        <f>'Pseudo-load coefficients'!AC536</f>
        <v>0</v>
      </c>
      <c r="AD111" s="211">
        <f>'Pseudo-load coefficients'!AD536</f>
        <v>0</v>
      </c>
      <c r="AE111" s="211">
        <f>'Pseudo-load coefficients'!AE536</f>
        <v>0</v>
      </c>
      <c r="AF111" s="211">
        <f>'Pseudo-load coefficients'!AF536</f>
        <v>0</v>
      </c>
      <c r="AG111" s="211">
        <f>'Pseudo-load coefficients'!AG536</f>
        <v>0</v>
      </c>
      <c r="AH111" s="211">
        <f>'Pseudo-load coefficients'!AH536</f>
        <v>0</v>
      </c>
      <c r="AI111" s="211">
        <f>'Pseudo-load coefficients'!AI536</f>
        <v>0</v>
      </c>
      <c r="AJ111" s="211">
        <f>'Pseudo-load coefficients'!AJ536</f>
        <v>0</v>
      </c>
      <c r="AK111" s="211">
        <f>'Pseudo-load coefficients'!AK536</f>
        <v>0</v>
      </c>
      <c r="AL111" s="211">
        <f>'Pseudo-load coefficients'!AL536</f>
        <v>0</v>
      </c>
      <c r="AM111" s="211">
        <f>'Pseudo-load coefficients'!AM536</f>
        <v>0</v>
      </c>
      <c r="AN111" s="211">
        <f>'Pseudo-load coefficients'!AN536</f>
        <v>0</v>
      </c>
      <c r="AO111" s="211">
        <f>'Pseudo-load coefficients'!AO536</f>
        <v>0</v>
      </c>
      <c r="AP111" s="211">
        <f>'Pseudo-load coefficients'!AP536</f>
        <v>0</v>
      </c>
    </row>
    <row r="112" spans="3:42" x14ac:dyDescent="0.25">
      <c r="C112" s="32"/>
      <c r="E112" s="32"/>
      <c r="F112" s="208" t="s">
        <v>233</v>
      </c>
      <c r="G112" s="28" t="s">
        <v>342</v>
      </c>
      <c r="J112" s="211">
        <f>'Pseudo-load coefficients'!J537</f>
        <v>0</v>
      </c>
      <c r="K112" s="211">
        <f>'Pseudo-load coefficients'!K537</f>
        <v>0</v>
      </c>
      <c r="L112" s="211">
        <f>'Pseudo-load coefficients'!L537</f>
        <v>0</v>
      </c>
      <c r="M112" s="211">
        <f>'Pseudo-load coefficients'!M537</f>
        <v>0</v>
      </c>
      <c r="N112" s="211">
        <f>'Pseudo-load coefficients'!N537</f>
        <v>0</v>
      </c>
      <c r="O112" s="211">
        <f>'Pseudo-load coefficients'!O537</f>
        <v>0</v>
      </c>
      <c r="P112" s="211">
        <f>'Pseudo-load coefficients'!P537</f>
        <v>0</v>
      </c>
      <c r="Q112" s="211">
        <f>'Pseudo-load coefficients'!Q537</f>
        <v>0</v>
      </c>
      <c r="R112" s="211">
        <f>'Pseudo-load coefficients'!R537</f>
        <v>0</v>
      </c>
      <c r="S112" s="211">
        <f>'Pseudo-load coefficients'!S537</f>
        <v>0.53382338970359733</v>
      </c>
      <c r="T112" s="211">
        <f>'Pseudo-load coefficients'!T537</f>
        <v>0.58351962138158964</v>
      </c>
      <c r="U112" s="211">
        <f>'Pseudo-load coefficients'!U537</f>
        <v>0.46343972149908247</v>
      </c>
      <c r="V112" s="211">
        <f>'Pseudo-load coefficients'!V537</f>
        <v>0.46005093741504249</v>
      </c>
      <c r="W112" s="211">
        <f>'Pseudo-load coefficients'!W537</f>
        <v>0.43675299444416182</v>
      </c>
      <c r="X112" s="211">
        <f>'Pseudo-load coefficients'!X537</f>
        <v>0</v>
      </c>
      <c r="Y112" s="211">
        <f>'Pseudo-load coefficients'!Y537</f>
        <v>0</v>
      </c>
      <c r="Z112" s="211">
        <f>'Pseudo-load coefficients'!Z537</f>
        <v>0</v>
      </c>
      <c r="AA112" s="211">
        <f>'Pseudo-load coefficients'!AA537</f>
        <v>0</v>
      </c>
      <c r="AB112" s="211">
        <f>'Pseudo-load coefficients'!AB537</f>
        <v>0.37393906673034333</v>
      </c>
      <c r="AC112" s="211">
        <f>'Pseudo-load coefficients'!AC537</f>
        <v>0</v>
      </c>
      <c r="AD112" s="211">
        <f>'Pseudo-load coefficients'!AD537</f>
        <v>0</v>
      </c>
      <c r="AE112" s="211">
        <f>'Pseudo-load coefficients'!AE537</f>
        <v>0</v>
      </c>
      <c r="AF112" s="211">
        <f>'Pseudo-load coefficients'!AF537</f>
        <v>0</v>
      </c>
      <c r="AG112" s="211">
        <f>'Pseudo-load coefficients'!AG537</f>
        <v>0.38942442676649514</v>
      </c>
      <c r="AH112" s="211">
        <f>'Pseudo-load coefficients'!AH537</f>
        <v>0.38942442676649514</v>
      </c>
      <c r="AI112" s="211">
        <f>'Pseudo-load coefficients'!AI537</f>
        <v>0</v>
      </c>
      <c r="AJ112" s="211">
        <f>'Pseudo-load coefficients'!AJ537</f>
        <v>0</v>
      </c>
      <c r="AK112" s="211">
        <f>'Pseudo-load coefficients'!AK537</f>
        <v>0.38942442676649514</v>
      </c>
      <c r="AL112" s="211">
        <f>'Pseudo-load coefficients'!AL537</f>
        <v>0.38942442676649514</v>
      </c>
      <c r="AM112" s="211">
        <f>'Pseudo-load coefficients'!AM537</f>
        <v>0</v>
      </c>
      <c r="AN112" s="211">
        <f>'Pseudo-load coefficients'!AN537</f>
        <v>0</v>
      </c>
      <c r="AO112" s="211">
        <f>'Pseudo-load coefficients'!AO537</f>
        <v>0.38942442676649514</v>
      </c>
      <c r="AP112" s="211">
        <f>'Pseudo-load coefficients'!AP537</f>
        <v>0.38942442676649514</v>
      </c>
    </row>
    <row r="113" spans="2:44" x14ac:dyDescent="0.25">
      <c r="C113" s="32"/>
      <c r="E113" s="32"/>
      <c r="F113" s="208" t="s">
        <v>234</v>
      </c>
      <c r="G113" s="28" t="s">
        <v>342</v>
      </c>
      <c r="J113" s="211">
        <f>'Pseudo-load coefficients'!J538</f>
        <v>0</v>
      </c>
      <c r="K113" s="211">
        <f>'Pseudo-load coefficients'!K538</f>
        <v>0</v>
      </c>
      <c r="L113" s="211">
        <f>'Pseudo-load coefficients'!L538</f>
        <v>0</v>
      </c>
      <c r="M113" s="211">
        <f>'Pseudo-load coefficients'!M538</f>
        <v>0</v>
      </c>
      <c r="N113" s="211">
        <f>'Pseudo-load coefficients'!N538</f>
        <v>0</v>
      </c>
      <c r="O113" s="211">
        <f>'Pseudo-load coefficients'!O538</f>
        <v>0</v>
      </c>
      <c r="P113" s="211">
        <f>'Pseudo-load coefficients'!P538</f>
        <v>0</v>
      </c>
      <c r="Q113" s="211">
        <f>'Pseudo-load coefficients'!Q538</f>
        <v>0</v>
      </c>
      <c r="R113" s="211">
        <f>'Pseudo-load coefficients'!R538</f>
        <v>0</v>
      </c>
      <c r="S113" s="211">
        <f>'Pseudo-load coefficients'!S538</f>
        <v>0.53382338970359733</v>
      </c>
      <c r="T113" s="211">
        <f>'Pseudo-load coefficients'!T538</f>
        <v>0.58351962138158964</v>
      </c>
      <c r="U113" s="211">
        <f>'Pseudo-load coefficients'!U538</f>
        <v>0.46343972149908247</v>
      </c>
      <c r="V113" s="211">
        <f>'Pseudo-load coefficients'!V538</f>
        <v>0.46005093741504249</v>
      </c>
      <c r="W113" s="211">
        <f>'Pseudo-load coefficients'!W538</f>
        <v>0.43675299444416182</v>
      </c>
      <c r="X113" s="211">
        <f>'Pseudo-load coefficients'!X538</f>
        <v>0</v>
      </c>
      <c r="Y113" s="211">
        <f>'Pseudo-load coefficients'!Y538</f>
        <v>0</v>
      </c>
      <c r="Z113" s="211">
        <f>'Pseudo-load coefficients'!Z538</f>
        <v>0</v>
      </c>
      <c r="AA113" s="211">
        <f>'Pseudo-load coefficients'!AA538</f>
        <v>0</v>
      </c>
      <c r="AB113" s="211">
        <f>'Pseudo-load coefficients'!AB538</f>
        <v>0.37393906673034333</v>
      </c>
      <c r="AC113" s="211">
        <f>'Pseudo-load coefficients'!AC538</f>
        <v>0</v>
      </c>
      <c r="AD113" s="211">
        <f>'Pseudo-load coefficients'!AD538</f>
        <v>0</v>
      </c>
      <c r="AE113" s="211">
        <f>'Pseudo-load coefficients'!AE538</f>
        <v>0</v>
      </c>
      <c r="AF113" s="211">
        <f>'Pseudo-load coefficients'!AF538</f>
        <v>0</v>
      </c>
      <c r="AG113" s="211">
        <f>'Pseudo-load coefficients'!AG538</f>
        <v>0.38942442676649514</v>
      </c>
      <c r="AH113" s="211">
        <f>'Pseudo-load coefficients'!AH538</f>
        <v>0.38942442676649514</v>
      </c>
      <c r="AI113" s="211">
        <f>'Pseudo-load coefficients'!AI538</f>
        <v>0</v>
      </c>
      <c r="AJ113" s="211">
        <f>'Pseudo-load coefficients'!AJ538</f>
        <v>0</v>
      </c>
      <c r="AK113" s="211">
        <f>'Pseudo-load coefficients'!AK538</f>
        <v>0.38942442676649514</v>
      </c>
      <c r="AL113" s="211">
        <f>'Pseudo-load coefficients'!AL538</f>
        <v>0.38942442676649514</v>
      </c>
      <c r="AM113" s="211">
        <f>'Pseudo-load coefficients'!AM538</f>
        <v>0</v>
      </c>
      <c r="AN113" s="211">
        <f>'Pseudo-load coefficients'!AN538</f>
        <v>0</v>
      </c>
      <c r="AO113" s="211">
        <f>'Pseudo-load coefficients'!AO538</f>
        <v>0.38942442676649514</v>
      </c>
      <c r="AP113" s="211">
        <f>'Pseudo-load coefficients'!AP538</f>
        <v>0.38942442676649514</v>
      </c>
    </row>
    <row r="114" spans="2:44" x14ac:dyDescent="0.25">
      <c r="C114" s="32"/>
      <c r="E114" s="32"/>
      <c r="F114" s="209" t="s">
        <v>235</v>
      </c>
      <c r="G114" s="67" t="s">
        <v>342</v>
      </c>
      <c r="H114" s="37"/>
      <c r="I114" s="37"/>
      <c r="J114" s="212">
        <f>'Pseudo-load coefficients'!J539</f>
        <v>0</v>
      </c>
      <c r="K114" s="212">
        <f>'Pseudo-load coefficients'!K539</f>
        <v>0</v>
      </c>
      <c r="L114" s="212">
        <f>'Pseudo-load coefficients'!L539</f>
        <v>0</v>
      </c>
      <c r="M114" s="212">
        <f>'Pseudo-load coefficients'!M539</f>
        <v>0</v>
      </c>
      <c r="N114" s="212">
        <f>'Pseudo-load coefficients'!N539</f>
        <v>0</v>
      </c>
      <c r="O114" s="212">
        <f>'Pseudo-load coefficients'!O539</f>
        <v>0</v>
      </c>
      <c r="P114" s="212">
        <f>'Pseudo-load coefficients'!P539</f>
        <v>0</v>
      </c>
      <c r="Q114" s="212">
        <f>'Pseudo-load coefficients'!Q539</f>
        <v>0</v>
      </c>
      <c r="R114" s="212">
        <f>'Pseudo-load coefficients'!R539</f>
        <v>0</v>
      </c>
      <c r="S114" s="212">
        <f>'Pseudo-load coefficients'!S539</f>
        <v>0.53382338970359733</v>
      </c>
      <c r="T114" s="212">
        <f>'Pseudo-load coefficients'!T539</f>
        <v>0.58351962138158964</v>
      </c>
      <c r="U114" s="212">
        <f>'Pseudo-load coefficients'!U539</f>
        <v>0.46343972149908247</v>
      </c>
      <c r="V114" s="212">
        <f>'Pseudo-load coefficients'!V539</f>
        <v>0.46005093741504249</v>
      </c>
      <c r="W114" s="212">
        <f>'Pseudo-load coefficients'!W539</f>
        <v>0.43675299444416182</v>
      </c>
      <c r="X114" s="212">
        <f>'Pseudo-load coefficients'!X539</f>
        <v>0</v>
      </c>
      <c r="Y114" s="212">
        <f>'Pseudo-load coefficients'!Y539</f>
        <v>0</v>
      </c>
      <c r="Z114" s="212">
        <f>'Pseudo-load coefficients'!Z539</f>
        <v>0</v>
      </c>
      <c r="AA114" s="212">
        <f>'Pseudo-load coefficients'!AA539</f>
        <v>0</v>
      </c>
      <c r="AB114" s="212">
        <f>'Pseudo-load coefficients'!AB539</f>
        <v>0.37393906673034333</v>
      </c>
      <c r="AC114" s="212">
        <f>'Pseudo-load coefficients'!AC539</f>
        <v>0</v>
      </c>
      <c r="AD114" s="212">
        <f>'Pseudo-load coefficients'!AD539</f>
        <v>0</v>
      </c>
      <c r="AE114" s="212">
        <f>'Pseudo-load coefficients'!AE539</f>
        <v>0</v>
      </c>
      <c r="AF114" s="212">
        <f>'Pseudo-load coefficients'!AF539</f>
        <v>0</v>
      </c>
      <c r="AG114" s="212">
        <f>'Pseudo-load coefficients'!AG539</f>
        <v>0.38942442676649514</v>
      </c>
      <c r="AH114" s="212">
        <f>'Pseudo-load coefficients'!AH539</f>
        <v>0.38942442676649514</v>
      </c>
      <c r="AI114" s="212">
        <f>'Pseudo-load coefficients'!AI539</f>
        <v>0</v>
      </c>
      <c r="AJ114" s="212">
        <f>'Pseudo-load coefficients'!AJ539</f>
        <v>0</v>
      </c>
      <c r="AK114" s="212">
        <f>'Pseudo-load coefficients'!AK539</f>
        <v>0.38942442676649514</v>
      </c>
      <c r="AL114" s="212">
        <f>'Pseudo-load coefficients'!AL539</f>
        <v>0.38942442676649514</v>
      </c>
      <c r="AM114" s="212">
        <f>'Pseudo-load coefficients'!AM539</f>
        <v>0</v>
      </c>
      <c r="AN114" s="212">
        <f>'Pseudo-load coefficients'!AN539</f>
        <v>0</v>
      </c>
      <c r="AO114" s="212">
        <f>'Pseudo-load coefficients'!AO539</f>
        <v>0.38942442676649514</v>
      </c>
      <c r="AP114" s="212">
        <f>'Pseudo-load coefficients'!AP539</f>
        <v>0.38942442676649514</v>
      </c>
    </row>
    <row r="115" spans="2:44" x14ac:dyDescent="0.25">
      <c r="C115" s="32"/>
      <c r="D115" s="32"/>
      <c r="E115" s="32"/>
      <c r="J115" s="169"/>
      <c r="K115" s="169"/>
      <c r="L115" s="169"/>
      <c r="M115" s="169"/>
      <c r="N115" s="169"/>
      <c r="O115" s="169"/>
      <c r="P115" s="169"/>
      <c r="Q115" s="169"/>
      <c r="R115" s="169"/>
      <c r="S115" s="169"/>
      <c r="T115" s="169"/>
      <c r="U115" s="169"/>
      <c r="V115" s="169"/>
      <c r="W115" s="169"/>
      <c r="X115" s="169"/>
      <c r="Y115" s="169"/>
      <c r="Z115" s="169"/>
      <c r="AA115" s="169"/>
      <c r="AB115" s="169"/>
      <c r="AC115" s="169"/>
      <c r="AD115" s="169"/>
      <c r="AE115" s="169"/>
      <c r="AF115" s="169"/>
      <c r="AG115" s="169"/>
      <c r="AH115" s="169"/>
      <c r="AI115" s="169"/>
      <c r="AJ115" s="169"/>
      <c r="AK115" s="169"/>
      <c r="AL115" s="169"/>
      <c r="AM115" s="169"/>
      <c r="AN115" s="169"/>
      <c r="AO115" s="169"/>
      <c r="AP115" s="169"/>
    </row>
    <row r="116" spans="2:44" x14ac:dyDescent="0.25">
      <c r="B116" s="30" t="s">
        <v>731</v>
      </c>
      <c r="C116" s="30"/>
      <c r="D116" s="30"/>
      <c r="E116" s="30"/>
      <c r="F116" s="30"/>
      <c r="G116" s="30"/>
      <c r="H116" s="30"/>
      <c r="I116" s="30"/>
      <c r="J116" s="201"/>
      <c r="K116" s="201"/>
      <c r="L116" s="201"/>
      <c r="M116" s="201"/>
      <c r="N116" s="201"/>
      <c r="O116" s="201"/>
      <c r="P116" s="201"/>
      <c r="Q116" s="201"/>
      <c r="R116" s="201"/>
      <c r="S116" s="201"/>
      <c r="T116" s="201"/>
      <c r="U116" s="201"/>
      <c r="V116" s="201"/>
      <c r="W116" s="201"/>
      <c r="X116" s="201"/>
      <c r="Y116" s="201"/>
      <c r="Z116" s="201"/>
      <c r="AA116" s="201"/>
      <c r="AB116" s="201"/>
      <c r="AC116" s="201"/>
      <c r="AD116" s="201"/>
      <c r="AE116" s="201"/>
      <c r="AF116" s="201"/>
      <c r="AG116" s="201"/>
      <c r="AH116" s="201"/>
      <c r="AI116" s="201"/>
      <c r="AJ116" s="201"/>
      <c r="AK116" s="201"/>
      <c r="AL116" s="201"/>
      <c r="AM116" s="201"/>
      <c r="AN116" s="201"/>
      <c r="AO116" s="201"/>
      <c r="AP116" s="201"/>
      <c r="AQ116" s="30"/>
      <c r="AR116" s="30"/>
    </row>
    <row r="117" spans="2:44" x14ac:dyDescent="0.25">
      <c r="J117" s="92"/>
      <c r="K117" s="92"/>
      <c r="L117" s="92"/>
      <c r="M117" s="92"/>
      <c r="N117" s="92"/>
      <c r="O117" s="92"/>
      <c r="P117" s="92"/>
      <c r="Q117" s="92"/>
      <c r="R117" s="92"/>
      <c r="S117" s="92"/>
      <c r="T117" s="92"/>
      <c r="U117" s="92"/>
      <c r="V117" s="92"/>
      <c r="W117" s="92"/>
      <c r="X117" s="92"/>
      <c r="Y117" s="92"/>
      <c r="Z117" s="92"/>
      <c r="AA117" s="92"/>
      <c r="AB117" s="92"/>
      <c r="AC117" s="92"/>
      <c r="AD117" s="92"/>
      <c r="AE117" s="92"/>
      <c r="AF117" s="92"/>
      <c r="AG117" s="92"/>
      <c r="AH117" s="92"/>
      <c r="AI117" s="92"/>
      <c r="AJ117" s="92"/>
      <c r="AK117" s="92"/>
      <c r="AL117" s="92"/>
      <c r="AM117" s="92"/>
      <c r="AN117" s="92"/>
      <c r="AO117" s="92"/>
      <c r="AP117" s="92"/>
    </row>
    <row r="118" spans="2:44" x14ac:dyDescent="0.25">
      <c r="C118" s="31" t="str">
        <f ca="1">INDEX('Version control'!$H$34:$H$56,MATCH($A$1,'Version control'!$F$34:$F$56,0),1)&amp;"-B: Yardstick charges"</f>
        <v>Section 109-B: Yardstick charges</v>
      </c>
      <c r="D118" s="31"/>
      <c r="E118" s="31"/>
      <c r="F118" s="31"/>
      <c r="G118" s="31"/>
      <c r="H118" s="31"/>
      <c r="I118" s="31"/>
      <c r="J118" s="215"/>
      <c r="K118" s="215"/>
      <c r="L118" s="215"/>
      <c r="M118" s="215"/>
      <c r="N118" s="215"/>
      <c r="O118" s="215"/>
      <c r="P118" s="215"/>
      <c r="Q118" s="215"/>
      <c r="R118" s="215"/>
      <c r="S118" s="215"/>
      <c r="T118" s="215"/>
      <c r="U118" s="215"/>
      <c r="V118" s="215"/>
      <c r="W118" s="215"/>
      <c r="X118" s="215"/>
      <c r="Y118" s="215"/>
      <c r="Z118" s="215"/>
      <c r="AA118" s="215"/>
      <c r="AB118" s="215"/>
      <c r="AC118" s="215"/>
      <c r="AD118" s="215"/>
      <c r="AE118" s="215"/>
      <c r="AF118" s="215"/>
      <c r="AG118" s="215"/>
      <c r="AH118" s="215"/>
      <c r="AI118" s="215"/>
      <c r="AJ118" s="215"/>
      <c r="AK118" s="215"/>
      <c r="AL118" s="215"/>
      <c r="AM118" s="215"/>
      <c r="AN118" s="215"/>
      <c r="AO118" s="215"/>
      <c r="AP118" s="215"/>
      <c r="AQ118" s="31"/>
      <c r="AR118" s="31"/>
    </row>
    <row r="119" spans="2:44" x14ac:dyDescent="0.25">
      <c r="C119" s="32"/>
      <c r="D119" s="32"/>
      <c r="E119" s="32"/>
      <c r="J119" s="92"/>
      <c r="K119" s="92"/>
      <c r="L119" s="92"/>
      <c r="M119" s="92"/>
      <c r="N119" s="92"/>
      <c r="O119" s="92"/>
      <c r="P119" s="92"/>
      <c r="Q119" s="92"/>
      <c r="R119" s="92"/>
      <c r="S119" s="92"/>
      <c r="T119" s="92"/>
      <c r="U119" s="92"/>
      <c r="V119" s="92"/>
      <c r="W119" s="92"/>
      <c r="X119" s="92"/>
      <c r="Y119" s="92"/>
      <c r="Z119" s="92"/>
      <c r="AA119" s="92"/>
      <c r="AB119" s="92"/>
      <c r="AC119" s="92"/>
      <c r="AD119" s="92"/>
      <c r="AE119" s="92"/>
      <c r="AF119" s="92"/>
      <c r="AG119" s="92"/>
      <c r="AH119" s="92"/>
      <c r="AI119" s="92"/>
      <c r="AJ119" s="92"/>
      <c r="AK119" s="92"/>
      <c r="AL119" s="92"/>
      <c r="AM119" s="92"/>
      <c r="AN119" s="92"/>
      <c r="AO119" s="92"/>
      <c r="AP119" s="92"/>
    </row>
    <row r="120" spans="2:44" x14ac:dyDescent="0.25">
      <c r="D120" s="29" t="s">
        <v>732</v>
      </c>
      <c r="E120" s="32"/>
      <c r="F120" s="32"/>
      <c r="J120" s="169"/>
      <c r="K120" s="169"/>
      <c r="L120" s="169"/>
      <c r="M120" s="169"/>
      <c r="N120" s="169"/>
      <c r="O120" s="169"/>
      <c r="P120" s="169"/>
      <c r="Q120" s="169"/>
      <c r="R120" s="169"/>
      <c r="S120" s="169"/>
      <c r="T120" s="169"/>
      <c r="U120" s="169"/>
      <c r="V120" s="169"/>
      <c r="W120" s="169"/>
      <c r="X120" s="169"/>
      <c r="Y120" s="169"/>
      <c r="Z120" s="169"/>
      <c r="AA120" s="169"/>
      <c r="AB120" s="169"/>
      <c r="AC120" s="169"/>
      <c r="AD120" s="169"/>
      <c r="AE120" s="169"/>
      <c r="AF120" s="169"/>
      <c r="AG120" s="169"/>
      <c r="AH120" s="169"/>
      <c r="AI120" s="169"/>
      <c r="AJ120" s="169"/>
      <c r="AK120" s="169"/>
      <c r="AL120" s="169"/>
      <c r="AM120" s="169"/>
      <c r="AN120" s="169"/>
      <c r="AO120" s="169"/>
      <c r="AP120" s="169"/>
    </row>
    <row r="121" spans="2:44" x14ac:dyDescent="0.25">
      <c r="D121" s="32"/>
      <c r="E121" s="32"/>
      <c r="F121" s="32"/>
      <c r="I121" s="3" t="s">
        <v>190</v>
      </c>
      <c r="J121" s="169"/>
      <c r="K121" s="169"/>
      <c r="L121" s="169"/>
      <c r="M121" s="169"/>
      <c r="N121" s="169"/>
      <c r="O121" s="169"/>
      <c r="P121" s="169"/>
      <c r="Q121" s="169"/>
      <c r="R121" s="169"/>
      <c r="S121" s="169"/>
      <c r="T121" s="169"/>
      <c r="U121" s="169"/>
      <c r="V121" s="169"/>
      <c r="W121" s="169"/>
      <c r="X121" s="169"/>
      <c r="Y121" s="169"/>
      <c r="Z121" s="169"/>
      <c r="AA121" s="169"/>
      <c r="AB121" s="169"/>
      <c r="AC121" s="169"/>
      <c r="AD121" s="169"/>
      <c r="AE121" s="169"/>
      <c r="AF121" s="169"/>
      <c r="AG121" s="169"/>
      <c r="AH121" s="169"/>
      <c r="AI121" s="169"/>
      <c r="AJ121" s="169"/>
      <c r="AK121" s="169"/>
      <c r="AL121" s="169"/>
      <c r="AM121" s="169"/>
      <c r="AN121" s="169"/>
      <c r="AO121" s="169"/>
      <c r="AP121" s="169"/>
      <c r="AR121" t="s">
        <v>727</v>
      </c>
    </row>
    <row r="122" spans="2:44" x14ac:dyDescent="0.25">
      <c r="E122" s="32" t="s">
        <v>733</v>
      </c>
      <c r="J122" s="92"/>
      <c r="K122" s="92"/>
      <c r="L122" s="92"/>
      <c r="M122" s="92"/>
      <c r="N122" s="92"/>
      <c r="O122" s="92"/>
      <c r="P122" s="92"/>
      <c r="Q122" s="92"/>
      <c r="R122" s="92"/>
      <c r="S122" s="92"/>
      <c r="T122" s="92"/>
      <c r="U122" s="92"/>
      <c r="V122" s="92"/>
      <c r="W122" s="92"/>
      <c r="X122" s="92"/>
      <c r="Y122" s="92"/>
      <c r="Z122" s="92"/>
      <c r="AA122" s="92"/>
      <c r="AB122" s="92"/>
      <c r="AC122" s="92"/>
      <c r="AD122" s="92"/>
      <c r="AE122" s="92"/>
      <c r="AF122" s="92"/>
      <c r="AG122" s="92"/>
      <c r="AH122" s="92"/>
      <c r="AI122" s="92"/>
      <c r="AJ122" s="92"/>
      <c r="AK122" s="92"/>
      <c r="AL122" s="92"/>
      <c r="AM122" s="92"/>
      <c r="AN122" s="92"/>
      <c r="AO122" s="92"/>
      <c r="AP122" s="92"/>
    </row>
    <row r="123" spans="2:44" x14ac:dyDescent="0.25">
      <c r="E123" s="32"/>
      <c r="F123" s="207" t="s">
        <v>225</v>
      </c>
      <c r="G123" s="23" t="s">
        <v>327</v>
      </c>
      <c r="H123" s="302"/>
      <c r="I123" s="302"/>
      <c r="J123" s="314">
        <f t="shared" ref="J123:AP123" si="0">hundred * $H18 * J55 / $H43 * J$78 * (1 - J67) / hours_in_year</f>
        <v>0</v>
      </c>
      <c r="K123" s="314">
        <f t="shared" si="0"/>
        <v>0</v>
      </c>
      <c r="L123" s="314">
        <f t="shared" si="0"/>
        <v>0</v>
      </c>
      <c r="M123" s="314">
        <f t="shared" si="0"/>
        <v>0</v>
      </c>
      <c r="N123" s="314">
        <f t="shared" si="0"/>
        <v>0</v>
      </c>
      <c r="O123" s="314">
        <f t="shared" si="0"/>
        <v>0</v>
      </c>
      <c r="P123" s="314">
        <f t="shared" si="0"/>
        <v>0</v>
      </c>
      <c r="Q123" s="314">
        <f t="shared" si="0"/>
        <v>0</v>
      </c>
      <c r="R123" s="314">
        <f t="shared" si="0"/>
        <v>0</v>
      </c>
      <c r="S123" s="314">
        <f t="shared" si="0"/>
        <v>0</v>
      </c>
      <c r="T123" s="314">
        <f t="shared" si="0"/>
        <v>0</v>
      </c>
      <c r="U123" s="314">
        <f t="shared" si="0"/>
        <v>0</v>
      </c>
      <c r="V123" s="314">
        <f t="shared" si="0"/>
        <v>0</v>
      </c>
      <c r="W123" s="314">
        <f t="shared" si="0"/>
        <v>0</v>
      </c>
      <c r="X123" s="314">
        <f t="shared" si="0"/>
        <v>0</v>
      </c>
      <c r="Y123" s="314">
        <f t="shared" si="0"/>
        <v>0</v>
      </c>
      <c r="Z123" s="314">
        <f t="shared" si="0"/>
        <v>0</v>
      </c>
      <c r="AA123" s="314">
        <f t="shared" si="0"/>
        <v>0</v>
      </c>
      <c r="AB123" s="314">
        <f t="shared" si="0"/>
        <v>0</v>
      </c>
      <c r="AC123" s="314">
        <f t="shared" si="0"/>
        <v>0</v>
      </c>
      <c r="AD123" s="314">
        <f t="shared" si="0"/>
        <v>0</v>
      </c>
      <c r="AE123" s="314">
        <f t="shared" si="0"/>
        <v>0</v>
      </c>
      <c r="AF123" s="314">
        <f t="shared" si="0"/>
        <v>0</v>
      </c>
      <c r="AG123" s="314">
        <f t="shared" si="0"/>
        <v>0</v>
      </c>
      <c r="AH123" s="314">
        <f t="shared" si="0"/>
        <v>0</v>
      </c>
      <c r="AI123" s="314">
        <f t="shared" si="0"/>
        <v>0</v>
      </c>
      <c r="AJ123" s="314">
        <f t="shared" si="0"/>
        <v>0</v>
      </c>
      <c r="AK123" s="314">
        <f t="shared" si="0"/>
        <v>0</v>
      </c>
      <c r="AL123" s="314">
        <f t="shared" si="0"/>
        <v>0</v>
      </c>
      <c r="AM123" s="314">
        <f t="shared" si="0"/>
        <v>0</v>
      </c>
      <c r="AN123" s="314">
        <f t="shared" si="0"/>
        <v>0</v>
      </c>
      <c r="AO123" s="314">
        <f t="shared" si="0"/>
        <v>0</v>
      </c>
      <c r="AP123" s="314">
        <f t="shared" si="0"/>
        <v>0</v>
      </c>
      <c r="AQ123" s="304"/>
      <c r="AR123" s="304"/>
    </row>
    <row r="124" spans="2:44" x14ac:dyDescent="0.25">
      <c r="E124" s="32"/>
      <c r="F124" s="208" t="s">
        <v>227</v>
      </c>
      <c r="G124" t="s">
        <v>327</v>
      </c>
      <c r="H124" s="304"/>
      <c r="I124" s="304"/>
      <c r="J124" s="315">
        <f t="shared" ref="J124:AP124" si="1">hundred * $H19 * J56 / $H44 * J$78 * (1 - J68) / hours_in_year</f>
        <v>0</v>
      </c>
      <c r="K124" s="315">
        <f t="shared" si="1"/>
        <v>0</v>
      </c>
      <c r="L124" s="315">
        <f t="shared" si="1"/>
        <v>0</v>
      </c>
      <c r="M124" s="315">
        <f t="shared" si="1"/>
        <v>0</v>
      </c>
      <c r="N124" s="315">
        <f t="shared" si="1"/>
        <v>0</v>
      </c>
      <c r="O124" s="315">
        <f t="shared" si="1"/>
        <v>0</v>
      </c>
      <c r="P124" s="315">
        <f t="shared" si="1"/>
        <v>0</v>
      </c>
      <c r="Q124" s="315">
        <f t="shared" si="1"/>
        <v>0</v>
      </c>
      <c r="R124" s="315">
        <f t="shared" si="1"/>
        <v>0</v>
      </c>
      <c r="S124" s="315">
        <f t="shared" si="1"/>
        <v>0</v>
      </c>
      <c r="T124" s="315">
        <f t="shared" si="1"/>
        <v>0</v>
      </c>
      <c r="U124" s="315">
        <f t="shared" si="1"/>
        <v>0</v>
      </c>
      <c r="V124" s="315">
        <f t="shared" si="1"/>
        <v>0</v>
      </c>
      <c r="W124" s="315">
        <f t="shared" si="1"/>
        <v>0</v>
      </c>
      <c r="X124" s="315">
        <f t="shared" si="1"/>
        <v>0</v>
      </c>
      <c r="Y124" s="315">
        <f t="shared" si="1"/>
        <v>0</v>
      </c>
      <c r="Z124" s="315">
        <f t="shared" si="1"/>
        <v>0</v>
      </c>
      <c r="AA124" s="315">
        <f t="shared" si="1"/>
        <v>0</v>
      </c>
      <c r="AB124" s="315">
        <f t="shared" si="1"/>
        <v>0</v>
      </c>
      <c r="AC124" s="315">
        <f t="shared" si="1"/>
        <v>0</v>
      </c>
      <c r="AD124" s="315">
        <f t="shared" si="1"/>
        <v>0</v>
      </c>
      <c r="AE124" s="315">
        <f t="shared" si="1"/>
        <v>0</v>
      </c>
      <c r="AF124" s="315">
        <f t="shared" si="1"/>
        <v>0</v>
      </c>
      <c r="AG124" s="315">
        <f t="shared" si="1"/>
        <v>0</v>
      </c>
      <c r="AH124" s="315">
        <f t="shared" si="1"/>
        <v>0</v>
      </c>
      <c r="AI124" s="315">
        <f t="shared" si="1"/>
        <v>0</v>
      </c>
      <c r="AJ124" s="315">
        <f t="shared" si="1"/>
        <v>0</v>
      </c>
      <c r="AK124" s="315">
        <f t="shared" si="1"/>
        <v>0</v>
      </c>
      <c r="AL124" s="315">
        <f t="shared" si="1"/>
        <v>0</v>
      </c>
      <c r="AM124" s="315">
        <f t="shared" si="1"/>
        <v>0</v>
      </c>
      <c r="AN124" s="315">
        <f t="shared" si="1"/>
        <v>0</v>
      </c>
      <c r="AO124" s="315">
        <f t="shared" si="1"/>
        <v>0</v>
      </c>
      <c r="AP124" s="315">
        <f t="shared" si="1"/>
        <v>0</v>
      </c>
      <c r="AQ124" s="304"/>
      <c r="AR124" s="304"/>
    </row>
    <row r="125" spans="2:44" x14ac:dyDescent="0.25">
      <c r="E125" s="32"/>
      <c r="F125" s="208" t="s">
        <v>228</v>
      </c>
      <c r="G125" t="s">
        <v>327</v>
      </c>
      <c r="H125" s="304"/>
      <c r="I125" s="304"/>
      <c r="J125" s="315">
        <f t="shared" ref="J125:AP125" si="2">hundred * $H20 * J57 / $H45 * J$78 * (1 - J69) / hours_in_year</f>
        <v>0</v>
      </c>
      <c r="K125" s="315">
        <f t="shared" si="2"/>
        <v>0</v>
      </c>
      <c r="L125" s="315">
        <f t="shared" si="2"/>
        <v>0</v>
      </c>
      <c r="M125" s="315">
        <f t="shared" si="2"/>
        <v>0</v>
      </c>
      <c r="N125" s="315">
        <f t="shared" si="2"/>
        <v>0</v>
      </c>
      <c r="O125" s="315">
        <f t="shared" si="2"/>
        <v>0</v>
      </c>
      <c r="P125" s="315">
        <f t="shared" si="2"/>
        <v>0</v>
      </c>
      <c r="Q125" s="315">
        <f t="shared" si="2"/>
        <v>0</v>
      </c>
      <c r="R125" s="315">
        <f t="shared" si="2"/>
        <v>0</v>
      </c>
      <c r="S125" s="315">
        <f t="shared" si="2"/>
        <v>0</v>
      </c>
      <c r="T125" s="315">
        <f t="shared" si="2"/>
        <v>0</v>
      </c>
      <c r="U125" s="315">
        <f t="shared" si="2"/>
        <v>0</v>
      </c>
      <c r="V125" s="315">
        <f t="shared" si="2"/>
        <v>0</v>
      </c>
      <c r="W125" s="315">
        <f t="shared" si="2"/>
        <v>0</v>
      </c>
      <c r="X125" s="315">
        <f t="shared" si="2"/>
        <v>0</v>
      </c>
      <c r="Y125" s="315">
        <f t="shared" si="2"/>
        <v>0</v>
      </c>
      <c r="Z125" s="315">
        <f t="shared" si="2"/>
        <v>0</v>
      </c>
      <c r="AA125" s="315">
        <f t="shared" si="2"/>
        <v>0</v>
      </c>
      <c r="AB125" s="315">
        <f t="shared" si="2"/>
        <v>0</v>
      </c>
      <c r="AC125" s="315">
        <f t="shared" si="2"/>
        <v>0</v>
      </c>
      <c r="AD125" s="315">
        <f t="shared" si="2"/>
        <v>0</v>
      </c>
      <c r="AE125" s="315">
        <f t="shared" si="2"/>
        <v>0</v>
      </c>
      <c r="AF125" s="315">
        <f t="shared" si="2"/>
        <v>0</v>
      </c>
      <c r="AG125" s="315">
        <f t="shared" si="2"/>
        <v>0</v>
      </c>
      <c r="AH125" s="315">
        <f t="shared" si="2"/>
        <v>0</v>
      </c>
      <c r="AI125" s="315">
        <f t="shared" si="2"/>
        <v>0</v>
      </c>
      <c r="AJ125" s="315">
        <f t="shared" si="2"/>
        <v>0</v>
      </c>
      <c r="AK125" s="315">
        <f t="shared" si="2"/>
        <v>0</v>
      </c>
      <c r="AL125" s="315">
        <f t="shared" si="2"/>
        <v>0</v>
      </c>
      <c r="AM125" s="315">
        <f t="shared" si="2"/>
        <v>0</v>
      </c>
      <c r="AN125" s="315">
        <f t="shared" si="2"/>
        <v>0</v>
      </c>
      <c r="AO125" s="315">
        <f t="shared" si="2"/>
        <v>0</v>
      </c>
      <c r="AP125" s="315">
        <f t="shared" si="2"/>
        <v>0</v>
      </c>
      <c r="AQ125" s="304"/>
      <c r="AR125" s="304"/>
    </row>
    <row r="126" spans="2:44" x14ac:dyDescent="0.25">
      <c r="E126" s="32"/>
      <c r="F126" s="208" t="s">
        <v>229</v>
      </c>
      <c r="G126" t="s">
        <v>327</v>
      </c>
      <c r="H126" s="304"/>
      <c r="I126" s="304"/>
      <c r="J126" s="315">
        <f t="shared" ref="J126:AP126" si="3">hundred * $H21 * J58 / $H46 * J$78 * (1 - J70) / hours_in_year</f>
        <v>0</v>
      </c>
      <c r="K126" s="315">
        <f t="shared" si="3"/>
        <v>0</v>
      </c>
      <c r="L126" s="315">
        <f t="shared" si="3"/>
        <v>0</v>
      </c>
      <c r="M126" s="315">
        <f t="shared" si="3"/>
        <v>0</v>
      </c>
      <c r="N126" s="315">
        <f t="shared" si="3"/>
        <v>0</v>
      </c>
      <c r="O126" s="315">
        <f t="shared" si="3"/>
        <v>0</v>
      </c>
      <c r="P126" s="315">
        <f t="shared" si="3"/>
        <v>0</v>
      </c>
      <c r="Q126" s="315">
        <f t="shared" si="3"/>
        <v>0</v>
      </c>
      <c r="R126" s="315">
        <f t="shared" si="3"/>
        <v>0</v>
      </c>
      <c r="S126" s="315">
        <f t="shared" si="3"/>
        <v>0</v>
      </c>
      <c r="T126" s="315">
        <f t="shared" si="3"/>
        <v>0</v>
      </c>
      <c r="U126" s="315">
        <f t="shared" si="3"/>
        <v>0</v>
      </c>
      <c r="V126" s="315">
        <f t="shared" si="3"/>
        <v>0</v>
      </c>
      <c r="W126" s="315">
        <f t="shared" si="3"/>
        <v>0</v>
      </c>
      <c r="X126" s="315">
        <f t="shared" si="3"/>
        <v>0</v>
      </c>
      <c r="Y126" s="315">
        <f t="shared" si="3"/>
        <v>0</v>
      </c>
      <c r="Z126" s="315">
        <f t="shared" si="3"/>
        <v>0</v>
      </c>
      <c r="AA126" s="315">
        <f t="shared" si="3"/>
        <v>0</v>
      </c>
      <c r="AB126" s="315">
        <f t="shared" si="3"/>
        <v>0</v>
      </c>
      <c r="AC126" s="315">
        <f t="shared" si="3"/>
        <v>0</v>
      </c>
      <c r="AD126" s="315">
        <f t="shared" si="3"/>
        <v>0</v>
      </c>
      <c r="AE126" s="315">
        <f t="shared" si="3"/>
        <v>0</v>
      </c>
      <c r="AF126" s="315">
        <f t="shared" si="3"/>
        <v>0</v>
      </c>
      <c r="AG126" s="315">
        <f t="shared" si="3"/>
        <v>0</v>
      </c>
      <c r="AH126" s="315">
        <f t="shared" si="3"/>
        <v>0</v>
      </c>
      <c r="AI126" s="315">
        <f t="shared" si="3"/>
        <v>0</v>
      </c>
      <c r="AJ126" s="315">
        <f t="shared" si="3"/>
        <v>0</v>
      </c>
      <c r="AK126" s="315">
        <f t="shared" si="3"/>
        <v>0</v>
      </c>
      <c r="AL126" s="315">
        <f t="shared" si="3"/>
        <v>0</v>
      </c>
      <c r="AM126" s="315">
        <f t="shared" si="3"/>
        <v>0</v>
      </c>
      <c r="AN126" s="315">
        <f t="shared" si="3"/>
        <v>0</v>
      </c>
      <c r="AO126" s="315">
        <f t="shared" si="3"/>
        <v>0</v>
      </c>
      <c r="AP126" s="315">
        <f t="shared" si="3"/>
        <v>0</v>
      </c>
      <c r="AQ126" s="304"/>
      <c r="AR126" s="304"/>
    </row>
    <row r="127" spans="2:44" x14ac:dyDescent="0.25">
      <c r="E127" s="32"/>
      <c r="F127" s="208" t="s">
        <v>230</v>
      </c>
      <c r="G127" t="s">
        <v>327</v>
      </c>
      <c r="H127" s="304"/>
      <c r="I127" s="304"/>
      <c r="J127" s="315">
        <f t="shared" ref="J127:AP127" si="4">hundred * $H22 * J59 / $H47 * J$78 * (1 - J71) / hours_in_year</f>
        <v>0.20939536460938335</v>
      </c>
      <c r="K127" s="315">
        <f t="shared" si="4"/>
        <v>0.1530821296810328</v>
      </c>
      <c r="L127" s="315">
        <f t="shared" si="4"/>
        <v>0</v>
      </c>
      <c r="M127" s="315">
        <f t="shared" si="4"/>
        <v>0.19127009843912832</v>
      </c>
      <c r="N127" s="315">
        <f t="shared" si="4"/>
        <v>0.15243667743260444</v>
      </c>
      <c r="O127" s="315">
        <f t="shared" si="4"/>
        <v>0</v>
      </c>
      <c r="P127" s="315">
        <f t="shared" si="4"/>
        <v>0.15154527879242385</v>
      </c>
      <c r="Q127" s="315">
        <f t="shared" si="4"/>
        <v>0.14695721071889173</v>
      </c>
      <c r="R127" s="315">
        <f t="shared" si="4"/>
        <v>0.14417730578628996</v>
      </c>
      <c r="S127" s="315">
        <f t="shared" si="4"/>
        <v>0.20774870471631307</v>
      </c>
      <c r="T127" s="315">
        <f t="shared" si="4"/>
        <v>0.16846066966542211</v>
      </c>
      <c r="U127" s="315">
        <f t="shared" si="4"/>
        <v>0.14797536822018334</v>
      </c>
      <c r="V127" s="315">
        <f t="shared" si="4"/>
        <v>0.12381094679772803</v>
      </c>
      <c r="W127" s="315">
        <f t="shared" si="4"/>
        <v>0.12053386981950025</v>
      </c>
      <c r="X127" s="315">
        <f t="shared" si="4"/>
        <v>0.10572920238485511</v>
      </c>
      <c r="Y127" s="315">
        <f t="shared" si="4"/>
        <v>0.19828637359147738</v>
      </c>
      <c r="Z127" s="315">
        <f t="shared" si="4"/>
        <v>0.36693731595003326</v>
      </c>
      <c r="AA127" s="315">
        <f t="shared" si="4"/>
        <v>3.0299074640105523E-2</v>
      </c>
      <c r="AB127" s="315">
        <f t="shared" si="4"/>
        <v>0.18999901228553098</v>
      </c>
      <c r="AC127" s="315">
        <f t="shared" si="4"/>
        <v>-0.10571714383350229</v>
      </c>
      <c r="AD127" s="315">
        <f t="shared" si="4"/>
        <v>-0.10251653305689165</v>
      </c>
      <c r="AE127" s="315">
        <f t="shared" si="4"/>
        <v>-0.10571714383350229</v>
      </c>
      <c r="AF127" s="315">
        <f t="shared" si="4"/>
        <v>-0.10571714383350229</v>
      </c>
      <c r="AG127" s="315">
        <f t="shared" si="4"/>
        <v>-0.10571714383350229</v>
      </c>
      <c r="AH127" s="315">
        <f t="shared" si="4"/>
        <v>-0.10571714383350229</v>
      </c>
      <c r="AI127" s="315">
        <f t="shared" si="4"/>
        <v>-0.10251653305689165</v>
      </c>
      <c r="AJ127" s="315">
        <f t="shared" si="4"/>
        <v>-0.10251653305689165</v>
      </c>
      <c r="AK127" s="315">
        <f t="shared" si="4"/>
        <v>-0.10251653305689165</v>
      </c>
      <c r="AL127" s="315">
        <f t="shared" si="4"/>
        <v>-0.10251653305689165</v>
      </c>
      <c r="AM127" s="315">
        <f t="shared" si="4"/>
        <v>-9.9850951993363149E-2</v>
      </c>
      <c r="AN127" s="315">
        <f t="shared" si="4"/>
        <v>-9.9850951993363149E-2</v>
      </c>
      <c r="AO127" s="315">
        <f t="shared" si="4"/>
        <v>-9.9850951993363149E-2</v>
      </c>
      <c r="AP127" s="315">
        <f t="shared" si="4"/>
        <v>-9.9850951993363149E-2</v>
      </c>
      <c r="AQ127" s="304"/>
      <c r="AR127" s="304"/>
    </row>
    <row r="128" spans="2:44" x14ac:dyDescent="0.25">
      <c r="E128" s="32"/>
      <c r="F128" s="208" t="s">
        <v>231</v>
      </c>
      <c r="G128" t="s">
        <v>327</v>
      </c>
      <c r="H128" s="304"/>
      <c r="I128" s="304"/>
      <c r="J128" s="315">
        <f t="shared" ref="J128:AP128" si="5">hundred * $H23 * J60 / $H48 * J$78 * (1 - J72) / hours_in_year</f>
        <v>0.18989341432826556</v>
      </c>
      <c r="K128" s="315">
        <f t="shared" si="5"/>
        <v>0.13882488913735486</v>
      </c>
      <c r="L128" s="315">
        <f t="shared" si="5"/>
        <v>0</v>
      </c>
      <c r="M128" s="315">
        <f t="shared" si="5"/>
        <v>0.17345623729190199</v>
      </c>
      <c r="N128" s="315">
        <f t="shared" si="5"/>
        <v>0.13823955081590464</v>
      </c>
      <c r="O128" s="315">
        <f t="shared" si="5"/>
        <v>0</v>
      </c>
      <c r="P128" s="315">
        <f t="shared" si="5"/>
        <v>0.13743117221770962</v>
      </c>
      <c r="Q128" s="315">
        <f t="shared" si="5"/>
        <v>0.13327041195790737</v>
      </c>
      <c r="R128" s="315">
        <f t="shared" si="5"/>
        <v>0.13099638027521904</v>
      </c>
      <c r="S128" s="315">
        <f t="shared" si="5"/>
        <v>0.18840011542016491</v>
      </c>
      <c r="T128" s="315">
        <f t="shared" si="5"/>
        <v>0.15277115518993481</v>
      </c>
      <c r="U128" s="315">
        <f t="shared" si="5"/>
        <v>0.13419374378335094</v>
      </c>
      <c r="V128" s="315">
        <f t="shared" si="5"/>
        <v>0.11227986570998935</v>
      </c>
      <c r="W128" s="315">
        <f t="shared" si="5"/>
        <v>0.1095144659612612</v>
      </c>
      <c r="X128" s="315">
        <f t="shared" si="5"/>
        <v>9.5882157050216951E-2</v>
      </c>
      <c r="Y128" s="315">
        <f t="shared" si="5"/>
        <v>0.17981905457313241</v>
      </c>
      <c r="Z128" s="315">
        <f t="shared" si="5"/>
        <v>0.33276276148798251</v>
      </c>
      <c r="AA128" s="315">
        <f t="shared" si="5"/>
        <v>2.7477182912475865E-2</v>
      </c>
      <c r="AB128" s="315">
        <f t="shared" si="5"/>
        <v>0.17230353321909578</v>
      </c>
      <c r="AC128" s="315">
        <f t="shared" si="5"/>
        <v>-9.5871221567034162E-2</v>
      </c>
      <c r="AD128" s="315">
        <f t="shared" si="5"/>
        <v>-9.2968698345279904E-2</v>
      </c>
      <c r="AE128" s="315">
        <f t="shared" si="5"/>
        <v>-9.5871221567034162E-2</v>
      </c>
      <c r="AF128" s="315">
        <f t="shared" si="5"/>
        <v>-9.5871221567034162E-2</v>
      </c>
      <c r="AG128" s="315">
        <f t="shared" si="5"/>
        <v>-9.5871221567034162E-2</v>
      </c>
      <c r="AH128" s="315">
        <f t="shared" si="5"/>
        <v>-9.5871221567034162E-2</v>
      </c>
      <c r="AI128" s="315">
        <f t="shared" si="5"/>
        <v>-9.2968698345279904E-2</v>
      </c>
      <c r="AJ128" s="315">
        <f t="shared" si="5"/>
        <v>-9.2968698345279904E-2</v>
      </c>
      <c r="AK128" s="315">
        <f t="shared" si="5"/>
        <v>-9.2968698345279904E-2</v>
      </c>
      <c r="AL128" s="315">
        <f t="shared" si="5"/>
        <v>-9.2968698345279904E-2</v>
      </c>
      <c r="AM128" s="315">
        <f t="shared" si="5"/>
        <v>-9.0722414369106955E-2</v>
      </c>
      <c r="AN128" s="315">
        <f t="shared" si="5"/>
        <v>-9.0722414369106955E-2</v>
      </c>
      <c r="AO128" s="315">
        <f t="shared" si="5"/>
        <v>-9.0722414369106955E-2</v>
      </c>
      <c r="AP128" s="315">
        <f t="shared" si="5"/>
        <v>-9.0722414369106955E-2</v>
      </c>
      <c r="AQ128" s="304"/>
      <c r="AR128" s="304"/>
    </row>
    <row r="129" spans="4:44" x14ac:dyDescent="0.25">
      <c r="E129" s="32"/>
      <c r="F129" s="208" t="s">
        <v>232</v>
      </c>
      <c r="G129" t="s">
        <v>327</v>
      </c>
      <c r="H129" s="304"/>
      <c r="I129" s="304"/>
      <c r="J129" s="315">
        <f t="shared" ref="J129:AP129" si="6">hundred * $H24 * J61 / $H49 * J$78 * (1 - J73) / hours_in_year</f>
        <v>0</v>
      </c>
      <c r="K129" s="315">
        <f t="shared" si="6"/>
        <v>0</v>
      </c>
      <c r="L129" s="315">
        <f t="shared" si="6"/>
        <v>0</v>
      </c>
      <c r="M129" s="315">
        <f t="shared" si="6"/>
        <v>0</v>
      </c>
      <c r="N129" s="315">
        <f t="shared" si="6"/>
        <v>0</v>
      </c>
      <c r="O129" s="315">
        <f t="shared" si="6"/>
        <v>0</v>
      </c>
      <c r="P129" s="315">
        <f t="shared" si="6"/>
        <v>0</v>
      </c>
      <c r="Q129" s="315">
        <f t="shared" si="6"/>
        <v>0</v>
      </c>
      <c r="R129" s="315">
        <f t="shared" si="6"/>
        <v>0</v>
      </c>
      <c r="S129" s="315">
        <f t="shared" si="6"/>
        <v>0</v>
      </c>
      <c r="T129" s="315">
        <f t="shared" si="6"/>
        <v>0</v>
      </c>
      <c r="U129" s="315">
        <f t="shared" si="6"/>
        <v>0</v>
      </c>
      <c r="V129" s="315">
        <f t="shared" si="6"/>
        <v>0</v>
      </c>
      <c r="W129" s="315">
        <f t="shared" si="6"/>
        <v>0</v>
      </c>
      <c r="X129" s="315">
        <f t="shared" si="6"/>
        <v>0</v>
      </c>
      <c r="Y129" s="315">
        <f t="shared" si="6"/>
        <v>0</v>
      </c>
      <c r="Z129" s="315">
        <f t="shared" si="6"/>
        <v>0</v>
      </c>
      <c r="AA129" s="315">
        <f t="shared" si="6"/>
        <v>0</v>
      </c>
      <c r="AB129" s="315">
        <f t="shared" si="6"/>
        <v>0</v>
      </c>
      <c r="AC129" s="315">
        <f t="shared" si="6"/>
        <v>0</v>
      </c>
      <c r="AD129" s="315">
        <f t="shared" si="6"/>
        <v>0</v>
      </c>
      <c r="AE129" s="315">
        <f t="shared" si="6"/>
        <v>0</v>
      </c>
      <c r="AF129" s="315">
        <f t="shared" si="6"/>
        <v>0</v>
      </c>
      <c r="AG129" s="315">
        <f t="shared" si="6"/>
        <v>0</v>
      </c>
      <c r="AH129" s="315">
        <f t="shared" si="6"/>
        <v>0</v>
      </c>
      <c r="AI129" s="315">
        <f t="shared" si="6"/>
        <v>0</v>
      </c>
      <c r="AJ129" s="315">
        <f t="shared" si="6"/>
        <v>0</v>
      </c>
      <c r="AK129" s="315">
        <f t="shared" si="6"/>
        <v>0</v>
      </c>
      <c r="AL129" s="315">
        <f t="shared" si="6"/>
        <v>0</v>
      </c>
      <c r="AM129" s="315">
        <f t="shared" si="6"/>
        <v>0</v>
      </c>
      <c r="AN129" s="315">
        <f t="shared" si="6"/>
        <v>0</v>
      </c>
      <c r="AO129" s="315">
        <f t="shared" si="6"/>
        <v>0</v>
      </c>
      <c r="AP129" s="315">
        <f t="shared" si="6"/>
        <v>0</v>
      </c>
      <c r="AQ129" s="304"/>
      <c r="AR129" s="304"/>
    </row>
    <row r="130" spans="4:44" x14ac:dyDescent="0.25">
      <c r="E130" s="32"/>
      <c r="F130" s="208" t="s">
        <v>233</v>
      </c>
      <c r="G130" t="s">
        <v>327</v>
      </c>
      <c r="H130" s="304"/>
      <c r="I130" s="304"/>
      <c r="J130" s="315">
        <f t="shared" ref="J130:AP130" si="7">hundred * $H25 * J62 / $H50 * J$78 * (1 - J74) / hours_in_year</f>
        <v>0.4529047753878534</v>
      </c>
      <c r="K130" s="315">
        <f t="shared" si="7"/>
        <v>0.33110392719732418</v>
      </c>
      <c r="L130" s="315">
        <f t="shared" si="7"/>
        <v>0</v>
      </c>
      <c r="M130" s="315">
        <f t="shared" si="7"/>
        <v>0.41370133065545484</v>
      </c>
      <c r="N130" s="315">
        <f t="shared" si="7"/>
        <v>0.32970786761337229</v>
      </c>
      <c r="O130" s="315">
        <f t="shared" si="7"/>
        <v>0</v>
      </c>
      <c r="P130" s="315">
        <f t="shared" si="7"/>
        <v>0.32777984641927782</v>
      </c>
      <c r="Q130" s="315">
        <f t="shared" si="7"/>
        <v>0.31785623639007027</v>
      </c>
      <c r="R130" s="315">
        <f t="shared" si="7"/>
        <v>0.33327933612130217</v>
      </c>
      <c r="S130" s="315">
        <f t="shared" si="7"/>
        <v>0.44934318685697838</v>
      </c>
      <c r="T130" s="315">
        <f t="shared" si="7"/>
        <v>0.3643664314099454</v>
      </c>
      <c r="U130" s="315">
        <f t="shared" si="7"/>
        <v>0.32005842646859545</v>
      </c>
      <c r="V130" s="315">
        <f t="shared" si="7"/>
        <v>0.26779279070760148</v>
      </c>
      <c r="W130" s="315">
        <f t="shared" si="7"/>
        <v>0.27862532105517024</v>
      </c>
      <c r="X130" s="315">
        <f t="shared" si="7"/>
        <v>0.22868347992028037</v>
      </c>
      <c r="Y130" s="315">
        <f t="shared" si="7"/>
        <v>0.42887695084103955</v>
      </c>
      <c r="Z130" s="315">
        <f t="shared" si="7"/>
        <v>0.79365492627683742</v>
      </c>
      <c r="AA130" s="315">
        <f t="shared" si="7"/>
        <v>6.5534380954113375E-2</v>
      </c>
      <c r="AB130" s="315">
        <f t="shared" si="7"/>
        <v>0.41095207691735269</v>
      </c>
      <c r="AC130" s="315">
        <f t="shared" si="7"/>
        <v>-0.22865739827562631</v>
      </c>
      <c r="AD130" s="315">
        <f t="shared" si="7"/>
        <v>-0.22173474309847427</v>
      </c>
      <c r="AE130" s="315">
        <f t="shared" si="7"/>
        <v>-0.22865739827562631</v>
      </c>
      <c r="AF130" s="315">
        <f t="shared" si="7"/>
        <v>-0.22865739827562631</v>
      </c>
      <c r="AG130" s="315">
        <f t="shared" si="7"/>
        <v>-0.22865739827562631</v>
      </c>
      <c r="AH130" s="315">
        <f t="shared" si="7"/>
        <v>-0.22865739827562631</v>
      </c>
      <c r="AI130" s="315">
        <f t="shared" si="7"/>
        <v>-0.22173474309847427</v>
      </c>
      <c r="AJ130" s="315">
        <f t="shared" si="7"/>
        <v>-0.22173474309847427</v>
      </c>
      <c r="AK130" s="315">
        <f t="shared" si="7"/>
        <v>-0.22173474309847427</v>
      </c>
      <c r="AL130" s="315">
        <f t="shared" si="7"/>
        <v>-0.22173474309847427</v>
      </c>
      <c r="AM130" s="315">
        <f t="shared" si="7"/>
        <v>0</v>
      </c>
      <c r="AN130" s="315">
        <f t="shared" si="7"/>
        <v>0</v>
      </c>
      <c r="AO130" s="315">
        <f t="shared" si="7"/>
        <v>0</v>
      </c>
      <c r="AP130" s="315">
        <f t="shared" si="7"/>
        <v>0</v>
      </c>
      <c r="AQ130" s="304"/>
      <c r="AR130" s="304"/>
    </row>
    <row r="131" spans="4:44" x14ac:dyDescent="0.25">
      <c r="E131" s="32"/>
      <c r="F131" s="208" t="s">
        <v>234</v>
      </c>
      <c r="G131" t="s">
        <v>327</v>
      </c>
      <c r="H131" s="304"/>
      <c r="I131" s="304"/>
      <c r="J131" s="315">
        <f t="shared" ref="J131:AP131" si="8">hundred * $H26 * J63 / $H51 * J$78 * (1 - J75) / hours_in_year</f>
        <v>4.1479888119542098E-2</v>
      </c>
      <c r="K131" s="315">
        <f t="shared" si="8"/>
        <v>3.0324594931295482E-2</v>
      </c>
      <c r="L131" s="315">
        <f t="shared" si="8"/>
        <v>0</v>
      </c>
      <c r="M131" s="315">
        <f t="shared" si="8"/>
        <v>3.7889388328481259E-2</v>
      </c>
      <c r="N131" s="315">
        <f t="shared" si="8"/>
        <v>3.0196734951676261E-2</v>
      </c>
      <c r="O131" s="315">
        <f t="shared" si="8"/>
        <v>0</v>
      </c>
      <c r="P131" s="315">
        <f t="shared" si="8"/>
        <v>3.0020154558248843E-2</v>
      </c>
      <c r="Q131" s="315">
        <f t="shared" si="8"/>
        <v>2.9111287493641301E-2</v>
      </c>
      <c r="R131" s="315">
        <f t="shared" si="8"/>
        <v>0</v>
      </c>
      <c r="S131" s="315">
        <f t="shared" si="8"/>
        <v>4.1153695282069754E-2</v>
      </c>
      <c r="T131" s="315">
        <f t="shared" si="8"/>
        <v>3.3370985758448435E-2</v>
      </c>
      <c r="U131" s="315">
        <f t="shared" si="8"/>
        <v>2.9312978010145482E-2</v>
      </c>
      <c r="V131" s="315">
        <f t="shared" si="8"/>
        <v>2.4526160026152752E-2</v>
      </c>
      <c r="W131" s="315">
        <f t="shared" si="8"/>
        <v>0</v>
      </c>
      <c r="X131" s="315">
        <f t="shared" si="8"/>
        <v>2.0944281618045364E-2</v>
      </c>
      <c r="Y131" s="315">
        <f t="shared" si="8"/>
        <v>3.9279267750493639E-2</v>
      </c>
      <c r="Z131" s="315">
        <f t="shared" si="8"/>
        <v>7.2687945317631897E-2</v>
      </c>
      <c r="AA131" s="315">
        <f t="shared" si="8"/>
        <v>6.0020537156671759E-3</v>
      </c>
      <c r="AB131" s="315">
        <f t="shared" si="8"/>
        <v>3.7637594256822261E-2</v>
      </c>
      <c r="AC131" s="315">
        <f t="shared" si="8"/>
        <v>-2.0941892895821584E-2</v>
      </c>
      <c r="AD131" s="315">
        <f t="shared" si="8"/>
        <v>0</v>
      </c>
      <c r="AE131" s="315">
        <f t="shared" si="8"/>
        <v>-2.0941892895821584E-2</v>
      </c>
      <c r="AF131" s="315">
        <f t="shared" si="8"/>
        <v>-2.0941892895821584E-2</v>
      </c>
      <c r="AG131" s="315">
        <f t="shared" si="8"/>
        <v>-2.0941892895821584E-2</v>
      </c>
      <c r="AH131" s="315">
        <f t="shared" si="8"/>
        <v>-2.0941892895821584E-2</v>
      </c>
      <c r="AI131" s="315">
        <f t="shared" si="8"/>
        <v>0</v>
      </c>
      <c r="AJ131" s="315">
        <f t="shared" si="8"/>
        <v>0</v>
      </c>
      <c r="AK131" s="315">
        <f t="shared" si="8"/>
        <v>0</v>
      </c>
      <c r="AL131" s="315">
        <f t="shared" si="8"/>
        <v>0</v>
      </c>
      <c r="AM131" s="315">
        <f t="shared" si="8"/>
        <v>0</v>
      </c>
      <c r="AN131" s="315">
        <f t="shared" si="8"/>
        <v>0</v>
      </c>
      <c r="AO131" s="315">
        <f t="shared" si="8"/>
        <v>0</v>
      </c>
      <c r="AP131" s="315">
        <f t="shared" si="8"/>
        <v>0</v>
      </c>
      <c r="AQ131" s="304"/>
      <c r="AR131" s="304"/>
    </row>
    <row r="132" spans="4:44" x14ac:dyDescent="0.25">
      <c r="E132" s="32"/>
      <c r="F132" s="209" t="s">
        <v>235</v>
      </c>
      <c r="G132" s="37" t="s">
        <v>327</v>
      </c>
      <c r="H132" s="308"/>
      <c r="I132" s="308"/>
      <c r="J132" s="316">
        <f t="shared" ref="J132:AP132" si="9">hundred * $H27 * J64 / $H52 * J$78 * (1 - J76) / hours_in_year</f>
        <v>1.5063919714727033E-2</v>
      </c>
      <c r="K132" s="316">
        <f t="shared" si="9"/>
        <v>1.1012740972448318E-2</v>
      </c>
      <c r="L132" s="316">
        <f t="shared" si="9"/>
        <v>0</v>
      </c>
      <c r="M132" s="316">
        <f t="shared" si="9"/>
        <v>1.3759986578928553E-2</v>
      </c>
      <c r="N132" s="316">
        <f t="shared" si="9"/>
        <v>1.0966307084725195E-2</v>
      </c>
      <c r="O132" s="316">
        <f t="shared" si="9"/>
        <v>0</v>
      </c>
      <c r="P132" s="316">
        <f t="shared" si="9"/>
        <v>1.0902179793395004E-2</v>
      </c>
      <c r="Q132" s="316">
        <f t="shared" si="9"/>
        <v>0</v>
      </c>
      <c r="R132" s="316">
        <f t="shared" si="9"/>
        <v>0</v>
      </c>
      <c r="S132" s="316">
        <f t="shared" si="9"/>
        <v>1.494545886688093E-2</v>
      </c>
      <c r="T132" s="316">
        <f t="shared" si="9"/>
        <v>1.2119074401016389E-2</v>
      </c>
      <c r="U132" s="316">
        <f t="shared" si="9"/>
        <v>1.0645360133851421E-2</v>
      </c>
      <c r="V132" s="316">
        <f t="shared" si="9"/>
        <v>0</v>
      </c>
      <c r="W132" s="316">
        <f t="shared" si="9"/>
        <v>0</v>
      </c>
      <c r="X132" s="316">
        <f t="shared" si="9"/>
        <v>7.6061674965856065E-3</v>
      </c>
      <c r="Y132" s="316">
        <f t="shared" si="9"/>
        <v>1.4264737989202532E-2</v>
      </c>
      <c r="Z132" s="316">
        <f t="shared" si="9"/>
        <v>2.6397500623378325E-2</v>
      </c>
      <c r="AA132" s="316">
        <f t="shared" si="9"/>
        <v>2.1797179162036644E-3</v>
      </c>
      <c r="AB132" s="316">
        <f t="shared" si="9"/>
        <v>1.3668544536722839E-2</v>
      </c>
      <c r="AC132" s="316">
        <f t="shared" si="9"/>
        <v>0</v>
      </c>
      <c r="AD132" s="316">
        <f t="shared" si="9"/>
        <v>0</v>
      </c>
      <c r="AE132" s="316">
        <f t="shared" si="9"/>
        <v>0</v>
      </c>
      <c r="AF132" s="316">
        <f t="shared" si="9"/>
        <v>0</v>
      </c>
      <c r="AG132" s="316">
        <f t="shared" si="9"/>
        <v>0</v>
      </c>
      <c r="AH132" s="316">
        <f t="shared" si="9"/>
        <v>0</v>
      </c>
      <c r="AI132" s="316">
        <f t="shared" si="9"/>
        <v>0</v>
      </c>
      <c r="AJ132" s="316">
        <f t="shared" si="9"/>
        <v>0</v>
      </c>
      <c r="AK132" s="316">
        <f t="shared" si="9"/>
        <v>0</v>
      </c>
      <c r="AL132" s="316">
        <f t="shared" si="9"/>
        <v>0</v>
      </c>
      <c r="AM132" s="316">
        <f t="shared" si="9"/>
        <v>0</v>
      </c>
      <c r="AN132" s="316">
        <f t="shared" si="9"/>
        <v>0</v>
      </c>
      <c r="AO132" s="316">
        <f t="shared" si="9"/>
        <v>0</v>
      </c>
      <c r="AP132" s="316">
        <f t="shared" si="9"/>
        <v>0</v>
      </c>
      <c r="AQ132" s="304"/>
      <c r="AR132" s="304"/>
    </row>
    <row r="133" spans="4:44" x14ac:dyDescent="0.25">
      <c r="E133" s="32"/>
      <c r="F133" s="208"/>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4:44" x14ac:dyDescent="0.25">
      <c r="E134" s="32" t="s">
        <v>734</v>
      </c>
      <c r="J134" s="92"/>
      <c r="K134" s="92"/>
      <c r="L134" s="92"/>
      <c r="M134" s="92"/>
      <c r="N134" s="92"/>
      <c r="O134" s="92"/>
      <c r="P134" s="92"/>
      <c r="Q134" s="92"/>
      <c r="R134" s="92"/>
      <c r="S134" s="92"/>
      <c r="T134" s="92"/>
      <c r="U134" s="92"/>
      <c r="V134" s="92"/>
      <c r="W134" s="92"/>
      <c r="X134" s="92"/>
      <c r="Y134" s="92"/>
      <c r="Z134" s="92"/>
      <c r="AA134" s="92"/>
      <c r="AB134" s="92"/>
      <c r="AC134" s="92"/>
      <c r="AD134" s="92"/>
      <c r="AE134" s="92"/>
      <c r="AF134" s="92"/>
      <c r="AG134" s="92"/>
      <c r="AH134" s="92"/>
      <c r="AI134" s="92"/>
      <c r="AJ134" s="92"/>
      <c r="AK134" s="92"/>
      <c r="AL134" s="92"/>
      <c r="AM134" s="92"/>
      <c r="AN134" s="92"/>
      <c r="AO134" s="92"/>
      <c r="AP134" s="92"/>
    </row>
    <row r="135" spans="4:44" x14ac:dyDescent="0.25">
      <c r="D135" s="32"/>
      <c r="E135" s="32"/>
      <c r="F135" s="207" t="s">
        <v>225</v>
      </c>
      <c r="G135" s="23" t="s">
        <v>327</v>
      </c>
      <c r="H135" s="302"/>
      <c r="I135" s="302"/>
      <c r="J135" s="314">
        <f t="shared" ref="J135:AP135" si="10">hundred * $H30 * J55 / $H43 * J$78 / hours_in_year</f>
        <v>0.57607978079801991</v>
      </c>
      <c r="K135" s="314">
        <f t="shared" si="10"/>
        <v>0.42115316103225536</v>
      </c>
      <c r="L135" s="314">
        <f t="shared" si="10"/>
        <v>0</v>
      </c>
      <c r="M135" s="314">
        <f t="shared" si="10"/>
        <v>0.52621430559161042</v>
      </c>
      <c r="N135" s="314">
        <f t="shared" si="10"/>
        <v>0.41937741976652182</v>
      </c>
      <c r="O135" s="314">
        <f t="shared" si="10"/>
        <v>0</v>
      </c>
      <c r="P135" s="314">
        <f t="shared" si="10"/>
        <v>0.41692504106082878</v>
      </c>
      <c r="Q135" s="314">
        <f t="shared" si="10"/>
        <v>0.4043025398177027</v>
      </c>
      <c r="R135" s="314">
        <f t="shared" si="10"/>
        <v>0.39876730033843322</v>
      </c>
      <c r="S135" s="314">
        <f t="shared" si="10"/>
        <v>0.57154955888017389</v>
      </c>
      <c r="T135" s="314">
        <f t="shared" si="10"/>
        <v>0.46346195788517092</v>
      </c>
      <c r="U135" s="314">
        <f t="shared" si="10"/>
        <v>0.40710365220744493</v>
      </c>
      <c r="V135" s="314">
        <f t="shared" si="10"/>
        <v>0.34062350532297458</v>
      </c>
      <c r="W135" s="314">
        <f t="shared" si="10"/>
        <v>0.33337400504980741</v>
      </c>
      <c r="X135" s="314">
        <f t="shared" si="10"/>
        <v>0.29087776535759768</v>
      </c>
      <c r="Y135" s="314">
        <f t="shared" si="10"/>
        <v>0.54551718872526467</v>
      </c>
      <c r="Z135" s="314">
        <f t="shared" si="10"/>
        <v>1.009502616896212</v>
      </c>
      <c r="AA135" s="314">
        <f t="shared" si="10"/>
        <v>8.3357548576185922E-2</v>
      </c>
      <c r="AB135" s="314">
        <f t="shared" si="10"/>
        <v>0.52271734645831869</v>
      </c>
      <c r="AC135" s="314">
        <f t="shared" si="10"/>
        <v>-0.2908445903747941</v>
      </c>
      <c r="AD135" s="314">
        <f t="shared" si="10"/>
        <v>-0.28203920369372232</v>
      </c>
      <c r="AE135" s="314">
        <f t="shared" si="10"/>
        <v>-0.2908445903747941</v>
      </c>
      <c r="AF135" s="314">
        <f t="shared" si="10"/>
        <v>-0.2908445903747941</v>
      </c>
      <c r="AG135" s="314">
        <f t="shared" si="10"/>
        <v>-0.2908445903747941</v>
      </c>
      <c r="AH135" s="314">
        <f t="shared" si="10"/>
        <v>-0.2908445903747941</v>
      </c>
      <c r="AI135" s="314">
        <f t="shared" si="10"/>
        <v>-0.28203920369372232</v>
      </c>
      <c r="AJ135" s="314">
        <f t="shared" si="10"/>
        <v>-0.28203920369372232</v>
      </c>
      <c r="AK135" s="314">
        <f t="shared" si="10"/>
        <v>-0.28203920369372232</v>
      </c>
      <c r="AL135" s="314">
        <f t="shared" si="10"/>
        <v>-0.28203920369372232</v>
      </c>
      <c r="AM135" s="314">
        <f t="shared" si="10"/>
        <v>-0.27616894590634117</v>
      </c>
      <c r="AN135" s="314">
        <f t="shared" si="10"/>
        <v>-0.27616894590634117</v>
      </c>
      <c r="AO135" s="314">
        <f t="shared" si="10"/>
        <v>-0.27616894590634117</v>
      </c>
      <c r="AP135" s="314">
        <f t="shared" si="10"/>
        <v>-0.27616894590634117</v>
      </c>
      <c r="AQ135" s="304"/>
      <c r="AR135" s="304"/>
    </row>
    <row r="136" spans="4:44" x14ac:dyDescent="0.25">
      <c r="D136" s="32"/>
      <c r="E136" s="32"/>
      <c r="F136" s="208" t="s">
        <v>227</v>
      </c>
      <c r="G136" t="s">
        <v>327</v>
      </c>
      <c r="H136" s="304"/>
      <c r="I136" s="304"/>
      <c r="J136" s="315">
        <f t="shared" ref="J136:AP136" si="11">hundred * $H31 * J56 / $H44 * J$78 / hours_in_year</f>
        <v>0</v>
      </c>
      <c r="K136" s="315">
        <f t="shared" si="11"/>
        <v>0</v>
      </c>
      <c r="L136" s="315">
        <f t="shared" si="11"/>
        <v>0</v>
      </c>
      <c r="M136" s="315">
        <f t="shared" si="11"/>
        <v>0</v>
      </c>
      <c r="N136" s="315">
        <f t="shared" si="11"/>
        <v>0</v>
      </c>
      <c r="O136" s="315">
        <f t="shared" si="11"/>
        <v>0</v>
      </c>
      <c r="P136" s="315">
        <f t="shared" si="11"/>
        <v>0</v>
      </c>
      <c r="Q136" s="315">
        <f t="shared" si="11"/>
        <v>0</v>
      </c>
      <c r="R136" s="315">
        <f t="shared" si="11"/>
        <v>0</v>
      </c>
      <c r="S136" s="315">
        <f t="shared" si="11"/>
        <v>0</v>
      </c>
      <c r="T136" s="315">
        <f t="shared" si="11"/>
        <v>0</v>
      </c>
      <c r="U136" s="315">
        <f t="shared" si="11"/>
        <v>0</v>
      </c>
      <c r="V136" s="315">
        <f t="shared" si="11"/>
        <v>0</v>
      </c>
      <c r="W136" s="315">
        <f t="shared" si="11"/>
        <v>0</v>
      </c>
      <c r="X136" s="315">
        <f t="shared" si="11"/>
        <v>0</v>
      </c>
      <c r="Y136" s="315">
        <f t="shared" si="11"/>
        <v>0</v>
      </c>
      <c r="Z136" s="315">
        <f t="shared" si="11"/>
        <v>0</v>
      </c>
      <c r="AA136" s="315">
        <f t="shared" si="11"/>
        <v>0</v>
      </c>
      <c r="AB136" s="315">
        <f t="shared" si="11"/>
        <v>0</v>
      </c>
      <c r="AC136" s="315">
        <f t="shared" si="11"/>
        <v>0</v>
      </c>
      <c r="AD136" s="315">
        <f t="shared" si="11"/>
        <v>0</v>
      </c>
      <c r="AE136" s="315">
        <f t="shared" si="11"/>
        <v>0</v>
      </c>
      <c r="AF136" s="315">
        <f t="shared" si="11"/>
        <v>0</v>
      </c>
      <c r="AG136" s="315">
        <f t="shared" si="11"/>
        <v>0</v>
      </c>
      <c r="AH136" s="315">
        <f t="shared" si="11"/>
        <v>0</v>
      </c>
      <c r="AI136" s="315">
        <f t="shared" si="11"/>
        <v>0</v>
      </c>
      <c r="AJ136" s="315">
        <f t="shared" si="11"/>
        <v>0</v>
      </c>
      <c r="AK136" s="315">
        <f t="shared" si="11"/>
        <v>0</v>
      </c>
      <c r="AL136" s="315">
        <f t="shared" si="11"/>
        <v>0</v>
      </c>
      <c r="AM136" s="315">
        <f t="shared" si="11"/>
        <v>0</v>
      </c>
      <c r="AN136" s="315">
        <f t="shared" si="11"/>
        <v>0</v>
      </c>
      <c r="AO136" s="315">
        <f t="shared" si="11"/>
        <v>0</v>
      </c>
      <c r="AP136" s="315">
        <f t="shared" si="11"/>
        <v>0</v>
      </c>
      <c r="AQ136" s="304"/>
      <c r="AR136" s="304"/>
    </row>
    <row r="137" spans="4:44" x14ac:dyDescent="0.25">
      <c r="D137" s="32"/>
      <c r="E137" s="32"/>
      <c r="F137" s="208" t="s">
        <v>228</v>
      </c>
      <c r="G137" t="s">
        <v>327</v>
      </c>
      <c r="H137" s="304"/>
      <c r="I137" s="304"/>
      <c r="J137" s="315">
        <f t="shared" ref="J137:AP137" si="12">hundred * $H32 * J57 / $H45 * J$78 / hours_in_year</f>
        <v>0</v>
      </c>
      <c r="K137" s="315">
        <f t="shared" si="12"/>
        <v>0</v>
      </c>
      <c r="L137" s="315">
        <f t="shared" si="12"/>
        <v>0</v>
      </c>
      <c r="M137" s="315">
        <f t="shared" si="12"/>
        <v>0</v>
      </c>
      <c r="N137" s="315">
        <f t="shared" si="12"/>
        <v>0</v>
      </c>
      <c r="O137" s="315">
        <f t="shared" si="12"/>
        <v>0</v>
      </c>
      <c r="P137" s="315">
        <f t="shared" si="12"/>
        <v>0</v>
      </c>
      <c r="Q137" s="315">
        <f t="shared" si="12"/>
        <v>0</v>
      </c>
      <c r="R137" s="315">
        <f t="shared" si="12"/>
        <v>0</v>
      </c>
      <c r="S137" s="315">
        <f t="shared" si="12"/>
        <v>0</v>
      </c>
      <c r="T137" s="315">
        <f t="shared" si="12"/>
        <v>0</v>
      </c>
      <c r="U137" s="315">
        <f t="shared" si="12"/>
        <v>0</v>
      </c>
      <c r="V137" s="315">
        <f t="shared" si="12"/>
        <v>0</v>
      </c>
      <c r="W137" s="315">
        <f t="shared" si="12"/>
        <v>0</v>
      </c>
      <c r="X137" s="315">
        <f t="shared" si="12"/>
        <v>0</v>
      </c>
      <c r="Y137" s="315">
        <f t="shared" si="12"/>
        <v>0</v>
      </c>
      <c r="Z137" s="315">
        <f t="shared" si="12"/>
        <v>0</v>
      </c>
      <c r="AA137" s="315">
        <f t="shared" si="12"/>
        <v>0</v>
      </c>
      <c r="AB137" s="315">
        <f t="shared" si="12"/>
        <v>0</v>
      </c>
      <c r="AC137" s="315">
        <f t="shared" si="12"/>
        <v>0</v>
      </c>
      <c r="AD137" s="315">
        <f t="shared" si="12"/>
        <v>0</v>
      </c>
      <c r="AE137" s="315">
        <f t="shared" si="12"/>
        <v>0</v>
      </c>
      <c r="AF137" s="315">
        <f t="shared" si="12"/>
        <v>0</v>
      </c>
      <c r="AG137" s="315">
        <f t="shared" si="12"/>
        <v>0</v>
      </c>
      <c r="AH137" s="315">
        <f t="shared" si="12"/>
        <v>0</v>
      </c>
      <c r="AI137" s="315">
        <f t="shared" si="12"/>
        <v>0</v>
      </c>
      <c r="AJ137" s="315">
        <f t="shared" si="12"/>
        <v>0</v>
      </c>
      <c r="AK137" s="315">
        <f t="shared" si="12"/>
        <v>0</v>
      </c>
      <c r="AL137" s="315">
        <f t="shared" si="12"/>
        <v>0</v>
      </c>
      <c r="AM137" s="315">
        <f t="shared" si="12"/>
        <v>0</v>
      </c>
      <c r="AN137" s="315">
        <f t="shared" si="12"/>
        <v>0</v>
      </c>
      <c r="AO137" s="315">
        <f t="shared" si="12"/>
        <v>0</v>
      </c>
      <c r="AP137" s="315">
        <f t="shared" si="12"/>
        <v>0</v>
      </c>
      <c r="AQ137" s="304"/>
      <c r="AR137" s="304"/>
    </row>
    <row r="138" spans="4:44" x14ac:dyDescent="0.25">
      <c r="D138" s="32"/>
      <c r="E138" s="32"/>
      <c r="F138" s="208" t="s">
        <v>229</v>
      </c>
      <c r="G138" t="s">
        <v>327</v>
      </c>
      <c r="H138" s="304"/>
      <c r="I138" s="304"/>
      <c r="J138" s="315">
        <f t="shared" ref="J138:AP138" si="13">hundred * $H33 * J58 / $H46 * J$78 / hours_in_year</f>
        <v>0</v>
      </c>
      <c r="K138" s="315">
        <f t="shared" si="13"/>
        <v>0</v>
      </c>
      <c r="L138" s="315">
        <f t="shared" si="13"/>
        <v>0</v>
      </c>
      <c r="M138" s="315">
        <f t="shared" si="13"/>
        <v>0</v>
      </c>
      <c r="N138" s="315">
        <f t="shared" si="13"/>
        <v>0</v>
      </c>
      <c r="O138" s="315">
        <f t="shared" si="13"/>
        <v>0</v>
      </c>
      <c r="P138" s="315">
        <f t="shared" si="13"/>
        <v>0</v>
      </c>
      <c r="Q138" s="315">
        <f t="shared" si="13"/>
        <v>0</v>
      </c>
      <c r="R138" s="315">
        <f t="shared" si="13"/>
        <v>0</v>
      </c>
      <c r="S138" s="315">
        <f t="shared" si="13"/>
        <v>0</v>
      </c>
      <c r="T138" s="315">
        <f t="shared" si="13"/>
        <v>0</v>
      </c>
      <c r="U138" s="315">
        <f t="shared" si="13"/>
        <v>0</v>
      </c>
      <c r="V138" s="315">
        <f t="shared" si="13"/>
        <v>0</v>
      </c>
      <c r="W138" s="315">
        <f t="shared" si="13"/>
        <v>0</v>
      </c>
      <c r="X138" s="315">
        <f t="shared" si="13"/>
        <v>0</v>
      </c>
      <c r="Y138" s="315">
        <f t="shared" si="13"/>
        <v>0</v>
      </c>
      <c r="Z138" s="315">
        <f t="shared" si="13"/>
        <v>0</v>
      </c>
      <c r="AA138" s="315">
        <f t="shared" si="13"/>
        <v>0</v>
      </c>
      <c r="AB138" s="315">
        <f t="shared" si="13"/>
        <v>0</v>
      </c>
      <c r="AC138" s="315">
        <f t="shared" si="13"/>
        <v>0</v>
      </c>
      <c r="AD138" s="315">
        <f t="shared" si="13"/>
        <v>0</v>
      </c>
      <c r="AE138" s="315">
        <f t="shared" si="13"/>
        <v>0</v>
      </c>
      <c r="AF138" s="315">
        <f t="shared" si="13"/>
        <v>0</v>
      </c>
      <c r="AG138" s="315">
        <f t="shared" si="13"/>
        <v>0</v>
      </c>
      <c r="AH138" s="315">
        <f t="shared" si="13"/>
        <v>0</v>
      </c>
      <c r="AI138" s="315">
        <f t="shared" si="13"/>
        <v>0</v>
      </c>
      <c r="AJ138" s="315">
        <f t="shared" si="13"/>
        <v>0</v>
      </c>
      <c r="AK138" s="315">
        <f t="shared" si="13"/>
        <v>0</v>
      </c>
      <c r="AL138" s="315">
        <f t="shared" si="13"/>
        <v>0</v>
      </c>
      <c r="AM138" s="315">
        <f t="shared" si="13"/>
        <v>0</v>
      </c>
      <c r="AN138" s="315">
        <f t="shared" si="13"/>
        <v>0</v>
      </c>
      <c r="AO138" s="315">
        <f t="shared" si="13"/>
        <v>0</v>
      </c>
      <c r="AP138" s="315">
        <f t="shared" si="13"/>
        <v>0</v>
      </c>
      <c r="AQ138" s="304"/>
      <c r="AR138" s="304"/>
    </row>
    <row r="139" spans="4:44" x14ac:dyDescent="0.25">
      <c r="D139" s="32"/>
      <c r="E139" s="32"/>
      <c r="F139" s="208" t="s">
        <v>230</v>
      </c>
      <c r="G139" t="s">
        <v>327</v>
      </c>
      <c r="H139" s="304"/>
      <c r="I139" s="304"/>
      <c r="J139" s="315">
        <f t="shared" ref="J139:AP139" si="14">hundred * $H34 * J59 / $H47 * J$78 / hours_in_year</f>
        <v>0.16397052326982242</v>
      </c>
      <c r="K139" s="315">
        <f t="shared" si="14"/>
        <v>0.1198735079636665</v>
      </c>
      <c r="L139" s="315">
        <f t="shared" si="14"/>
        <v>0</v>
      </c>
      <c r="M139" s="315">
        <f t="shared" si="14"/>
        <v>0.1497772321055903</v>
      </c>
      <c r="N139" s="315">
        <f t="shared" si="14"/>
        <v>0.11936807584429791</v>
      </c>
      <c r="O139" s="315">
        <f t="shared" si="14"/>
        <v>0</v>
      </c>
      <c r="P139" s="315">
        <f t="shared" si="14"/>
        <v>0.1186700513118777</v>
      </c>
      <c r="Q139" s="315">
        <f t="shared" si="14"/>
        <v>0.11507728829050892</v>
      </c>
      <c r="R139" s="315">
        <f t="shared" si="14"/>
        <v>0.11350178409110391</v>
      </c>
      <c r="S139" s="315">
        <f t="shared" si="14"/>
        <v>0.16268107885056396</v>
      </c>
      <c r="T139" s="315">
        <f t="shared" si="14"/>
        <v>0.13191592949993203</v>
      </c>
      <c r="U139" s="315">
        <f t="shared" si="14"/>
        <v>0.11587457345758659</v>
      </c>
      <c r="V139" s="315">
        <f t="shared" si="14"/>
        <v>9.6952221319830875E-2</v>
      </c>
      <c r="W139" s="315">
        <f t="shared" si="14"/>
        <v>9.4888784287569E-2</v>
      </c>
      <c r="X139" s="315">
        <f t="shared" si="14"/>
        <v>8.2793010591643137E-2</v>
      </c>
      <c r="Y139" s="315">
        <f t="shared" si="14"/>
        <v>0.15527144307001092</v>
      </c>
      <c r="Z139" s="315">
        <f t="shared" si="14"/>
        <v>0.28733636876723362</v>
      </c>
      <c r="AA139" s="315">
        <f t="shared" si="14"/>
        <v>2.372619438160609E-2</v>
      </c>
      <c r="AB139" s="315">
        <f t="shared" si="14"/>
        <v>0.14878188695019404</v>
      </c>
      <c r="AC139" s="315">
        <f t="shared" si="14"/>
        <v>-8.2783567942428402E-2</v>
      </c>
      <c r="AD139" s="315">
        <f t="shared" si="14"/>
        <v>-8.0277276435914507E-2</v>
      </c>
      <c r="AE139" s="315">
        <f t="shared" si="14"/>
        <v>-8.2783567942428402E-2</v>
      </c>
      <c r="AF139" s="315">
        <f t="shared" si="14"/>
        <v>-8.2783567942428402E-2</v>
      </c>
      <c r="AG139" s="315">
        <f t="shared" si="14"/>
        <v>-8.2783567942428402E-2</v>
      </c>
      <c r="AH139" s="315">
        <f t="shared" si="14"/>
        <v>-8.2783567942428402E-2</v>
      </c>
      <c r="AI139" s="315">
        <f t="shared" si="14"/>
        <v>-8.0277276435914507E-2</v>
      </c>
      <c r="AJ139" s="315">
        <f t="shared" si="14"/>
        <v>-8.0277276435914507E-2</v>
      </c>
      <c r="AK139" s="315">
        <f t="shared" si="14"/>
        <v>-8.0277276435914507E-2</v>
      </c>
      <c r="AL139" s="315">
        <f t="shared" si="14"/>
        <v>-8.0277276435914507E-2</v>
      </c>
      <c r="AM139" s="315">
        <f t="shared" si="14"/>
        <v>-7.8606415431571916E-2</v>
      </c>
      <c r="AN139" s="315">
        <f t="shared" si="14"/>
        <v>-7.8606415431571916E-2</v>
      </c>
      <c r="AO139" s="315">
        <f t="shared" si="14"/>
        <v>-7.8606415431571916E-2</v>
      </c>
      <c r="AP139" s="315">
        <f t="shared" si="14"/>
        <v>-7.8606415431571916E-2</v>
      </c>
      <c r="AQ139" s="304"/>
      <c r="AR139" s="304"/>
    </row>
    <row r="140" spans="4:44" x14ac:dyDescent="0.25">
      <c r="D140" s="32"/>
      <c r="E140" s="32"/>
      <c r="F140" s="208" t="s">
        <v>231</v>
      </c>
      <c r="G140" t="s">
        <v>327</v>
      </c>
      <c r="H140" s="304"/>
      <c r="I140" s="304"/>
      <c r="J140" s="315">
        <f t="shared" ref="J140:AP140" si="15">hundred * $H35 * J60 / $H48 * J$78 / hours_in_year</f>
        <v>0.14835992363385692</v>
      </c>
      <c r="K140" s="315">
        <f t="shared" si="15"/>
        <v>0.10846110710976305</v>
      </c>
      <c r="L140" s="315">
        <f t="shared" si="15"/>
        <v>0</v>
      </c>
      <c r="M140" s="315">
        <f t="shared" si="15"/>
        <v>0.13551788622830749</v>
      </c>
      <c r="N140" s="315">
        <f t="shared" si="15"/>
        <v>0.10800379399557464</v>
      </c>
      <c r="O140" s="315">
        <f t="shared" si="15"/>
        <v>0</v>
      </c>
      <c r="P140" s="315">
        <f t="shared" si="15"/>
        <v>0.10737222397762693</v>
      </c>
      <c r="Q140" s="315">
        <f t="shared" si="15"/>
        <v>0.10412150527004738</v>
      </c>
      <c r="R140" s="315">
        <f t="shared" si="15"/>
        <v>0.10269599489142943</v>
      </c>
      <c r="S140" s="315">
        <f t="shared" si="15"/>
        <v>0.14719323908741264</v>
      </c>
      <c r="T140" s="315">
        <f t="shared" si="15"/>
        <v>0.11935704562273036</v>
      </c>
      <c r="U140" s="315">
        <f t="shared" si="15"/>
        <v>0.10484288594349564</v>
      </c>
      <c r="V140" s="315">
        <f t="shared" si="15"/>
        <v>8.7722011641528624E-2</v>
      </c>
      <c r="W140" s="315">
        <f t="shared" si="15"/>
        <v>8.5855021438503612E-2</v>
      </c>
      <c r="X140" s="315">
        <f t="shared" si="15"/>
        <v>7.4910810088595417E-2</v>
      </c>
      <c r="Y140" s="315">
        <f t="shared" si="15"/>
        <v>0.14048902800949467</v>
      </c>
      <c r="Z140" s="315">
        <f t="shared" si="15"/>
        <v>0.25998088484103854</v>
      </c>
      <c r="AA140" s="315">
        <f t="shared" si="15"/>
        <v>2.146737301548246E-2</v>
      </c>
      <c r="AB140" s="315">
        <f t="shared" si="15"/>
        <v>0.13461730160919932</v>
      </c>
      <c r="AC140" s="315">
        <f t="shared" si="15"/>
        <v>-7.4902266414473617E-2</v>
      </c>
      <c r="AD140" s="315">
        <f t="shared" si="15"/>
        <v>-7.2634583119356513E-2</v>
      </c>
      <c r="AE140" s="315">
        <f t="shared" si="15"/>
        <v>-7.4902266414473617E-2</v>
      </c>
      <c r="AF140" s="315">
        <f t="shared" si="15"/>
        <v>-7.4902266414473617E-2</v>
      </c>
      <c r="AG140" s="315">
        <f t="shared" si="15"/>
        <v>-7.4902266414473617E-2</v>
      </c>
      <c r="AH140" s="315">
        <f t="shared" si="15"/>
        <v>-7.4902266414473617E-2</v>
      </c>
      <c r="AI140" s="315">
        <f t="shared" si="15"/>
        <v>-7.2634583119356513E-2</v>
      </c>
      <c r="AJ140" s="315">
        <f t="shared" si="15"/>
        <v>-7.2634583119356513E-2</v>
      </c>
      <c r="AK140" s="315">
        <f t="shared" si="15"/>
        <v>-7.2634583119356513E-2</v>
      </c>
      <c r="AL140" s="315">
        <f t="shared" si="15"/>
        <v>-7.2634583119356513E-2</v>
      </c>
      <c r="AM140" s="315">
        <f t="shared" si="15"/>
        <v>-7.1122794255945115E-2</v>
      </c>
      <c r="AN140" s="315">
        <f t="shared" si="15"/>
        <v>-7.1122794255945115E-2</v>
      </c>
      <c r="AO140" s="315">
        <f t="shared" si="15"/>
        <v>-7.1122794255945115E-2</v>
      </c>
      <c r="AP140" s="315">
        <f t="shared" si="15"/>
        <v>-7.1122794255945115E-2</v>
      </c>
      <c r="AQ140" s="304"/>
      <c r="AR140" s="304"/>
    </row>
    <row r="141" spans="4:44" x14ac:dyDescent="0.25">
      <c r="D141" s="32"/>
      <c r="E141" s="32"/>
      <c r="F141" s="208" t="s">
        <v>232</v>
      </c>
      <c r="G141" t="s">
        <v>327</v>
      </c>
      <c r="H141" s="304"/>
      <c r="I141" s="304"/>
      <c r="J141" s="315">
        <f t="shared" ref="J141:AP141" si="16">hundred * $H36 * J61 / $H49 * J$78 / hours_in_year</f>
        <v>0</v>
      </c>
      <c r="K141" s="315">
        <f t="shared" si="16"/>
        <v>0</v>
      </c>
      <c r="L141" s="315">
        <f t="shared" si="16"/>
        <v>0</v>
      </c>
      <c r="M141" s="315">
        <f t="shared" si="16"/>
        <v>0</v>
      </c>
      <c r="N141" s="315">
        <f t="shared" si="16"/>
        <v>0</v>
      </c>
      <c r="O141" s="315">
        <f t="shared" si="16"/>
        <v>0</v>
      </c>
      <c r="P141" s="315">
        <f t="shared" si="16"/>
        <v>0</v>
      </c>
      <c r="Q141" s="315">
        <f t="shared" si="16"/>
        <v>0</v>
      </c>
      <c r="R141" s="315">
        <f t="shared" si="16"/>
        <v>0</v>
      </c>
      <c r="S141" s="315">
        <f t="shared" si="16"/>
        <v>0</v>
      </c>
      <c r="T141" s="315">
        <f t="shared" si="16"/>
        <v>0</v>
      </c>
      <c r="U141" s="315">
        <f t="shared" si="16"/>
        <v>0</v>
      </c>
      <c r="V141" s="315">
        <f t="shared" si="16"/>
        <v>0</v>
      </c>
      <c r="W141" s="315">
        <f t="shared" si="16"/>
        <v>0</v>
      </c>
      <c r="X141" s="315">
        <f t="shared" si="16"/>
        <v>0</v>
      </c>
      <c r="Y141" s="315">
        <f t="shared" si="16"/>
        <v>0</v>
      </c>
      <c r="Z141" s="315">
        <f t="shared" si="16"/>
        <v>0</v>
      </c>
      <c r="AA141" s="315">
        <f t="shared" si="16"/>
        <v>0</v>
      </c>
      <c r="AB141" s="315">
        <f t="shared" si="16"/>
        <v>0</v>
      </c>
      <c r="AC141" s="315">
        <f t="shared" si="16"/>
        <v>0</v>
      </c>
      <c r="AD141" s="315">
        <f t="shared" si="16"/>
        <v>0</v>
      </c>
      <c r="AE141" s="315">
        <f t="shared" si="16"/>
        <v>0</v>
      </c>
      <c r="AF141" s="315">
        <f t="shared" si="16"/>
        <v>0</v>
      </c>
      <c r="AG141" s="315">
        <f t="shared" si="16"/>
        <v>0</v>
      </c>
      <c r="AH141" s="315">
        <f t="shared" si="16"/>
        <v>0</v>
      </c>
      <c r="AI141" s="315">
        <f t="shared" si="16"/>
        <v>0</v>
      </c>
      <c r="AJ141" s="315">
        <f t="shared" si="16"/>
        <v>0</v>
      </c>
      <c r="AK141" s="315">
        <f t="shared" si="16"/>
        <v>0</v>
      </c>
      <c r="AL141" s="315">
        <f t="shared" si="16"/>
        <v>0</v>
      </c>
      <c r="AM141" s="315">
        <f t="shared" si="16"/>
        <v>0</v>
      </c>
      <c r="AN141" s="315">
        <f t="shared" si="16"/>
        <v>0</v>
      </c>
      <c r="AO141" s="315">
        <f t="shared" si="16"/>
        <v>0</v>
      </c>
      <c r="AP141" s="315">
        <f t="shared" si="16"/>
        <v>0</v>
      </c>
      <c r="AQ141" s="304"/>
      <c r="AR141" s="304"/>
    </row>
    <row r="142" spans="4:44" x14ac:dyDescent="0.25">
      <c r="D142" s="32"/>
      <c r="E142" s="32"/>
      <c r="F142" s="208" t="s">
        <v>233</v>
      </c>
      <c r="G142" t="s">
        <v>327</v>
      </c>
      <c r="H142" s="304"/>
      <c r="I142" s="304"/>
      <c r="J142" s="315">
        <f t="shared" ref="J142:AP142" si="17">hundred * $H37 * J62 / $H50 * J$78 / hours_in_year</f>
        <v>0.61306093515924365</v>
      </c>
      <c r="K142" s="315">
        <f t="shared" si="17"/>
        <v>0.44818887826620529</v>
      </c>
      <c r="L142" s="315">
        <f t="shared" si="17"/>
        <v>0</v>
      </c>
      <c r="M142" s="315">
        <f t="shared" si="17"/>
        <v>0.55999437062914803</v>
      </c>
      <c r="N142" s="315">
        <f t="shared" si="17"/>
        <v>0.44629914417509831</v>
      </c>
      <c r="O142" s="315">
        <f t="shared" si="17"/>
        <v>0</v>
      </c>
      <c r="P142" s="315">
        <f t="shared" si="17"/>
        <v>0.44368933624086715</v>
      </c>
      <c r="Q142" s="315">
        <f t="shared" si="17"/>
        <v>0.43025653982256556</v>
      </c>
      <c r="R142" s="315">
        <f t="shared" si="17"/>
        <v>0.42436596840415802</v>
      </c>
      <c r="S142" s="315">
        <f t="shared" si="17"/>
        <v>0.60823989790362887</v>
      </c>
      <c r="T142" s="315">
        <f t="shared" si="17"/>
        <v>0.49321366724279497</v>
      </c>
      <c r="U142" s="315">
        <f t="shared" si="17"/>
        <v>0.43323746822585496</v>
      </c>
      <c r="V142" s="315">
        <f t="shared" si="17"/>
        <v>0.3624896614514892</v>
      </c>
      <c r="W142" s="315">
        <f t="shared" si="17"/>
        <v>0.35477478312205291</v>
      </c>
      <c r="X142" s="315">
        <f t="shared" si="17"/>
        <v>0.30955051850653814</v>
      </c>
      <c r="Y142" s="315">
        <f t="shared" si="17"/>
        <v>0.58053639272337021</v>
      </c>
      <c r="Z142" s="315">
        <f t="shared" si="17"/>
        <v>1.0743071341659951</v>
      </c>
      <c r="AA142" s="315">
        <f t="shared" si="17"/>
        <v>8.8708644854550101E-2</v>
      </c>
      <c r="AB142" s="315">
        <f t="shared" si="17"/>
        <v>0.55627292594747602</v>
      </c>
      <c r="AC142" s="315">
        <f t="shared" si="17"/>
        <v>-0.30951521387225062</v>
      </c>
      <c r="AD142" s="315">
        <f t="shared" si="17"/>
        <v>-0.30014456978254023</v>
      </c>
      <c r="AE142" s="315">
        <f t="shared" si="17"/>
        <v>-0.30951521387225062</v>
      </c>
      <c r="AF142" s="315">
        <f t="shared" si="17"/>
        <v>-0.30951521387225062</v>
      </c>
      <c r="AG142" s="315">
        <f t="shared" si="17"/>
        <v>-0.30951521387225062</v>
      </c>
      <c r="AH142" s="315">
        <f t="shared" si="17"/>
        <v>-0.30951521387225062</v>
      </c>
      <c r="AI142" s="315">
        <f t="shared" si="17"/>
        <v>-0.30014456978254023</v>
      </c>
      <c r="AJ142" s="315">
        <f t="shared" si="17"/>
        <v>-0.30014456978254023</v>
      </c>
      <c r="AK142" s="315">
        <f t="shared" si="17"/>
        <v>-0.30014456978254023</v>
      </c>
      <c r="AL142" s="315">
        <f t="shared" si="17"/>
        <v>-0.30014456978254023</v>
      </c>
      <c r="AM142" s="315">
        <f t="shared" si="17"/>
        <v>0</v>
      </c>
      <c r="AN142" s="315">
        <f t="shared" si="17"/>
        <v>0</v>
      </c>
      <c r="AO142" s="315">
        <f t="shared" si="17"/>
        <v>0</v>
      </c>
      <c r="AP142" s="315">
        <f t="shared" si="17"/>
        <v>0</v>
      </c>
      <c r="AQ142" s="304"/>
      <c r="AR142" s="304"/>
    </row>
    <row r="143" spans="4:44" x14ac:dyDescent="0.25">
      <c r="D143" s="32"/>
      <c r="E143" s="32"/>
      <c r="F143" s="208" t="s">
        <v>234</v>
      </c>
      <c r="G143" t="s">
        <v>327</v>
      </c>
      <c r="H143" s="304"/>
      <c r="I143" s="304"/>
      <c r="J143" s="315">
        <f t="shared" ref="J143:AP143" si="18">hundred * $H38 * J63 / $H51 * J$78 / hours_in_year</f>
        <v>0.14845366564782531</v>
      </c>
      <c r="K143" s="315">
        <f t="shared" si="18"/>
        <v>0.10852963884238109</v>
      </c>
      <c r="L143" s="315">
        <f t="shared" si="18"/>
        <v>0</v>
      </c>
      <c r="M143" s="315">
        <f t="shared" si="18"/>
        <v>0.13560351393202033</v>
      </c>
      <c r="N143" s="315">
        <f t="shared" si="18"/>
        <v>0.10807203677244717</v>
      </c>
      <c r="O143" s="315">
        <f t="shared" si="18"/>
        <v>0</v>
      </c>
      <c r="P143" s="315">
        <f t="shared" si="18"/>
        <v>0.1074400676935941</v>
      </c>
      <c r="Q143" s="315">
        <f t="shared" si="18"/>
        <v>0.10418729500195315</v>
      </c>
      <c r="R143" s="315">
        <f t="shared" si="18"/>
        <v>0</v>
      </c>
      <c r="S143" s="315">
        <f t="shared" si="18"/>
        <v>0.14728624392548897</v>
      </c>
      <c r="T143" s="315">
        <f t="shared" si="18"/>
        <v>0.11943246201257433</v>
      </c>
      <c r="U143" s="315">
        <f t="shared" si="18"/>
        <v>0.10490913148365145</v>
      </c>
      <c r="V143" s="315">
        <f t="shared" si="18"/>
        <v>8.7777439265372167E-2</v>
      </c>
      <c r="W143" s="315">
        <f t="shared" si="18"/>
        <v>0</v>
      </c>
      <c r="X143" s="315">
        <f t="shared" si="18"/>
        <v>7.495814288598239E-2</v>
      </c>
      <c r="Y143" s="315">
        <f t="shared" si="18"/>
        <v>0.14057779675582116</v>
      </c>
      <c r="Z143" s="315">
        <f t="shared" si="18"/>
        <v>0.26014515515839481</v>
      </c>
      <c r="AA143" s="315">
        <f t="shared" si="18"/>
        <v>2.1480937290333721E-2</v>
      </c>
      <c r="AB143" s="315">
        <f t="shared" si="18"/>
        <v>0.13470236027368734</v>
      </c>
      <c r="AC143" s="315">
        <f t="shared" si="18"/>
        <v>-7.4949593813494239E-2</v>
      </c>
      <c r="AD143" s="315">
        <f t="shared" si="18"/>
        <v>0</v>
      </c>
      <c r="AE143" s="315">
        <f t="shared" si="18"/>
        <v>-7.4949593813494239E-2</v>
      </c>
      <c r="AF143" s="315">
        <f t="shared" si="18"/>
        <v>-7.4949593813494239E-2</v>
      </c>
      <c r="AG143" s="315">
        <f t="shared" si="18"/>
        <v>-7.4949593813494239E-2</v>
      </c>
      <c r="AH143" s="315">
        <f t="shared" si="18"/>
        <v>-7.4949593813494239E-2</v>
      </c>
      <c r="AI143" s="315">
        <f t="shared" si="18"/>
        <v>0</v>
      </c>
      <c r="AJ143" s="315">
        <f t="shared" si="18"/>
        <v>0</v>
      </c>
      <c r="AK143" s="315">
        <f t="shared" si="18"/>
        <v>0</v>
      </c>
      <c r="AL143" s="315">
        <f t="shared" si="18"/>
        <v>0</v>
      </c>
      <c r="AM143" s="315">
        <f t="shared" si="18"/>
        <v>0</v>
      </c>
      <c r="AN143" s="315">
        <f t="shared" si="18"/>
        <v>0</v>
      </c>
      <c r="AO143" s="315">
        <f t="shared" si="18"/>
        <v>0</v>
      </c>
      <c r="AP143" s="315">
        <f t="shared" si="18"/>
        <v>0</v>
      </c>
      <c r="AQ143" s="304"/>
      <c r="AR143" s="304"/>
    </row>
    <row r="144" spans="4:44" x14ac:dyDescent="0.25">
      <c r="D144" s="32"/>
      <c r="E144" s="32"/>
      <c r="F144" s="209" t="s">
        <v>235</v>
      </c>
      <c r="G144" s="37" t="s">
        <v>327</v>
      </c>
      <c r="H144" s="308"/>
      <c r="I144" s="308"/>
      <c r="J144" s="316">
        <f t="shared" ref="J144:AP144" si="19">hundred * $H39 * J64 / $H52 * J$78 / hours_in_year</f>
        <v>0.35240387710546184</v>
      </c>
      <c r="K144" s="316">
        <f t="shared" si="19"/>
        <v>0.25763099443864013</v>
      </c>
      <c r="L144" s="316">
        <f t="shared" si="19"/>
        <v>0</v>
      </c>
      <c r="M144" s="316">
        <f t="shared" si="19"/>
        <v>0.32189979176488265</v>
      </c>
      <c r="N144" s="316">
        <f t="shared" si="19"/>
        <v>0.25654472457179323</v>
      </c>
      <c r="O144" s="316">
        <f t="shared" si="19"/>
        <v>0</v>
      </c>
      <c r="P144" s="316">
        <f t="shared" si="19"/>
        <v>0.25504453693663626</v>
      </c>
      <c r="Q144" s="316">
        <f t="shared" si="19"/>
        <v>0</v>
      </c>
      <c r="R144" s="316">
        <f t="shared" si="19"/>
        <v>0</v>
      </c>
      <c r="S144" s="316">
        <f t="shared" si="19"/>
        <v>0.34963261551772556</v>
      </c>
      <c r="T144" s="316">
        <f t="shared" si="19"/>
        <v>0.28351245138889258</v>
      </c>
      <c r="U144" s="316">
        <f t="shared" si="19"/>
        <v>0.24903652272426741</v>
      </c>
      <c r="V144" s="316">
        <f t="shared" si="19"/>
        <v>0</v>
      </c>
      <c r="W144" s="316">
        <f t="shared" si="19"/>
        <v>0</v>
      </c>
      <c r="X144" s="316">
        <f t="shared" si="19"/>
        <v>0.17793794486901138</v>
      </c>
      <c r="Y144" s="316">
        <f t="shared" si="19"/>
        <v>0.33370789731267714</v>
      </c>
      <c r="Z144" s="316">
        <f t="shared" si="19"/>
        <v>0.61754056990079587</v>
      </c>
      <c r="AA144" s="316">
        <f t="shared" si="19"/>
        <v>5.0992109571285547E-2</v>
      </c>
      <c r="AB144" s="316">
        <f t="shared" si="19"/>
        <v>0.31976060549636909</v>
      </c>
      <c r="AC144" s="316">
        <f t="shared" si="19"/>
        <v>0</v>
      </c>
      <c r="AD144" s="316">
        <f t="shared" si="19"/>
        <v>0</v>
      </c>
      <c r="AE144" s="316">
        <f t="shared" si="19"/>
        <v>0</v>
      </c>
      <c r="AF144" s="316">
        <f t="shared" si="19"/>
        <v>0</v>
      </c>
      <c r="AG144" s="316">
        <f t="shared" si="19"/>
        <v>0</v>
      </c>
      <c r="AH144" s="316">
        <f t="shared" si="19"/>
        <v>0</v>
      </c>
      <c r="AI144" s="316">
        <f t="shared" si="19"/>
        <v>0</v>
      </c>
      <c r="AJ144" s="316">
        <f t="shared" si="19"/>
        <v>0</v>
      </c>
      <c r="AK144" s="316">
        <f t="shared" si="19"/>
        <v>0</v>
      </c>
      <c r="AL144" s="316">
        <f t="shared" si="19"/>
        <v>0</v>
      </c>
      <c r="AM144" s="316">
        <f t="shared" si="19"/>
        <v>0</v>
      </c>
      <c r="AN144" s="316">
        <f t="shared" si="19"/>
        <v>0</v>
      </c>
      <c r="AO144" s="316">
        <f t="shared" si="19"/>
        <v>0</v>
      </c>
      <c r="AP144" s="316">
        <f t="shared" si="19"/>
        <v>0</v>
      </c>
      <c r="AQ144" s="304"/>
      <c r="AR144" s="304"/>
    </row>
    <row r="145" spans="3:44" x14ac:dyDescent="0.25">
      <c r="C145" s="32"/>
      <c r="D145" s="32"/>
      <c r="E145" s="32"/>
      <c r="J145" s="169"/>
      <c r="K145" s="169"/>
      <c r="L145" s="169"/>
      <c r="M145" s="169"/>
      <c r="N145" s="169"/>
      <c r="O145" s="169"/>
      <c r="P145" s="169"/>
      <c r="Q145" s="169"/>
      <c r="R145" s="169"/>
      <c r="S145" s="169"/>
      <c r="T145" s="169"/>
      <c r="U145" s="169"/>
      <c r="V145" s="169"/>
      <c r="W145" s="169"/>
      <c r="X145" s="169"/>
      <c r="Y145" s="169"/>
      <c r="Z145" s="169"/>
      <c r="AA145" s="169"/>
      <c r="AB145" s="169"/>
      <c r="AC145" s="169"/>
      <c r="AD145" s="169"/>
      <c r="AE145" s="169"/>
      <c r="AF145" s="169"/>
      <c r="AG145" s="169"/>
      <c r="AH145" s="169"/>
      <c r="AI145" s="169"/>
      <c r="AJ145" s="169"/>
      <c r="AK145" s="169"/>
      <c r="AL145" s="169"/>
      <c r="AM145" s="169"/>
      <c r="AN145" s="169"/>
      <c r="AO145" s="169"/>
      <c r="AP145" s="169"/>
    </row>
    <row r="146" spans="3:44" x14ac:dyDescent="0.25">
      <c r="C146" s="31" t="str">
        <f ca="1">INDEX('Version control'!$H$34:$H$56,MATCH($A$1,'Version control'!$F$34:$F$56,0),1)&amp;"-C: Unit rate 1"</f>
        <v>Section 109-C: Unit rate 1</v>
      </c>
      <c r="D146" s="31"/>
      <c r="E146" s="31"/>
      <c r="F146" s="31"/>
      <c r="G146" s="31"/>
      <c r="H146" s="31"/>
      <c r="I146" s="31"/>
      <c r="J146" s="215"/>
      <c r="K146" s="215"/>
      <c r="L146" s="215"/>
      <c r="M146" s="215"/>
      <c r="N146" s="215"/>
      <c r="O146" s="215"/>
      <c r="P146" s="215"/>
      <c r="Q146" s="215"/>
      <c r="R146" s="215"/>
      <c r="S146" s="215"/>
      <c r="T146" s="215"/>
      <c r="U146" s="215"/>
      <c r="V146" s="215"/>
      <c r="W146" s="215"/>
      <c r="X146" s="215"/>
      <c r="Y146" s="215"/>
      <c r="Z146" s="215"/>
      <c r="AA146" s="215"/>
      <c r="AB146" s="215"/>
      <c r="AC146" s="215"/>
      <c r="AD146" s="215"/>
      <c r="AE146" s="215"/>
      <c r="AF146" s="215"/>
      <c r="AG146" s="215"/>
      <c r="AH146" s="215"/>
      <c r="AI146" s="215"/>
      <c r="AJ146" s="215"/>
      <c r="AK146" s="215"/>
      <c r="AL146" s="215"/>
      <c r="AM146" s="215"/>
      <c r="AN146" s="215"/>
      <c r="AO146" s="215"/>
      <c r="AP146" s="215"/>
      <c r="AQ146" s="31"/>
      <c r="AR146" s="31"/>
    </row>
    <row r="147" spans="3:44" x14ac:dyDescent="0.25">
      <c r="C147" s="32"/>
      <c r="D147" s="32"/>
      <c r="E147" s="32"/>
      <c r="J147" s="169"/>
      <c r="K147" s="169"/>
      <c r="L147" s="169"/>
      <c r="M147" s="169"/>
      <c r="N147" s="169"/>
      <c r="O147" s="169"/>
      <c r="P147" s="169"/>
      <c r="Q147" s="169"/>
      <c r="R147" s="169"/>
      <c r="S147" s="169"/>
      <c r="T147" s="169"/>
      <c r="U147" s="169"/>
      <c r="V147" s="169"/>
      <c r="W147" s="169"/>
      <c r="X147" s="169"/>
      <c r="Y147" s="169"/>
      <c r="Z147" s="169"/>
      <c r="AA147" s="169"/>
      <c r="AB147" s="169"/>
      <c r="AC147" s="169"/>
      <c r="AD147" s="169"/>
      <c r="AE147" s="169"/>
      <c r="AF147" s="169"/>
      <c r="AG147" s="169"/>
      <c r="AH147" s="169"/>
      <c r="AI147" s="169"/>
      <c r="AJ147" s="169"/>
      <c r="AK147" s="169"/>
      <c r="AL147" s="169"/>
      <c r="AM147" s="169"/>
      <c r="AN147" s="169"/>
      <c r="AO147" s="169"/>
      <c r="AP147" s="169"/>
    </row>
    <row r="148" spans="3:44" x14ac:dyDescent="0.25">
      <c r="D148" s="29" t="s">
        <v>735</v>
      </c>
      <c r="E148" s="32"/>
      <c r="F148" s="32"/>
      <c r="J148" s="169"/>
      <c r="K148" s="169"/>
      <c r="L148" s="169"/>
      <c r="M148" s="169"/>
      <c r="N148" s="169"/>
      <c r="O148" s="169"/>
      <c r="P148" s="169"/>
      <c r="Q148" s="169"/>
      <c r="R148" s="169"/>
      <c r="S148" s="169"/>
      <c r="T148" s="169"/>
      <c r="U148" s="169"/>
      <c r="V148" s="169"/>
      <c r="W148" s="169"/>
      <c r="X148" s="169"/>
      <c r="Y148" s="169"/>
      <c r="Z148" s="169"/>
      <c r="AA148" s="169"/>
      <c r="AB148" s="169"/>
      <c r="AC148" s="169"/>
      <c r="AD148" s="169"/>
      <c r="AE148" s="169"/>
      <c r="AF148" s="169"/>
      <c r="AG148" s="169"/>
      <c r="AH148" s="169"/>
      <c r="AI148" s="169"/>
      <c r="AJ148" s="169"/>
      <c r="AK148" s="169"/>
      <c r="AL148" s="169"/>
      <c r="AM148" s="169"/>
      <c r="AN148" s="169"/>
      <c r="AO148" s="169"/>
      <c r="AP148" s="169"/>
    </row>
    <row r="149" spans="3:44" x14ac:dyDescent="0.25">
      <c r="D149" s="29" t="s">
        <v>736</v>
      </c>
      <c r="E149" s="32"/>
      <c r="F149" s="32"/>
      <c r="J149" s="169"/>
      <c r="K149" s="169"/>
      <c r="L149" s="169"/>
      <c r="M149" s="169"/>
      <c r="N149" s="169"/>
      <c r="O149" s="169"/>
      <c r="P149" s="169"/>
      <c r="Q149" s="169"/>
      <c r="R149" s="169"/>
      <c r="S149" s="169"/>
      <c r="T149" s="169"/>
      <c r="U149" s="169"/>
      <c r="V149" s="169"/>
      <c r="W149" s="169"/>
      <c r="X149" s="169"/>
      <c r="Y149" s="169"/>
      <c r="Z149" s="169"/>
      <c r="AA149" s="169"/>
      <c r="AB149" s="169"/>
      <c r="AC149" s="169"/>
      <c r="AD149" s="169"/>
      <c r="AE149" s="169"/>
      <c r="AF149" s="169"/>
      <c r="AG149" s="169"/>
      <c r="AH149" s="169"/>
      <c r="AI149" s="169"/>
      <c r="AJ149" s="169"/>
      <c r="AK149" s="169"/>
      <c r="AL149" s="169"/>
      <c r="AM149" s="169"/>
      <c r="AN149" s="169"/>
      <c r="AO149" s="169"/>
      <c r="AP149" s="169"/>
    </row>
    <row r="150" spans="3:44" x14ac:dyDescent="0.25">
      <c r="D150" s="32"/>
      <c r="E150" s="32"/>
      <c r="F150" s="32"/>
      <c r="I150" s="3" t="s">
        <v>190</v>
      </c>
      <c r="J150" s="169"/>
      <c r="K150" s="169"/>
      <c r="L150" s="169"/>
      <c r="M150" s="169"/>
      <c r="N150" s="169"/>
      <c r="O150" s="169"/>
      <c r="P150" s="169"/>
      <c r="Q150" s="169"/>
      <c r="R150" s="169"/>
      <c r="S150" s="169"/>
      <c r="T150" s="169"/>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R150" t="s">
        <v>737</v>
      </c>
    </row>
    <row r="151" spans="3:44" x14ac:dyDescent="0.25">
      <c r="E151" s="32" t="s">
        <v>733</v>
      </c>
      <c r="J151" s="169"/>
      <c r="K151" s="169"/>
      <c r="L151" s="169"/>
      <c r="M151" s="169"/>
      <c r="N151" s="169"/>
      <c r="O151" s="169"/>
      <c r="P151" s="169"/>
      <c r="Q151" s="169"/>
      <c r="R151" s="169"/>
      <c r="S151" s="169"/>
      <c r="T151" s="169"/>
      <c r="U151" s="169"/>
      <c r="V151" s="169"/>
      <c r="W151" s="169"/>
      <c r="X151" s="169"/>
      <c r="Y151" s="169"/>
      <c r="Z151" s="169"/>
      <c r="AA151" s="169"/>
      <c r="AB151" s="169"/>
      <c r="AC151" s="169"/>
      <c r="AD151" s="169"/>
      <c r="AE151" s="169"/>
      <c r="AF151" s="169"/>
      <c r="AG151" s="169"/>
      <c r="AH151" s="169"/>
      <c r="AI151" s="169"/>
      <c r="AJ151" s="169"/>
      <c r="AK151" s="169"/>
      <c r="AL151" s="169"/>
      <c r="AM151" s="169"/>
      <c r="AN151" s="169"/>
      <c r="AO151" s="169"/>
      <c r="AP151" s="169"/>
    </row>
    <row r="152" spans="3:44" x14ac:dyDescent="0.25">
      <c r="E152" s="32"/>
      <c r="F152" s="207" t="s">
        <v>225</v>
      </c>
      <c r="G152" s="23" t="s">
        <v>327</v>
      </c>
      <c r="H152" s="302"/>
      <c r="I152" s="302"/>
      <c r="J152" s="314">
        <f t="shared" ref="J152:AP152" si="20">hundred * $H18 * J55 / $H43 * J81 * (1 - J67) / hours_in_year</f>
        <v>0</v>
      </c>
      <c r="K152" s="314">
        <f t="shared" si="20"/>
        <v>0</v>
      </c>
      <c r="L152" s="314">
        <f t="shared" si="20"/>
        <v>0</v>
      </c>
      <c r="M152" s="314">
        <f t="shared" si="20"/>
        <v>0</v>
      </c>
      <c r="N152" s="314">
        <f t="shared" si="20"/>
        <v>0</v>
      </c>
      <c r="O152" s="314">
        <f t="shared" si="20"/>
        <v>0</v>
      </c>
      <c r="P152" s="314">
        <f t="shared" si="20"/>
        <v>0</v>
      </c>
      <c r="Q152" s="314">
        <f t="shared" si="20"/>
        <v>0</v>
      </c>
      <c r="R152" s="314">
        <f t="shared" si="20"/>
        <v>0</v>
      </c>
      <c r="S152" s="314">
        <f t="shared" si="20"/>
        <v>0</v>
      </c>
      <c r="T152" s="314">
        <f t="shared" si="20"/>
        <v>0</v>
      </c>
      <c r="U152" s="314">
        <f t="shared" si="20"/>
        <v>0</v>
      </c>
      <c r="V152" s="314">
        <f t="shared" si="20"/>
        <v>0</v>
      </c>
      <c r="W152" s="314">
        <f t="shared" si="20"/>
        <v>0</v>
      </c>
      <c r="X152" s="314">
        <f t="shared" si="20"/>
        <v>0</v>
      </c>
      <c r="Y152" s="314">
        <f t="shared" si="20"/>
        <v>0</v>
      </c>
      <c r="Z152" s="314">
        <f t="shared" si="20"/>
        <v>0</v>
      </c>
      <c r="AA152" s="314">
        <f t="shared" si="20"/>
        <v>0</v>
      </c>
      <c r="AB152" s="314">
        <f t="shared" si="20"/>
        <v>0</v>
      </c>
      <c r="AC152" s="314">
        <f t="shared" si="20"/>
        <v>0</v>
      </c>
      <c r="AD152" s="314">
        <f t="shared" si="20"/>
        <v>0</v>
      </c>
      <c r="AE152" s="314">
        <f t="shared" si="20"/>
        <v>0</v>
      </c>
      <c r="AF152" s="314">
        <f t="shared" si="20"/>
        <v>0</v>
      </c>
      <c r="AG152" s="314">
        <f t="shared" si="20"/>
        <v>0</v>
      </c>
      <c r="AH152" s="314">
        <f t="shared" si="20"/>
        <v>0</v>
      </c>
      <c r="AI152" s="314">
        <f t="shared" si="20"/>
        <v>0</v>
      </c>
      <c r="AJ152" s="314">
        <f t="shared" si="20"/>
        <v>0</v>
      </c>
      <c r="AK152" s="314">
        <f t="shared" si="20"/>
        <v>0</v>
      </c>
      <c r="AL152" s="314">
        <f t="shared" si="20"/>
        <v>0</v>
      </c>
      <c r="AM152" s="314">
        <f t="shared" si="20"/>
        <v>0</v>
      </c>
      <c r="AN152" s="314">
        <f t="shared" si="20"/>
        <v>0</v>
      </c>
      <c r="AO152" s="314">
        <f t="shared" si="20"/>
        <v>0</v>
      </c>
      <c r="AP152" s="314">
        <f t="shared" si="20"/>
        <v>0</v>
      </c>
      <c r="AQ152" s="304"/>
      <c r="AR152" s="304"/>
    </row>
    <row r="153" spans="3:44" x14ac:dyDescent="0.25">
      <c r="E153" s="32"/>
      <c r="F153" s="208" t="s">
        <v>227</v>
      </c>
      <c r="G153" t="s">
        <v>327</v>
      </c>
      <c r="H153" s="304"/>
      <c r="I153" s="304"/>
      <c r="J153" s="315">
        <f t="shared" ref="J153:AP153" si="21">hundred * $H19 * J56 / $H44 * J82 * (1 - J68) / hours_in_year</f>
        <v>0</v>
      </c>
      <c r="K153" s="315">
        <f t="shared" si="21"/>
        <v>0</v>
      </c>
      <c r="L153" s="315">
        <f t="shared" si="21"/>
        <v>0</v>
      </c>
      <c r="M153" s="315">
        <f t="shared" si="21"/>
        <v>0</v>
      </c>
      <c r="N153" s="315">
        <f t="shared" si="21"/>
        <v>0</v>
      </c>
      <c r="O153" s="315">
        <f t="shared" si="21"/>
        <v>0</v>
      </c>
      <c r="P153" s="315">
        <f t="shared" si="21"/>
        <v>0</v>
      </c>
      <c r="Q153" s="315">
        <f t="shared" si="21"/>
        <v>0</v>
      </c>
      <c r="R153" s="315">
        <f t="shared" si="21"/>
        <v>0</v>
      </c>
      <c r="S153" s="315">
        <f t="shared" si="21"/>
        <v>0</v>
      </c>
      <c r="T153" s="315">
        <f t="shared" si="21"/>
        <v>0</v>
      </c>
      <c r="U153" s="315">
        <f t="shared" si="21"/>
        <v>0</v>
      </c>
      <c r="V153" s="315">
        <f t="shared" si="21"/>
        <v>0</v>
      </c>
      <c r="W153" s="315">
        <f t="shared" si="21"/>
        <v>0</v>
      </c>
      <c r="X153" s="315">
        <f t="shared" si="21"/>
        <v>0</v>
      </c>
      <c r="Y153" s="315">
        <f t="shared" si="21"/>
        <v>0</v>
      </c>
      <c r="Z153" s="315">
        <f t="shared" si="21"/>
        <v>0</v>
      </c>
      <c r="AA153" s="315">
        <f t="shared" si="21"/>
        <v>0</v>
      </c>
      <c r="AB153" s="315">
        <f t="shared" si="21"/>
        <v>0</v>
      </c>
      <c r="AC153" s="315">
        <f t="shared" si="21"/>
        <v>0</v>
      </c>
      <c r="AD153" s="315">
        <f t="shared" si="21"/>
        <v>0</v>
      </c>
      <c r="AE153" s="315">
        <f t="shared" si="21"/>
        <v>0</v>
      </c>
      <c r="AF153" s="315">
        <f t="shared" si="21"/>
        <v>0</v>
      </c>
      <c r="AG153" s="315">
        <f t="shared" si="21"/>
        <v>0</v>
      </c>
      <c r="AH153" s="315">
        <f t="shared" si="21"/>
        <v>0</v>
      </c>
      <c r="AI153" s="315">
        <f t="shared" si="21"/>
        <v>0</v>
      </c>
      <c r="AJ153" s="315">
        <f t="shared" si="21"/>
        <v>0</v>
      </c>
      <c r="AK153" s="315">
        <f t="shared" si="21"/>
        <v>0</v>
      </c>
      <c r="AL153" s="315">
        <f t="shared" si="21"/>
        <v>0</v>
      </c>
      <c r="AM153" s="315">
        <f t="shared" si="21"/>
        <v>0</v>
      </c>
      <c r="AN153" s="315">
        <f t="shared" si="21"/>
        <v>0</v>
      </c>
      <c r="AO153" s="315">
        <f t="shared" si="21"/>
        <v>0</v>
      </c>
      <c r="AP153" s="315">
        <f t="shared" si="21"/>
        <v>0</v>
      </c>
      <c r="AQ153" s="304"/>
      <c r="AR153" s="304"/>
    </row>
    <row r="154" spans="3:44" x14ac:dyDescent="0.25">
      <c r="E154" s="32"/>
      <c r="F154" s="208" t="s">
        <v>228</v>
      </c>
      <c r="G154" t="s">
        <v>327</v>
      </c>
      <c r="H154" s="304"/>
      <c r="I154" s="304"/>
      <c r="J154" s="315">
        <f t="shared" ref="J154:AP154" si="22">hundred * $H20 * J57 / $H45 * J83 * (1 - J69) / hours_in_year</f>
        <v>0</v>
      </c>
      <c r="K154" s="315">
        <f t="shared" si="22"/>
        <v>0</v>
      </c>
      <c r="L154" s="315">
        <f t="shared" si="22"/>
        <v>0</v>
      </c>
      <c r="M154" s="315">
        <f t="shared" si="22"/>
        <v>0</v>
      </c>
      <c r="N154" s="315">
        <f t="shared" si="22"/>
        <v>0</v>
      </c>
      <c r="O154" s="315">
        <f t="shared" si="22"/>
        <v>0</v>
      </c>
      <c r="P154" s="315">
        <f t="shared" si="22"/>
        <v>0</v>
      </c>
      <c r="Q154" s="315">
        <f t="shared" si="22"/>
        <v>0</v>
      </c>
      <c r="R154" s="315">
        <f t="shared" si="22"/>
        <v>0</v>
      </c>
      <c r="S154" s="315">
        <f t="shared" si="22"/>
        <v>0</v>
      </c>
      <c r="T154" s="315">
        <f t="shared" si="22"/>
        <v>0</v>
      </c>
      <c r="U154" s="315">
        <f t="shared" si="22"/>
        <v>0</v>
      </c>
      <c r="V154" s="315">
        <f t="shared" si="22"/>
        <v>0</v>
      </c>
      <c r="W154" s="315">
        <f t="shared" si="22"/>
        <v>0</v>
      </c>
      <c r="X154" s="315">
        <f t="shared" si="22"/>
        <v>0</v>
      </c>
      <c r="Y154" s="315">
        <f t="shared" si="22"/>
        <v>0</v>
      </c>
      <c r="Z154" s="315">
        <f t="shared" si="22"/>
        <v>0</v>
      </c>
      <c r="AA154" s="315">
        <f t="shared" si="22"/>
        <v>0</v>
      </c>
      <c r="AB154" s="315">
        <f t="shared" si="22"/>
        <v>0</v>
      </c>
      <c r="AC154" s="315">
        <f t="shared" si="22"/>
        <v>0</v>
      </c>
      <c r="AD154" s="315">
        <f t="shared" si="22"/>
        <v>0</v>
      </c>
      <c r="AE154" s="315">
        <f t="shared" si="22"/>
        <v>0</v>
      </c>
      <c r="AF154" s="315">
        <f t="shared" si="22"/>
        <v>0</v>
      </c>
      <c r="AG154" s="315">
        <f t="shared" si="22"/>
        <v>0</v>
      </c>
      <c r="AH154" s="315">
        <f t="shared" si="22"/>
        <v>0</v>
      </c>
      <c r="AI154" s="315">
        <f t="shared" si="22"/>
        <v>0</v>
      </c>
      <c r="AJ154" s="315">
        <f t="shared" si="22"/>
        <v>0</v>
      </c>
      <c r="AK154" s="315">
        <f t="shared" si="22"/>
        <v>0</v>
      </c>
      <c r="AL154" s="315">
        <f t="shared" si="22"/>
        <v>0</v>
      </c>
      <c r="AM154" s="315">
        <f t="shared" si="22"/>
        <v>0</v>
      </c>
      <c r="AN154" s="315">
        <f t="shared" si="22"/>
        <v>0</v>
      </c>
      <c r="AO154" s="315">
        <f t="shared" si="22"/>
        <v>0</v>
      </c>
      <c r="AP154" s="315">
        <f t="shared" si="22"/>
        <v>0</v>
      </c>
      <c r="AQ154" s="304"/>
      <c r="AR154" s="304"/>
    </row>
    <row r="155" spans="3:44" x14ac:dyDescent="0.25">
      <c r="E155" s="32"/>
      <c r="F155" s="208" t="s">
        <v>229</v>
      </c>
      <c r="G155" t="s">
        <v>327</v>
      </c>
      <c r="H155" s="304"/>
      <c r="I155" s="304"/>
      <c r="J155" s="315">
        <f t="shared" ref="J155:AP155" si="23">hundred * $H21 * J58 / $H46 * J84 * (1 - J70) / hours_in_year</f>
        <v>0</v>
      </c>
      <c r="K155" s="315">
        <f t="shared" si="23"/>
        <v>0</v>
      </c>
      <c r="L155" s="315">
        <f t="shared" si="23"/>
        <v>0</v>
      </c>
      <c r="M155" s="315">
        <f t="shared" si="23"/>
        <v>0</v>
      </c>
      <c r="N155" s="315">
        <f t="shared" si="23"/>
        <v>0</v>
      </c>
      <c r="O155" s="315">
        <f t="shared" si="23"/>
        <v>0</v>
      </c>
      <c r="P155" s="315">
        <f t="shared" si="23"/>
        <v>0</v>
      </c>
      <c r="Q155" s="315">
        <f t="shared" si="23"/>
        <v>0</v>
      </c>
      <c r="R155" s="315">
        <f t="shared" si="23"/>
        <v>0</v>
      </c>
      <c r="S155" s="315">
        <f t="shared" si="23"/>
        <v>0</v>
      </c>
      <c r="T155" s="315">
        <f t="shared" si="23"/>
        <v>0</v>
      </c>
      <c r="U155" s="315">
        <f t="shared" si="23"/>
        <v>0</v>
      </c>
      <c r="V155" s="315">
        <f t="shared" si="23"/>
        <v>0</v>
      </c>
      <c r="W155" s="315">
        <f t="shared" si="23"/>
        <v>0</v>
      </c>
      <c r="X155" s="315">
        <f t="shared" si="23"/>
        <v>0</v>
      </c>
      <c r="Y155" s="315">
        <f t="shared" si="23"/>
        <v>0</v>
      </c>
      <c r="Z155" s="315">
        <f t="shared" si="23"/>
        <v>0</v>
      </c>
      <c r="AA155" s="315">
        <f t="shared" si="23"/>
        <v>0</v>
      </c>
      <c r="AB155" s="315">
        <f t="shared" si="23"/>
        <v>0</v>
      </c>
      <c r="AC155" s="315">
        <f t="shared" si="23"/>
        <v>0</v>
      </c>
      <c r="AD155" s="315">
        <f t="shared" si="23"/>
        <v>0</v>
      </c>
      <c r="AE155" s="315">
        <f t="shared" si="23"/>
        <v>0</v>
      </c>
      <c r="AF155" s="315">
        <f t="shared" si="23"/>
        <v>0</v>
      </c>
      <c r="AG155" s="315">
        <f t="shared" si="23"/>
        <v>0</v>
      </c>
      <c r="AH155" s="315">
        <f t="shared" si="23"/>
        <v>0</v>
      </c>
      <c r="AI155" s="315">
        <f t="shared" si="23"/>
        <v>0</v>
      </c>
      <c r="AJ155" s="315">
        <f t="shared" si="23"/>
        <v>0</v>
      </c>
      <c r="AK155" s="315">
        <f t="shared" si="23"/>
        <v>0</v>
      </c>
      <c r="AL155" s="315">
        <f t="shared" si="23"/>
        <v>0</v>
      </c>
      <c r="AM155" s="315">
        <f t="shared" si="23"/>
        <v>0</v>
      </c>
      <c r="AN155" s="315">
        <f t="shared" si="23"/>
        <v>0</v>
      </c>
      <c r="AO155" s="315">
        <f t="shared" si="23"/>
        <v>0</v>
      </c>
      <c r="AP155" s="315">
        <f t="shared" si="23"/>
        <v>0</v>
      </c>
      <c r="AQ155" s="304"/>
      <c r="AR155" s="304"/>
    </row>
    <row r="156" spans="3:44" x14ac:dyDescent="0.25">
      <c r="E156" s="32"/>
      <c r="F156" s="208" t="s">
        <v>230</v>
      </c>
      <c r="G156" t="s">
        <v>327</v>
      </c>
      <c r="H156" s="304"/>
      <c r="I156" s="304"/>
      <c r="J156" s="315">
        <f t="shared" ref="J156:AP156" si="24">hundred * $H22 * J59 / $H47 * J85 * (1 - J71) / hours_in_year</f>
        <v>0.17889718427478851</v>
      </c>
      <c r="K156" s="315">
        <f t="shared" si="24"/>
        <v>0.20664134615633994</v>
      </c>
      <c r="L156" s="315">
        <f t="shared" si="24"/>
        <v>7.1520946310332498E-2</v>
      </c>
      <c r="M156" s="315">
        <f t="shared" si="24"/>
        <v>0.18420815783087982</v>
      </c>
      <c r="N156" s="315">
        <f t="shared" si="24"/>
        <v>0.19972006770306797</v>
      </c>
      <c r="O156" s="315">
        <f t="shared" si="24"/>
        <v>6.4935681506658419E-2</v>
      </c>
      <c r="P156" s="315">
        <f t="shared" si="24"/>
        <v>0.17326453977290304</v>
      </c>
      <c r="Q156" s="315">
        <f t="shared" si="24"/>
        <v>0.13675492529196476</v>
      </c>
      <c r="R156" s="315">
        <f t="shared" si="24"/>
        <v>0.18524138321172998</v>
      </c>
      <c r="S156" s="315">
        <f t="shared" si="24"/>
        <v>0.74579592562287644</v>
      </c>
      <c r="T156" s="315">
        <f t="shared" si="24"/>
        <v>0.81522571798329779</v>
      </c>
      <c r="U156" s="315">
        <f t="shared" si="24"/>
        <v>0.64746405409048546</v>
      </c>
      <c r="V156" s="315">
        <f t="shared" si="24"/>
        <v>0.62327085203520471</v>
      </c>
      <c r="W156" s="315">
        <f t="shared" si="24"/>
        <v>0.57632185314871009</v>
      </c>
      <c r="X156" s="315">
        <f t="shared" si="24"/>
        <v>0.10184180735277856</v>
      </c>
      <c r="Y156" s="315">
        <f t="shared" si="24"/>
        <v>0.10678712142205964</v>
      </c>
      <c r="Z156" s="315">
        <f t="shared" si="24"/>
        <v>0.16726272808180856</v>
      </c>
      <c r="AA156" s="315">
        <f t="shared" si="24"/>
        <v>0.10297184219502425</v>
      </c>
      <c r="AB156" s="315">
        <f t="shared" si="24"/>
        <v>1.1508028728166</v>
      </c>
      <c r="AC156" s="315">
        <f t="shared" si="24"/>
        <v>-0.10571714383350229</v>
      </c>
      <c r="AD156" s="315">
        <f t="shared" si="24"/>
        <v>-0.10251653305689165</v>
      </c>
      <c r="AE156" s="315">
        <f t="shared" si="24"/>
        <v>-0.10571714383350229</v>
      </c>
      <c r="AF156" s="315">
        <f t="shared" si="24"/>
        <v>-0.10571714383350229</v>
      </c>
      <c r="AG156" s="315">
        <f t="shared" si="24"/>
        <v>-0.54405849654084415</v>
      </c>
      <c r="AH156" s="315">
        <f t="shared" si="24"/>
        <v>-0.54405849654084415</v>
      </c>
      <c r="AI156" s="315">
        <f t="shared" si="24"/>
        <v>-0.10251653305689165</v>
      </c>
      <c r="AJ156" s="315">
        <f t="shared" si="24"/>
        <v>-0.10251653305689165</v>
      </c>
      <c r="AK156" s="315">
        <f t="shared" si="24"/>
        <v>-0.52758700077401099</v>
      </c>
      <c r="AL156" s="315">
        <f t="shared" si="24"/>
        <v>-0.52758700077401099</v>
      </c>
      <c r="AM156" s="315">
        <f t="shared" si="24"/>
        <v>-9.9850951993363149E-2</v>
      </c>
      <c r="AN156" s="315">
        <f t="shared" si="24"/>
        <v>-9.9850951993363149E-2</v>
      </c>
      <c r="AO156" s="315">
        <f t="shared" si="24"/>
        <v>-0.51386896060339238</v>
      </c>
      <c r="AP156" s="315">
        <f t="shared" si="24"/>
        <v>-0.51386896060339238</v>
      </c>
      <c r="AQ156" s="304"/>
      <c r="AR156" s="304"/>
    </row>
    <row r="157" spans="3:44" x14ac:dyDescent="0.25">
      <c r="E157" s="32"/>
      <c r="F157" s="208" t="s">
        <v>231</v>
      </c>
      <c r="G157" t="s">
        <v>327</v>
      </c>
      <c r="H157" s="304"/>
      <c r="I157" s="304"/>
      <c r="J157" s="315">
        <f t="shared" ref="J157:AP157" si="25">hundred * $H23 * J60 / $H48 * J86 * (1 - J72) / hours_in_year</f>
        <v>0.16223566934743014</v>
      </c>
      <c r="K157" s="315">
        <f t="shared" si="25"/>
        <v>0.18739589023957798</v>
      </c>
      <c r="L157" s="315">
        <f t="shared" si="25"/>
        <v>6.4859872691990825E-2</v>
      </c>
      <c r="M157" s="315">
        <f t="shared" si="25"/>
        <v>0.16705200758803376</v>
      </c>
      <c r="N157" s="315">
        <f t="shared" si="25"/>
        <v>0.18111922217932624</v>
      </c>
      <c r="O157" s="315">
        <f t="shared" si="25"/>
        <v>5.8887923789692202E-2</v>
      </c>
      <c r="P157" s="315">
        <f t="shared" si="25"/>
        <v>0.15712761885091769</v>
      </c>
      <c r="Q157" s="315">
        <f t="shared" si="25"/>
        <v>0.12401831214526493</v>
      </c>
      <c r="R157" s="315">
        <f t="shared" si="25"/>
        <v>0.16830631246418284</v>
      </c>
      <c r="S157" s="315">
        <f t="shared" si="25"/>
        <v>0.67633653196108479</v>
      </c>
      <c r="T157" s="315">
        <f t="shared" si="25"/>
        <v>0.73930000945743501</v>
      </c>
      <c r="U157" s="315">
        <f t="shared" si="25"/>
        <v>0.58716275842790822</v>
      </c>
      <c r="V157" s="315">
        <f t="shared" si="25"/>
        <v>0.56522278019400118</v>
      </c>
      <c r="W157" s="315">
        <f t="shared" si="25"/>
        <v>0.52363356510415815</v>
      </c>
      <c r="X157" s="315">
        <f t="shared" si="25"/>
        <v>9.2356812939277305E-2</v>
      </c>
      <c r="Y157" s="315">
        <f t="shared" si="25"/>
        <v>9.6841547237446701E-2</v>
      </c>
      <c r="Z157" s="315">
        <f t="shared" si="25"/>
        <v>0.15168478339797775</v>
      </c>
      <c r="AA157" s="315">
        <f t="shared" si="25"/>
        <v>9.3381602456009141E-2</v>
      </c>
      <c r="AB157" s="315">
        <f t="shared" si="25"/>
        <v>1.0436233254044451</v>
      </c>
      <c r="AC157" s="315">
        <f t="shared" si="25"/>
        <v>-9.5871221567034162E-2</v>
      </c>
      <c r="AD157" s="315">
        <f t="shared" si="25"/>
        <v>-9.2968698345279904E-2</v>
      </c>
      <c r="AE157" s="315">
        <f t="shared" si="25"/>
        <v>-9.5871221567034162E-2</v>
      </c>
      <c r="AF157" s="315">
        <f t="shared" si="25"/>
        <v>-9.5871221567034162E-2</v>
      </c>
      <c r="AG157" s="315">
        <f t="shared" si="25"/>
        <v>-0.49338783451662949</v>
      </c>
      <c r="AH157" s="315">
        <f t="shared" si="25"/>
        <v>-0.49338783451662949</v>
      </c>
      <c r="AI157" s="315">
        <f t="shared" si="25"/>
        <v>-9.2968698345279904E-2</v>
      </c>
      <c r="AJ157" s="315">
        <f t="shared" si="25"/>
        <v>-9.2968698345279904E-2</v>
      </c>
      <c r="AK157" s="315">
        <f t="shared" si="25"/>
        <v>-0.47845040466429123</v>
      </c>
      <c r="AL157" s="315">
        <f t="shared" si="25"/>
        <v>-0.47845040466429123</v>
      </c>
      <c r="AM157" s="315">
        <f t="shared" si="25"/>
        <v>-9.0722414369106955E-2</v>
      </c>
      <c r="AN157" s="315">
        <f t="shared" si="25"/>
        <v>-9.0722414369106955E-2</v>
      </c>
      <c r="AO157" s="315">
        <f t="shared" si="25"/>
        <v>-0.46689021831641558</v>
      </c>
      <c r="AP157" s="315">
        <f t="shared" si="25"/>
        <v>-0.46689021831641558</v>
      </c>
      <c r="AQ157" s="304"/>
      <c r="AR157" s="304"/>
    </row>
    <row r="158" spans="3:44" x14ac:dyDescent="0.25">
      <c r="E158" s="32"/>
      <c r="F158" s="208" t="s">
        <v>232</v>
      </c>
      <c r="G158" t="s">
        <v>327</v>
      </c>
      <c r="H158" s="304"/>
      <c r="I158" s="304"/>
      <c r="J158" s="315">
        <f t="shared" ref="J158:AP158" si="26">hundred * $H24 * J61 / $H49 * J87 * (1 - J73) / hours_in_year</f>
        <v>0</v>
      </c>
      <c r="K158" s="315">
        <f t="shared" si="26"/>
        <v>0</v>
      </c>
      <c r="L158" s="315">
        <f t="shared" si="26"/>
        <v>0</v>
      </c>
      <c r="M158" s="315">
        <f t="shared" si="26"/>
        <v>0</v>
      </c>
      <c r="N158" s="315">
        <f t="shared" si="26"/>
        <v>0</v>
      </c>
      <c r="O158" s="315">
        <f t="shared" si="26"/>
        <v>0</v>
      </c>
      <c r="P158" s="315">
        <f t="shared" si="26"/>
        <v>0</v>
      </c>
      <c r="Q158" s="315">
        <f t="shared" si="26"/>
        <v>0</v>
      </c>
      <c r="R158" s="315">
        <f t="shared" si="26"/>
        <v>0</v>
      </c>
      <c r="S158" s="315">
        <f t="shared" si="26"/>
        <v>0</v>
      </c>
      <c r="T158" s="315">
        <f t="shared" si="26"/>
        <v>0</v>
      </c>
      <c r="U158" s="315">
        <f t="shared" si="26"/>
        <v>0</v>
      </c>
      <c r="V158" s="315">
        <f t="shared" si="26"/>
        <v>0</v>
      </c>
      <c r="W158" s="315">
        <f t="shared" si="26"/>
        <v>0</v>
      </c>
      <c r="X158" s="315">
        <f t="shared" si="26"/>
        <v>0</v>
      </c>
      <c r="Y158" s="315">
        <f t="shared" si="26"/>
        <v>0</v>
      </c>
      <c r="Z158" s="315">
        <f t="shared" si="26"/>
        <v>0</v>
      </c>
      <c r="AA158" s="315">
        <f t="shared" si="26"/>
        <v>0</v>
      </c>
      <c r="AB158" s="315">
        <f t="shared" si="26"/>
        <v>0</v>
      </c>
      <c r="AC158" s="315">
        <f t="shared" si="26"/>
        <v>0</v>
      </c>
      <c r="AD158" s="315">
        <f t="shared" si="26"/>
        <v>0</v>
      </c>
      <c r="AE158" s="315">
        <f t="shared" si="26"/>
        <v>0</v>
      </c>
      <c r="AF158" s="315">
        <f t="shared" si="26"/>
        <v>0</v>
      </c>
      <c r="AG158" s="315">
        <f t="shared" si="26"/>
        <v>0</v>
      </c>
      <c r="AH158" s="315">
        <f t="shared" si="26"/>
        <v>0</v>
      </c>
      <c r="AI158" s="315">
        <f t="shared" si="26"/>
        <v>0</v>
      </c>
      <c r="AJ158" s="315">
        <f t="shared" si="26"/>
        <v>0</v>
      </c>
      <c r="AK158" s="315">
        <f t="shared" si="26"/>
        <v>0</v>
      </c>
      <c r="AL158" s="315">
        <f t="shared" si="26"/>
        <v>0</v>
      </c>
      <c r="AM158" s="315">
        <f t="shared" si="26"/>
        <v>0</v>
      </c>
      <c r="AN158" s="315">
        <f t="shared" si="26"/>
        <v>0</v>
      </c>
      <c r="AO158" s="315">
        <f t="shared" si="26"/>
        <v>0</v>
      </c>
      <c r="AP158" s="315">
        <f t="shared" si="26"/>
        <v>0</v>
      </c>
      <c r="AQ158" s="304"/>
      <c r="AR158" s="304"/>
    </row>
    <row r="159" spans="3:44" x14ac:dyDescent="0.25">
      <c r="E159" s="32"/>
      <c r="F159" s="208" t="s">
        <v>233</v>
      </c>
      <c r="G159" t="s">
        <v>327</v>
      </c>
      <c r="H159" s="304"/>
      <c r="I159" s="304"/>
      <c r="J159" s="315">
        <f t="shared" ref="J159:AP159" si="27">hundred * $H25 * J62 / $H50 * J88 * (1 - J74) / hours_in_year</f>
        <v>0.38693974535987291</v>
      </c>
      <c r="K159" s="315">
        <f t="shared" si="27"/>
        <v>0.44694806230007134</v>
      </c>
      <c r="L159" s="315">
        <f t="shared" si="27"/>
        <v>0.15469386432996671</v>
      </c>
      <c r="M159" s="315">
        <f t="shared" si="27"/>
        <v>0.39842693988301547</v>
      </c>
      <c r="N159" s="315">
        <f t="shared" si="27"/>
        <v>0.43197791208149544</v>
      </c>
      <c r="O159" s="315">
        <f t="shared" si="27"/>
        <v>0.1404504837167366</v>
      </c>
      <c r="P159" s="315">
        <f t="shared" si="27"/>
        <v>0.37475680330800398</v>
      </c>
      <c r="Q159" s="315">
        <f t="shared" si="27"/>
        <v>0.29578954070010238</v>
      </c>
      <c r="R159" s="315">
        <f t="shared" si="27"/>
        <v>0.42820279434620817</v>
      </c>
      <c r="S159" s="315">
        <f t="shared" si="27"/>
        <v>1.6130946203585104</v>
      </c>
      <c r="T159" s="315">
        <f t="shared" si="27"/>
        <v>1.7632654924448203</v>
      </c>
      <c r="U159" s="315">
        <f t="shared" si="27"/>
        <v>1.400410952441971</v>
      </c>
      <c r="V159" s="315">
        <f t="shared" si="27"/>
        <v>1.3480830665635033</v>
      </c>
      <c r="W159" s="315">
        <f t="shared" si="27"/>
        <v>1.3322219024838062</v>
      </c>
      <c r="X159" s="315">
        <f t="shared" si="27"/>
        <v>0.22027536746215201</v>
      </c>
      <c r="Y159" s="315">
        <f t="shared" si="27"/>
        <v>0.23097167089727477</v>
      </c>
      <c r="Z159" s="315">
        <f t="shared" si="27"/>
        <v>0.361775383299275</v>
      </c>
      <c r="AA159" s="315">
        <f t="shared" si="27"/>
        <v>0.22271953893348551</v>
      </c>
      <c r="AB159" s="315">
        <f t="shared" si="27"/>
        <v>2.4890909958822589</v>
      </c>
      <c r="AC159" s="315">
        <f t="shared" si="27"/>
        <v>-0.22865739827562631</v>
      </c>
      <c r="AD159" s="315">
        <f t="shared" si="27"/>
        <v>-0.22173474309847427</v>
      </c>
      <c r="AE159" s="315">
        <f t="shared" si="27"/>
        <v>-0.22865739827562631</v>
      </c>
      <c r="AF159" s="315">
        <f t="shared" si="27"/>
        <v>-0.22865739827562631</v>
      </c>
      <c r="AG159" s="315">
        <f t="shared" si="27"/>
        <v>-1.1767533232330318</v>
      </c>
      <c r="AH159" s="315">
        <f t="shared" si="27"/>
        <v>-1.1767533232330318</v>
      </c>
      <c r="AI159" s="315">
        <f t="shared" si="27"/>
        <v>-0.22173474309847427</v>
      </c>
      <c r="AJ159" s="315">
        <f t="shared" si="27"/>
        <v>-0.22173474309847427</v>
      </c>
      <c r="AK159" s="315">
        <f t="shared" si="27"/>
        <v>-1.1411268464746003</v>
      </c>
      <c r="AL159" s="315">
        <f t="shared" si="27"/>
        <v>-1.1411268464746003</v>
      </c>
      <c r="AM159" s="315">
        <f t="shared" si="27"/>
        <v>0</v>
      </c>
      <c r="AN159" s="315">
        <f t="shared" si="27"/>
        <v>0</v>
      </c>
      <c r="AO159" s="315">
        <f t="shared" si="27"/>
        <v>0</v>
      </c>
      <c r="AP159" s="315">
        <f t="shared" si="27"/>
        <v>0</v>
      </c>
      <c r="AQ159" s="304"/>
      <c r="AR159" s="304"/>
    </row>
    <row r="160" spans="3:44" x14ac:dyDescent="0.25">
      <c r="E160" s="32"/>
      <c r="F160" s="208" t="s">
        <v>234</v>
      </c>
      <c r="G160" t="s">
        <v>327</v>
      </c>
      <c r="H160" s="304"/>
      <c r="I160" s="304"/>
      <c r="J160" s="315">
        <f t="shared" ref="J160:AP160" si="28">hundred * $H26 * J63 / $H51 * J89 * (1 - J75) / hours_in_year</f>
        <v>3.5438392833872713E-2</v>
      </c>
      <c r="K160" s="315">
        <f t="shared" si="28"/>
        <v>4.0934334603949733E-2</v>
      </c>
      <c r="L160" s="315">
        <f t="shared" si="28"/>
        <v>1.4167843957245973E-2</v>
      </c>
      <c r="M160" s="315">
        <f t="shared" si="28"/>
        <v>3.6490462870492055E-2</v>
      </c>
      <c r="N160" s="315">
        <f t="shared" si="28"/>
        <v>3.956327342300392E-2</v>
      </c>
      <c r="O160" s="315">
        <f t="shared" si="28"/>
        <v>1.2863344940261916E-2</v>
      </c>
      <c r="P160" s="315">
        <f t="shared" si="28"/>
        <v>3.4322601831568482E-2</v>
      </c>
      <c r="Q160" s="315">
        <f t="shared" si="28"/>
        <v>2.7090279727485619E-2</v>
      </c>
      <c r="R160" s="315">
        <f t="shared" si="28"/>
        <v>0</v>
      </c>
      <c r="S160" s="315">
        <f t="shared" si="28"/>
        <v>0.14773742299671222</v>
      </c>
      <c r="T160" s="315">
        <f t="shared" si="28"/>
        <v>0.16149102267474574</v>
      </c>
      <c r="U160" s="315">
        <f t="shared" si="28"/>
        <v>0.12825850550798201</v>
      </c>
      <c r="V160" s="315">
        <f t="shared" si="28"/>
        <v>0.12346598626392633</v>
      </c>
      <c r="W160" s="315">
        <f t="shared" si="28"/>
        <v>0</v>
      </c>
      <c r="X160" s="315">
        <f t="shared" si="28"/>
        <v>2.0174213420462286E-2</v>
      </c>
      <c r="Y160" s="315">
        <f t="shared" si="28"/>
        <v>2.1153848641578273E-2</v>
      </c>
      <c r="Z160" s="315">
        <f t="shared" si="28"/>
        <v>3.3133681160255765E-2</v>
      </c>
      <c r="AA160" s="315">
        <f t="shared" si="28"/>
        <v>2.039806612567845E-2</v>
      </c>
      <c r="AB160" s="315">
        <f t="shared" si="28"/>
        <v>0.22796671980360117</v>
      </c>
      <c r="AC160" s="315">
        <f t="shared" si="28"/>
        <v>-2.0941892895821584E-2</v>
      </c>
      <c r="AD160" s="315">
        <f t="shared" si="28"/>
        <v>0</v>
      </c>
      <c r="AE160" s="315">
        <f t="shared" si="28"/>
        <v>-2.0941892895821584E-2</v>
      </c>
      <c r="AF160" s="315">
        <f t="shared" si="28"/>
        <v>-2.0941892895821584E-2</v>
      </c>
      <c r="AG160" s="315">
        <f t="shared" si="28"/>
        <v>-0.10777452313282589</v>
      </c>
      <c r="AH160" s="315">
        <f t="shared" si="28"/>
        <v>-0.10777452313282589</v>
      </c>
      <c r="AI160" s="315">
        <f t="shared" si="28"/>
        <v>0</v>
      </c>
      <c r="AJ160" s="315">
        <f t="shared" si="28"/>
        <v>0</v>
      </c>
      <c r="AK160" s="315">
        <f t="shared" si="28"/>
        <v>0</v>
      </c>
      <c r="AL160" s="315">
        <f t="shared" si="28"/>
        <v>0</v>
      </c>
      <c r="AM160" s="315">
        <f t="shared" si="28"/>
        <v>0</v>
      </c>
      <c r="AN160" s="315">
        <f t="shared" si="28"/>
        <v>0</v>
      </c>
      <c r="AO160" s="315">
        <f t="shared" si="28"/>
        <v>0</v>
      </c>
      <c r="AP160" s="315">
        <f t="shared" si="28"/>
        <v>0</v>
      </c>
      <c r="AQ160" s="304"/>
      <c r="AR160" s="304"/>
    </row>
    <row r="161" spans="3:44" x14ac:dyDescent="0.25">
      <c r="E161" s="32"/>
      <c r="F161" s="209" t="s">
        <v>235</v>
      </c>
      <c r="G161" s="37" t="s">
        <v>327</v>
      </c>
      <c r="H161" s="308"/>
      <c r="I161" s="308"/>
      <c r="J161" s="316">
        <f t="shared" ref="J161:AP161" si="29">hundred * $H27 * J64 / $H52 * J90 * (1 - J76) / hours_in_year</f>
        <v>1.2869878118521539E-2</v>
      </c>
      <c r="K161" s="316">
        <f t="shared" si="29"/>
        <v>1.4865795401197394E-2</v>
      </c>
      <c r="L161" s="316">
        <f t="shared" si="29"/>
        <v>5.1452227471699818E-3</v>
      </c>
      <c r="M161" s="316">
        <f t="shared" si="29"/>
        <v>1.3251949992009479E-2</v>
      </c>
      <c r="N161" s="316">
        <f t="shared" si="29"/>
        <v>1.4367878061251241E-2</v>
      </c>
      <c r="O161" s="316">
        <f t="shared" si="29"/>
        <v>4.6714782567519805E-3</v>
      </c>
      <c r="P161" s="316">
        <f t="shared" si="29"/>
        <v>1.2464665210794167E-2</v>
      </c>
      <c r="Q161" s="316">
        <f t="shared" si="29"/>
        <v>0</v>
      </c>
      <c r="R161" s="316">
        <f t="shared" si="29"/>
        <v>0</v>
      </c>
      <c r="S161" s="316">
        <f t="shared" si="29"/>
        <v>5.3652620095536271E-2</v>
      </c>
      <c r="T161" s="316">
        <f t="shared" si="29"/>
        <v>5.8647405055932141E-2</v>
      </c>
      <c r="U161" s="316">
        <f t="shared" si="29"/>
        <v>4.657861718756353E-2</v>
      </c>
      <c r="V161" s="316">
        <f t="shared" si="29"/>
        <v>0</v>
      </c>
      <c r="W161" s="316">
        <f t="shared" si="29"/>
        <v>0</v>
      </c>
      <c r="X161" s="316">
        <f t="shared" si="29"/>
        <v>7.3265079789459984E-3</v>
      </c>
      <c r="Y161" s="316">
        <f t="shared" si="29"/>
        <v>7.6822742789437477E-3</v>
      </c>
      <c r="Z161" s="316">
        <f t="shared" si="29"/>
        <v>1.2032894385178163E-2</v>
      </c>
      <c r="AA161" s="316">
        <f t="shared" si="29"/>
        <v>7.4078027782372262E-3</v>
      </c>
      <c r="AB161" s="316">
        <f t="shared" si="29"/>
        <v>8.2788853114896754E-2</v>
      </c>
      <c r="AC161" s="316">
        <f t="shared" si="29"/>
        <v>0</v>
      </c>
      <c r="AD161" s="316">
        <f t="shared" si="29"/>
        <v>0</v>
      </c>
      <c r="AE161" s="316">
        <f t="shared" si="29"/>
        <v>0</v>
      </c>
      <c r="AF161" s="316">
        <f t="shared" si="29"/>
        <v>0</v>
      </c>
      <c r="AG161" s="316">
        <f t="shared" si="29"/>
        <v>0</v>
      </c>
      <c r="AH161" s="316">
        <f t="shared" si="29"/>
        <v>0</v>
      </c>
      <c r="AI161" s="316">
        <f t="shared" si="29"/>
        <v>0</v>
      </c>
      <c r="AJ161" s="316">
        <f t="shared" si="29"/>
        <v>0</v>
      </c>
      <c r="AK161" s="316">
        <f t="shared" si="29"/>
        <v>0</v>
      </c>
      <c r="AL161" s="316">
        <f t="shared" si="29"/>
        <v>0</v>
      </c>
      <c r="AM161" s="316">
        <f t="shared" si="29"/>
        <v>0</v>
      </c>
      <c r="AN161" s="316">
        <f t="shared" si="29"/>
        <v>0</v>
      </c>
      <c r="AO161" s="316">
        <f t="shared" si="29"/>
        <v>0</v>
      </c>
      <c r="AP161" s="316">
        <f t="shared" si="29"/>
        <v>0</v>
      </c>
      <c r="AQ161" s="304"/>
      <c r="AR161" s="304"/>
    </row>
    <row r="162" spans="3:44" x14ac:dyDescent="0.25">
      <c r="E162" s="32"/>
      <c r="F162" s="208"/>
      <c r="J162" s="169"/>
      <c r="K162" s="169"/>
      <c r="L162" s="169"/>
      <c r="M162" s="169"/>
      <c r="N162" s="169"/>
      <c r="O162" s="169"/>
      <c r="P162" s="169"/>
      <c r="Q162" s="169"/>
      <c r="R162" s="169"/>
      <c r="S162" s="169"/>
      <c r="T162" s="169"/>
      <c r="U162" s="169"/>
      <c r="V162" s="169"/>
      <c r="W162" s="169"/>
      <c r="X162" s="169"/>
      <c r="Y162" s="169"/>
      <c r="Z162" s="169"/>
      <c r="AA162" s="169"/>
      <c r="AB162" s="169"/>
      <c r="AC162" s="169"/>
      <c r="AD162" s="169"/>
      <c r="AE162" s="169"/>
      <c r="AF162" s="169"/>
      <c r="AG162" s="169"/>
      <c r="AH162" s="169"/>
      <c r="AI162" s="169"/>
      <c r="AJ162" s="169"/>
      <c r="AK162" s="169"/>
      <c r="AL162" s="169"/>
      <c r="AM162" s="169"/>
      <c r="AN162" s="169"/>
      <c r="AO162" s="169"/>
      <c r="AP162" s="169"/>
    </row>
    <row r="163" spans="3:44" x14ac:dyDescent="0.25">
      <c r="E163" s="32" t="s">
        <v>734</v>
      </c>
      <c r="J163" s="169"/>
      <c r="K163" s="169"/>
      <c r="L163" s="169"/>
      <c r="M163" s="169"/>
      <c r="N163" s="169"/>
      <c r="O163" s="169"/>
      <c r="P163" s="169"/>
      <c r="Q163" s="169"/>
      <c r="R163" s="169"/>
      <c r="S163" s="169"/>
      <c r="T163" s="169"/>
      <c r="U163" s="169"/>
      <c r="V163" s="169"/>
      <c r="W163" s="169"/>
      <c r="X163" s="169"/>
      <c r="Y163" s="169"/>
      <c r="Z163" s="169"/>
      <c r="AA163" s="169"/>
      <c r="AB163" s="169"/>
      <c r="AC163" s="169"/>
      <c r="AD163" s="169"/>
      <c r="AE163" s="169"/>
      <c r="AF163" s="169"/>
      <c r="AG163" s="169"/>
      <c r="AH163" s="169"/>
      <c r="AI163" s="169"/>
      <c r="AJ163" s="169"/>
      <c r="AK163" s="169"/>
      <c r="AL163" s="169"/>
      <c r="AM163" s="169"/>
      <c r="AN163" s="169"/>
      <c r="AO163" s="169"/>
      <c r="AP163" s="169"/>
    </row>
    <row r="164" spans="3:44" x14ac:dyDescent="0.25">
      <c r="D164" s="32"/>
      <c r="E164" s="32"/>
      <c r="F164" s="207" t="s">
        <v>225</v>
      </c>
      <c r="G164" s="23" t="s">
        <v>327</v>
      </c>
      <c r="H164" s="302"/>
      <c r="I164" s="302"/>
      <c r="J164" s="314">
        <f t="shared" ref="J164:AP164" si="30">hundred * $H30 * J55 / $H43 * J81 / hours_in_year</f>
        <v>0.5003030566907789</v>
      </c>
      <c r="K164" s="314">
        <f t="shared" si="30"/>
        <v>0.58493298978196628</v>
      </c>
      <c r="L164" s="314">
        <f t="shared" si="30"/>
        <v>0.18552522026250171</v>
      </c>
      <c r="M164" s="314">
        <f t="shared" si="30"/>
        <v>0.50894682203747921</v>
      </c>
      <c r="N164" s="314">
        <f t="shared" si="30"/>
        <v>0.55910467436217759</v>
      </c>
      <c r="O164" s="314">
        <f t="shared" si="30"/>
        <v>0.16694877078911688</v>
      </c>
      <c r="P164" s="314">
        <f t="shared" si="30"/>
        <v>0.4850294120004619</v>
      </c>
      <c r="Q164" s="314">
        <f t="shared" si="30"/>
        <v>0.38282594401293757</v>
      </c>
      <c r="R164" s="314">
        <f t="shared" si="30"/>
        <v>0.52103303957497282</v>
      </c>
      <c r="S164" s="314">
        <f t="shared" si="30"/>
        <v>2.2784199010139909</v>
      </c>
      <c r="T164" s="314">
        <f t="shared" si="30"/>
        <v>2.4874575201312714</v>
      </c>
      <c r="U164" s="314">
        <f t="shared" si="30"/>
        <v>1.9748930246392009</v>
      </c>
      <c r="V164" s="314">
        <f t="shared" si="30"/>
        <v>1.9010989882277474</v>
      </c>
      <c r="W164" s="314">
        <f t="shared" si="30"/>
        <v>1.7672584402229887</v>
      </c>
      <c r="X164" s="314">
        <f t="shared" si="30"/>
        <v>0.28037516132809603</v>
      </c>
      <c r="Y164" s="314">
        <f t="shared" si="30"/>
        <v>0.31152506890375126</v>
      </c>
      <c r="Z164" s="314">
        <f t="shared" si="30"/>
        <v>0.50381377089222457</v>
      </c>
      <c r="AA164" s="314">
        <f t="shared" si="30"/>
        <v>0.27063372044558648</v>
      </c>
      <c r="AB164" s="314">
        <f t="shared" si="30"/>
        <v>3.7416845763420481</v>
      </c>
      <c r="AC164" s="314">
        <f t="shared" si="30"/>
        <v>-0.2908445903747941</v>
      </c>
      <c r="AD164" s="314">
        <f t="shared" si="30"/>
        <v>-0.28203920369372232</v>
      </c>
      <c r="AE164" s="314">
        <f t="shared" si="30"/>
        <v>-0.2908445903747941</v>
      </c>
      <c r="AF164" s="314">
        <f t="shared" si="30"/>
        <v>-0.2908445903747941</v>
      </c>
      <c r="AG164" s="314">
        <f t="shared" si="30"/>
        <v>-1.6594856857706644</v>
      </c>
      <c r="AH164" s="314">
        <f t="shared" si="30"/>
        <v>-1.6594856857706644</v>
      </c>
      <c r="AI164" s="314">
        <f t="shared" si="30"/>
        <v>-0.28203920369372232</v>
      </c>
      <c r="AJ164" s="314">
        <f t="shared" si="30"/>
        <v>-0.28203920369372232</v>
      </c>
      <c r="AK164" s="314">
        <f t="shared" si="30"/>
        <v>-1.6092443760179744</v>
      </c>
      <c r="AL164" s="314">
        <f t="shared" si="30"/>
        <v>-1.6092443760179744</v>
      </c>
      <c r="AM164" s="314">
        <f t="shared" si="30"/>
        <v>-0.27616894590634117</v>
      </c>
      <c r="AN164" s="314">
        <f t="shared" si="30"/>
        <v>-0.27616894590634117</v>
      </c>
      <c r="AO164" s="314">
        <f t="shared" si="30"/>
        <v>-1.5757501695161811</v>
      </c>
      <c r="AP164" s="314">
        <f t="shared" si="30"/>
        <v>-1.5757501695161811</v>
      </c>
      <c r="AQ164" s="304"/>
      <c r="AR164" s="304"/>
    </row>
    <row r="165" spans="3:44" x14ac:dyDescent="0.25">
      <c r="D165" s="32"/>
      <c r="E165" s="32"/>
      <c r="F165" s="208" t="s">
        <v>227</v>
      </c>
      <c r="G165" t="s">
        <v>327</v>
      </c>
      <c r="H165" s="304"/>
      <c r="I165" s="304"/>
      <c r="J165" s="315">
        <f t="shared" ref="J165:AP165" si="31">hundred * $H31 * J56 / $H44 * J82 / hours_in_year</f>
        <v>0</v>
      </c>
      <c r="K165" s="315">
        <f t="shared" si="31"/>
        <v>0</v>
      </c>
      <c r="L165" s="315">
        <f t="shared" si="31"/>
        <v>0</v>
      </c>
      <c r="M165" s="315">
        <f t="shared" si="31"/>
        <v>0</v>
      </c>
      <c r="N165" s="315">
        <f t="shared" si="31"/>
        <v>0</v>
      </c>
      <c r="O165" s="315">
        <f t="shared" si="31"/>
        <v>0</v>
      </c>
      <c r="P165" s="315">
        <f t="shared" si="31"/>
        <v>0</v>
      </c>
      <c r="Q165" s="315">
        <f t="shared" si="31"/>
        <v>0</v>
      </c>
      <c r="R165" s="315">
        <f t="shared" si="31"/>
        <v>0</v>
      </c>
      <c r="S165" s="315">
        <f t="shared" si="31"/>
        <v>0</v>
      </c>
      <c r="T165" s="315">
        <f t="shared" si="31"/>
        <v>0</v>
      </c>
      <c r="U165" s="315">
        <f t="shared" si="31"/>
        <v>0</v>
      </c>
      <c r="V165" s="315">
        <f t="shared" si="31"/>
        <v>0</v>
      </c>
      <c r="W165" s="315">
        <f t="shared" si="31"/>
        <v>0</v>
      </c>
      <c r="X165" s="315">
        <f t="shared" si="31"/>
        <v>0</v>
      </c>
      <c r="Y165" s="315">
        <f t="shared" si="31"/>
        <v>0</v>
      </c>
      <c r="Z165" s="315">
        <f t="shared" si="31"/>
        <v>0</v>
      </c>
      <c r="AA165" s="315">
        <f t="shared" si="31"/>
        <v>0</v>
      </c>
      <c r="AB165" s="315">
        <f t="shared" si="31"/>
        <v>0</v>
      </c>
      <c r="AC165" s="315">
        <f t="shared" si="31"/>
        <v>0</v>
      </c>
      <c r="AD165" s="315">
        <f t="shared" si="31"/>
        <v>0</v>
      </c>
      <c r="AE165" s="315">
        <f t="shared" si="31"/>
        <v>0</v>
      </c>
      <c r="AF165" s="315">
        <f t="shared" si="31"/>
        <v>0</v>
      </c>
      <c r="AG165" s="315">
        <f t="shared" si="31"/>
        <v>0</v>
      </c>
      <c r="AH165" s="315">
        <f t="shared" si="31"/>
        <v>0</v>
      </c>
      <c r="AI165" s="315">
        <f t="shared" si="31"/>
        <v>0</v>
      </c>
      <c r="AJ165" s="315">
        <f t="shared" si="31"/>
        <v>0</v>
      </c>
      <c r="AK165" s="315">
        <f t="shared" si="31"/>
        <v>0</v>
      </c>
      <c r="AL165" s="315">
        <f t="shared" si="31"/>
        <v>0</v>
      </c>
      <c r="AM165" s="315">
        <f t="shared" si="31"/>
        <v>0</v>
      </c>
      <c r="AN165" s="315">
        <f t="shared" si="31"/>
        <v>0</v>
      </c>
      <c r="AO165" s="315">
        <f t="shared" si="31"/>
        <v>0</v>
      </c>
      <c r="AP165" s="315">
        <f t="shared" si="31"/>
        <v>0</v>
      </c>
      <c r="AQ165" s="304"/>
      <c r="AR165" s="304"/>
    </row>
    <row r="166" spans="3:44" x14ac:dyDescent="0.25">
      <c r="D166" s="32"/>
      <c r="E166" s="32"/>
      <c r="F166" s="208" t="s">
        <v>228</v>
      </c>
      <c r="G166" t="s">
        <v>327</v>
      </c>
      <c r="H166" s="304"/>
      <c r="I166" s="304"/>
      <c r="J166" s="315">
        <f t="shared" ref="J166:AP166" si="32">hundred * $H32 * J57 / $H45 * J83 / hours_in_year</f>
        <v>0</v>
      </c>
      <c r="K166" s="315">
        <f t="shared" si="32"/>
        <v>0</v>
      </c>
      <c r="L166" s="315">
        <f t="shared" si="32"/>
        <v>0</v>
      </c>
      <c r="M166" s="315">
        <f t="shared" si="32"/>
        <v>0</v>
      </c>
      <c r="N166" s="315">
        <f t="shared" si="32"/>
        <v>0</v>
      </c>
      <c r="O166" s="315">
        <f t="shared" si="32"/>
        <v>0</v>
      </c>
      <c r="P166" s="315">
        <f t="shared" si="32"/>
        <v>0</v>
      </c>
      <c r="Q166" s="315">
        <f t="shared" si="32"/>
        <v>0</v>
      </c>
      <c r="R166" s="315">
        <f t="shared" si="32"/>
        <v>0</v>
      </c>
      <c r="S166" s="315">
        <f t="shared" si="32"/>
        <v>0</v>
      </c>
      <c r="T166" s="315">
        <f t="shared" si="32"/>
        <v>0</v>
      </c>
      <c r="U166" s="315">
        <f t="shared" si="32"/>
        <v>0</v>
      </c>
      <c r="V166" s="315">
        <f t="shared" si="32"/>
        <v>0</v>
      </c>
      <c r="W166" s="315">
        <f t="shared" si="32"/>
        <v>0</v>
      </c>
      <c r="X166" s="315">
        <f t="shared" si="32"/>
        <v>0</v>
      </c>
      <c r="Y166" s="315">
        <f t="shared" si="32"/>
        <v>0</v>
      </c>
      <c r="Z166" s="315">
        <f t="shared" si="32"/>
        <v>0</v>
      </c>
      <c r="AA166" s="315">
        <f t="shared" si="32"/>
        <v>0</v>
      </c>
      <c r="AB166" s="315">
        <f t="shared" si="32"/>
        <v>0</v>
      </c>
      <c r="AC166" s="315">
        <f t="shared" si="32"/>
        <v>0</v>
      </c>
      <c r="AD166" s="315">
        <f t="shared" si="32"/>
        <v>0</v>
      </c>
      <c r="AE166" s="315">
        <f t="shared" si="32"/>
        <v>0</v>
      </c>
      <c r="AF166" s="315">
        <f t="shared" si="32"/>
        <v>0</v>
      </c>
      <c r="AG166" s="315">
        <f t="shared" si="32"/>
        <v>0</v>
      </c>
      <c r="AH166" s="315">
        <f t="shared" si="32"/>
        <v>0</v>
      </c>
      <c r="AI166" s="315">
        <f t="shared" si="32"/>
        <v>0</v>
      </c>
      <c r="AJ166" s="315">
        <f t="shared" si="32"/>
        <v>0</v>
      </c>
      <c r="AK166" s="315">
        <f t="shared" si="32"/>
        <v>0</v>
      </c>
      <c r="AL166" s="315">
        <f t="shared" si="32"/>
        <v>0</v>
      </c>
      <c r="AM166" s="315">
        <f t="shared" si="32"/>
        <v>0</v>
      </c>
      <c r="AN166" s="315">
        <f t="shared" si="32"/>
        <v>0</v>
      </c>
      <c r="AO166" s="315">
        <f t="shared" si="32"/>
        <v>0</v>
      </c>
      <c r="AP166" s="315">
        <f t="shared" si="32"/>
        <v>0</v>
      </c>
      <c r="AQ166" s="304"/>
      <c r="AR166" s="304"/>
    </row>
    <row r="167" spans="3:44" x14ac:dyDescent="0.25">
      <c r="D167" s="32"/>
      <c r="E167" s="32"/>
      <c r="F167" s="208" t="s">
        <v>229</v>
      </c>
      <c r="G167" t="s">
        <v>327</v>
      </c>
      <c r="H167" s="304"/>
      <c r="I167" s="304"/>
      <c r="J167" s="315">
        <f t="shared" ref="J167:AP167" si="33">hundred * $H33 * J58 / $H46 * J84 / hours_in_year</f>
        <v>0</v>
      </c>
      <c r="K167" s="315">
        <f t="shared" si="33"/>
        <v>0</v>
      </c>
      <c r="L167" s="315">
        <f t="shared" si="33"/>
        <v>0</v>
      </c>
      <c r="M167" s="315">
        <f t="shared" si="33"/>
        <v>0</v>
      </c>
      <c r="N167" s="315">
        <f t="shared" si="33"/>
        <v>0</v>
      </c>
      <c r="O167" s="315">
        <f t="shared" si="33"/>
        <v>0</v>
      </c>
      <c r="P167" s="315">
        <f t="shared" si="33"/>
        <v>0</v>
      </c>
      <c r="Q167" s="315">
        <f t="shared" si="33"/>
        <v>0</v>
      </c>
      <c r="R167" s="315">
        <f t="shared" si="33"/>
        <v>0</v>
      </c>
      <c r="S167" s="315">
        <f t="shared" si="33"/>
        <v>0</v>
      </c>
      <c r="T167" s="315">
        <f t="shared" si="33"/>
        <v>0</v>
      </c>
      <c r="U167" s="315">
        <f t="shared" si="33"/>
        <v>0</v>
      </c>
      <c r="V167" s="315">
        <f t="shared" si="33"/>
        <v>0</v>
      </c>
      <c r="W167" s="315">
        <f t="shared" si="33"/>
        <v>0</v>
      </c>
      <c r="X167" s="315">
        <f t="shared" si="33"/>
        <v>0</v>
      </c>
      <c r="Y167" s="315">
        <f t="shared" si="33"/>
        <v>0</v>
      </c>
      <c r="Z167" s="315">
        <f t="shared" si="33"/>
        <v>0</v>
      </c>
      <c r="AA167" s="315">
        <f t="shared" si="33"/>
        <v>0</v>
      </c>
      <c r="AB167" s="315">
        <f t="shared" si="33"/>
        <v>0</v>
      </c>
      <c r="AC167" s="315">
        <f t="shared" si="33"/>
        <v>0</v>
      </c>
      <c r="AD167" s="315">
        <f t="shared" si="33"/>
        <v>0</v>
      </c>
      <c r="AE167" s="315">
        <f t="shared" si="33"/>
        <v>0</v>
      </c>
      <c r="AF167" s="315">
        <f t="shared" si="33"/>
        <v>0</v>
      </c>
      <c r="AG167" s="315">
        <f t="shared" si="33"/>
        <v>0</v>
      </c>
      <c r="AH167" s="315">
        <f t="shared" si="33"/>
        <v>0</v>
      </c>
      <c r="AI167" s="315">
        <f t="shared" si="33"/>
        <v>0</v>
      </c>
      <c r="AJ167" s="315">
        <f t="shared" si="33"/>
        <v>0</v>
      </c>
      <c r="AK167" s="315">
        <f t="shared" si="33"/>
        <v>0</v>
      </c>
      <c r="AL167" s="315">
        <f t="shared" si="33"/>
        <v>0</v>
      </c>
      <c r="AM167" s="315">
        <f t="shared" si="33"/>
        <v>0</v>
      </c>
      <c r="AN167" s="315">
        <f t="shared" si="33"/>
        <v>0</v>
      </c>
      <c r="AO167" s="315">
        <f t="shared" si="33"/>
        <v>0</v>
      </c>
      <c r="AP167" s="315">
        <f t="shared" si="33"/>
        <v>0</v>
      </c>
      <c r="AQ167" s="304"/>
      <c r="AR167" s="304"/>
    </row>
    <row r="168" spans="3:44" x14ac:dyDescent="0.25">
      <c r="D168" s="32"/>
      <c r="E168" s="32"/>
      <c r="F168" s="208" t="s">
        <v>230</v>
      </c>
      <c r="G168" t="s">
        <v>327</v>
      </c>
      <c r="H168" s="304"/>
      <c r="I168" s="304"/>
      <c r="J168" s="315">
        <f t="shared" ref="J168:AP168" si="34">hundred * $H34 * J59 / $H47 * J85 / hours_in_year</f>
        <v>0.14008841586228898</v>
      </c>
      <c r="K168" s="315">
        <f t="shared" si="34"/>
        <v>0.16181394331074517</v>
      </c>
      <c r="L168" s="315">
        <f t="shared" si="34"/>
        <v>5.6005666663800517E-2</v>
      </c>
      <c r="M168" s="315">
        <f t="shared" si="34"/>
        <v>0.14424726204634369</v>
      </c>
      <c r="N168" s="315">
        <f t="shared" si="34"/>
        <v>0.15639412109168016</v>
      </c>
      <c r="O168" s="315">
        <f t="shared" si="34"/>
        <v>5.0848965522191786E-2</v>
      </c>
      <c r="P168" s="315">
        <f t="shared" si="34"/>
        <v>0.13567767989356325</v>
      </c>
      <c r="Q168" s="315">
        <f t="shared" si="34"/>
        <v>0.10708821898555099</v>
      </c>
      <c r="R168" s="315">
        <f t="shared" si="34"/>
        <v>0.14582896640613005</v>
      </c>
      <c r="S168" s="315">
        <f t="shared" si="34"/>
        <v>0.58400790487892518</v>
      </c>
      <c r="T168" s="315">
        <f t="shared" si="34"/>
        <v>0.63837605865869274</v>
      </c>
      <c r="U168" s="315">
        <f t="shared" si="34"/>
        <v>0.507007497256031</v>
      </c>
      <c r="V168" s="315">
        <f t="shared" si="34"/>
        <v>0.48806260796501383</v>
      </c>
      <c r="W168" s="315">
        <f t="shared" si="34"/>
        <v>0.453702184170583</v>
      </c>
      <c r="X168" s="315">
        <f t="shared" si="34"/>
        <v>7.9748921250147112E-2</v>
      </c>
      <c r="Y168" s="315">
        <f t="shared" si="34"/>
        <v>8.3621431690797485E-2</v>
      </c>
      <c r="Z168" s="315">
        <f t="shared" si="34"/>
        <v>0.13097786141672385</v>
      </c>
      <c r="AA168" s="315">
        <f t="shared" si="34"/>
        <v>8.0633813829989118E-2</v>
      </c>
      <c r="AB168" s="315">
        <f t="shared" si="34"/>
        <v>0.90115533162904105</v>
      </c>
      <c r="AC168" s="315">
        <f t="shared" si="34"/>
        <v>-8.2783567942428402E-2</v>
      </c>
      <c r="AD168" s="315">
        <f t="shared" si="34"/>
        <v>-8.0277276435914507E-2</v>
      </c>
      <c r="AE168" s="315">
        <f t="shared" si="34"/>
        <v>-8.2783567942428402E-2</v>
      </c>
      <c r="AF168" s="315">
        <f t="shared" si="34"/>
        <v>-8.2783567942428402E-2</v>
      </c>
      <c r="AG168" s="315">
        <f t="shared" si="34"/>
        <v>-0.42603405540333272</v>
      </c>
      <c r="AH168" s="315">
        <f t="shared" si="34"/>
        <v>-0.42603405540333272</v>
      </c>
      <c r="AI168" s="315">
        <f t="shared" si="34"/>
        <v>-8.0277276435914507E-2</v>
      </c>
      <c r="AJ168" s="315">
        <f t="shared" si="34"/>
        <v>-8.0277276435914507E-2</v>
      </c>
      <c r="AK168" s="315">
        <f t="shared" si="34"/>
        <v>-0.41313577666176393</v>
      </c>
      <c r="AL168" s="315">
        <f t="shared" si="34"/>
        <v>-0.41313577666176393</v>
      </c>
      <c r="AM168" s="315">
        <f t="shared" si="34"/>
        <v>-7.8606415431571916E-2</v>
      </c>
      <c r="AN168" s="315">
        <f t="shared" si="34"/>
        <v>-7.8606415431571916E-2</v>
      </c>
      <c r="AO168" s="315">
        <f t="shared" si="34"/>
        <v>-0.40453692416738474</v>
      </c>
      <c r="AP168" s="315">
        <f t="shared" si="34"/>
        <v>-0.40453692416738474</v>
      </c>
      <c r="AQ168" s="304"/>
      <c r="AR168" s="304"/>
    </row>
    <row r="169" spans="3:44" x14ac:dyDescent="0.25">
      <c r="D169" s="32"/>
      <c r="E169" s="32"/>
      <c r="F169" s="208" t="s">
        <v>231</v>
      </c>
      <c r="G169" t="s">
        <v>327</v>
      </c>
      <c r="H169" s="304"/>
      <c r="I169" s="304"/>
      <c r="J169" s="315">
        <f t="shared" ref="J169:AP169" si="35">hundred * $H35 * J60 / $H48 * J86 / hours_in_year</f>
        <v>0.12675148108856613</v>
      </c>
      <c r="K169" s="315">
        <f t="shared" si="35"/>
        <v>0.14640865805478384</v>
      </c>
      <c r="L169" s="315">
        <f t="shared" si="35"/>
        <v>5.0673720273684712E-2</v>
      </c>
      <c r="M169" s="315">
        <f t="shared" si="35"/>
        <v>0.1305143897502406</v>
      </c>
      <c r="N169" s="315">
        <f t="shared" si="35"/>
        <v>0.14150482293555086</v>
      </c>
      <c r="O169" s="315">
        <f t="shared" si="35"/>
        <v>4.6007956133182662E-2</v>
      </c>
      <c r="P169" s="315">
        <f t="shared" si="35"/>
        <v>0.12276066348037658</v>
      </c>
      <c r="Q169" s="315">
        <f t="shared" si="35"/>
        <v>9.6893024880076659E-2</v>
      </c>
      <c r="R169" s="315">
        <f t="shared" si="35"/>
        <v>0.13194551001106389</v>
      </c>
      <c r="S169" s="315">
        <f t="shared" si="35"/>
        <v>0.52840819460476895</v>
      </c>
      <c r="T169" s="315">
        <f t="shared" si="35"/>
        <v>0.57760029927108725</v>
      </c>
      <c r="U169" s="315">
        <f t="shared" si="35"/>
        <v>0.45873851028041024</v>
      </c>
      <c r="V169" s="315">
        <f t="shared" si="35"/>
        <v>0.44159724444544007</v>
      </c>
      <c r="W169" s="315">
        <f t="shared" si="35"/>
        <v>0.41050805994744255</v>
      </c>
      <c r="X169" s="315">
        <f t="shared" si="35"/>
        <v>7.2156529299384167E-2</v>
      </c>
      <c r="Y169" s="315">
        <f t="shared" si="35"/>
        <v>7.5660362438348963E-2</v>
      </c>
      <c r="Z169" s="315">
        <f t="shared" si="35"/>
        <v>0.11850828508691683</v>
      </c>
      <c r="AA169" s="315">
        <f t="shared" si="35"/>
        <v>7.2957176836219162E-2</v>
      </c>
      <c r="AB169" s="315">
        <f t="shared" si="35"/>
        <v>0.81536201456602408</v>
      </c>
      <c r="AC169" s="315">
        <f t="shared" si="35"/>
        <v>-7.4902266414473617E-2</v>
      </c>
      <c r="AD169" s="315">
        <f t="shared" si="35"/>
        <v>-7.2634583119356513E-2</v>
      </c>
      <c r="AE169" s="315">
        <f t="shared" si="35"/>
        <v>-7.4902266414473617E-2</v>
      </c>
      <c r="AF169" s="315">
        <f t="shared" si="35"/>
        <v>-7.4902266414473617E-2</v>
      </c>
      <c r="AG169" s="315">
        <f t="shared" si="35"/>
        <v>-0.38547403926406504</v>
      </c>
      <c r="AH169" s="315">
        <f t="shared" si="35"/>
        <v>-0.38547403926406504</v>
      </c>
      <c r="AI169" s="315">
        <f t="shared" si="35"/>
        <v>-7.2634583119356513E-2</v>
      </c>
      <c r="AJ169" s="315">
        <f t="shared" si="35"/>
        <v>-7.2634583119356513E-2</v>
      </c>
      <c r="AK169" s="315">
        <f t="shared" si="35"/>
        <v>-0.37380372431386849</v>
      </c>
      <c r="AL169" s="315">
        <f t="shared" si="35"/>
        <v>-0.37380372431386849</v>
      </c>
      <c r="AM169" s="315">
        <f t="shared" si="35"/>
        <v>-7.1122794255945115E-2</v>
      </c>
      <c r="AN169" s="315">
        <f t="shared" si="35"/>
        <v>-7.1122794255945115E-2</v>
      </c>
      <c r="AO169" s="315">
        <f t="shared" si="35"/>
        <v>-0.36602351434707092</v>
      </c>
      <c r="AP169" s="315">
        <f t="shared" si="35"/>
        <v>-0.36602351434707092</v>
      </c>
      <c r="AQ169" s="304"/>
      <c r="AR169" s="304"/>
    </row>
    <row r="170" spans="3:44" x14ac:dyDescent="0.25">
      <c r="D170" s="32"/>
      <c r="E170" s="32"/>
      <c r="F170" s="208" t="s">
        <v>232</v>
      </c>
      <c r="G170" t="s">
        <v>327</v>
      </c>
      <c r="H170" s="304"/>
      <c r="I170" s="304"/>
      <c r="J170" s="315">
        <f t="shared" ref="J170:AP170" si="36">hundred * $H36 * J61 / $H49 * J87 / hours_in_year</f>
        <v>0</v>
      </c>
      <c r="K170" s="315">
        <f t="shared" si="36"/>
        <v>0</v>
      </c>
      <c r="L170" s="315">
        <f t="shared" si="36"/>
        <v>0</v>
      </c>
      <c r="M170" s="315">
        <f t="shared" si="36"/>
        <v>0</v>
      </c>
      <c r="N170" s="315">
        <f t="shared" si="36"/>
        <v>0</v>
      </c>
      <c r="O170" s="315">
        <f t="shared" si="36"/>
        <v>0</v>
      </c>
      <c r="P170" s="315">
        <f t="shared" si="36"/>
        <v>0</v>
      </c>
      <c r="Q170" s="315">
        <f t="shared" si="36"/>
        <v>0</v>
      </c>
      <c r="R170" s="315">
        <f t="shared" si="36"/>
        <v>0</v>
      </c>
      <c r="S170" s="315">
        <f t="shared" si="36"/>
        <v>0</v>
      </c>
      <c r="T170" s="315">
        <f t="shared" si="36"/>
        <v>0</v>
      </c>
      <c r="U170" s="315">
        <f t="shared" si="36"/>
        <v>0</v>
      </c>
      <c r="V170" s="315">
        <f t="shared" si="36"/>
        <v>0</v>
      </c>
      <c r="W170" s="315">
        <f t="shared" si="36"/>
        <v>0</v>
      </c>
      <c r="X170" s="315">
        <f t="shared" si="36"/>
        <v>0</v>
      </c>
      <c r="Y170" s="315">
        <f t="shared" si="36"/>
        <v>0</v>
      </c>
      <c r="Z170" s="315">
        <f t="shared" si="36"/>
        <v>0</v>
      </c>
      <c r="AA170" s="315">
        <f t="shared" si="36"/>
        <v>0</v>
      </c>
      <c r="AB170" s="315">
        <f t="shared" si="36"/>
        <v>0</v>
      </c>
      <c r="AC170" s="315">
        <f t="shared" si="36"/>
        <v>0</v>
      </c>
      <c r="AD170" s="315">
        <f t="shared" si="36"/>
        <v>0</v>
      </c>
      <c r="AE170" s="315">
        <f t="shared" si="36"/>
        <v>0</v>
      </c>
      <c r="AF170" s="315">
        <f t="shared" si="36"/>
        <v>0</v>
      </c>
      <c r="AG170" s="315">
        <f t="shared" si="36"/>
        <v>0</v>
      </c>
      <c r="AH170" s="315">
        <f t="shared" si="36"/>
        <v>0</v>
      </c>
      <c r="AI170" s="315">
        <f t="shared" si="36"/>
        <v>0</v>
      </c>
      <c r="AJ170" s="315">
        <f t="shared" si="36"/>
        <v>0</v>
      </c>
      <c r="AK170" s="315">
        <f t="shared" si="36"/>
        <v>0</v>
      </c>
      <c r="AL170" s="315">
        <f t="shared" si="36"/>
        <v>0</v>
      </c>
      <c r="AM170" s="315">
        <f t="shared" si="36"/>
        <v>0</v>
      </c>
      <c r="AN170" s="315">
        <f t="shared" si="36"/>
        <v>0</v>
      </c>
      <c r="AO170" s="315">
        <f t="shared" si="36"/>
        <v>0</v>
      </c>
      <c r="AP170" s="315">
        <f t="shared" si="36"/>
        <v>0</v>
      </c>
      <c r="AQ170" s="304"/>
      <c r="AR170" s="304"/>
    </row>
    <row r="171" spans="3:44" x14ac:dyDescent="0.25">
      <c r="D171" s="32"/>
      <c r="E171" s="32"/>
      <c r="F171" s="208" t="s">
        <v>233</v>
      </c>
      <c r="G171" t="s">
        <v>327</v>
      </c>
      <c r="H171" s="304"/>
      <c r="I171" s="304"/>
      <c r="J171" s="315">
        <f t="shared" ref="J171:AP171" si="37">hundred * $H37 * J62 / $H50 * J88 / hours_in_year</f>
        <v>0.52376935513090472</v>
      </c>
      <c r="K171" s="315">
        <f t="shared" si="37"/>
        <v>0.60499780954317195</v>
      </c>
      <c r="L171" s="315">
        <f t="shared" si="37"/>
        <v>0.2093966994459516</v>
      </c>
      <c r="M171" s="315">
        <f t="shared" si="37"/>
        <v>0.53931865069901419</v>
      </c>
      <c r="N171" s="315">
        <f t="shared" si="37"/>
        <v>0.58473391569348787</v>
      </c>
      <c r="O171" s="315">
        <f t="shared" si="37"/>
        <v>0.19011657542628754</v>
      </c>
      <c r="P171" s="315">
        <f t="shared" si="37"/>
        <v>0.50727828183428636</v>
      </c>
      <c r="Q171" s="315">
        <f t="shared" si="37"/>
        <v>0.40038662051341062</v>
      </c>
      <c r="R171" s="315">
        <f t="shared" si="37"/>
        <v>0.54523240357739211</v>
      </c>
      <c r="S171" s="315">
        <f t="shared" si="37"/>
        <v>2.1835170441964293</v>
      </c>
      <c r="T171" s="315">
        <f t="shared" si="37"/>
        <v>2.3867913311501749</v>
      </c>
      <c r="U171" s="315">
        <f t="shared" si="37"/>
        <v>1.8956241902640518</v>
      </c>
      <c r="V171" s="315">
        <f t="shared" si="37"/>
        <v>1.8247921204893687</v>
      </c>
      <c r="W171" s="315">
        <f t="shared" si="37"/>
        <v>1.6963237035823981</v>
      </c>
      <c r="X171" s="315">
        <f t="shared" si="37"/>
        <v>0.29816912982038446</v>
      </c>
      <c r="Y171" s="315">
        <f t="shared" si="37"/>
        <v>0.31264785944090517</v>
      </c>
      <c r="Z171" s="315">
        <f t="shared" si="37"/>
        <v>0.48970637285313023</v>
      </c>
      <c r="AA171" s="315">
        <f t="shared" si="37"/>
        <v>0.30147760906223409</v>
      </c>
      <c r="AB171" s="315">
        <f t="shared" si="37"/>
        <v>3.3692832060011786</v>
      </c>
      <c r="AC171" s="315">
        <f t="shared" si="37"/>
        <v>-0.30951521387225062</v>
      </c>
      <c r="AD171" s="315">
        <f t="shared" si="37"/>
        <v>-0.30014456978254023</v>
      </c>
      <c r="AE171" s="315">
        <f t="shared" si="37"/>
        <v>-0.30951521387225062</v>
      </c>
      <c r="AF171" s="315">
        <f t="shared" si="37"/>
        <v>-0.30951521387225062</v>
      </c>
      <c r="AG171" s="315">
        <f t="shared" si="37"/>
        <v>-1.5928767634988776</v>
      </c>
      <c r="AH171" s="315">
        <f t="shared" si="37"/>
        <v>-1.5928767634988776</v>
      </c>
      <c r="AI171" s="315">
        <f t="shared" si="37"/>
        <v>-0.30014456978254023</v>
      </c>
      <c r="AJ171" s="315">
        <f t="shared" si="37"/>
        <v>-0.30014456978254023</v>
      </c>
      <c r="AK171" s="315">
        <f t="shared" si="37"/>
        <v>-1.5446520541452415</v>
      </c>
      <c r="AL171" s="315">
        <f t="shared" si="37"/>
        <v>-1.5446520541452415</v>
      </c>
      <c r="AM171" s="315">
        <f t="shared" si="37"/>
        <v>0</v>
      </c>
      <c r="AN171" s="315">
        <f t="shared" si="37"/>
        <v>0</v>
      </c>
      <c r="AO171" s="315">
        <f t="shared" si="37"/>
        <v>0</v>
      </c>
      <c r="AP171" s="315">
        <f t="shared" si="37"/>
        <v>0</v>
      </c>
      <c r="AQ171" s="304"/>
      <c r="AR171" s="304"/>
    </row>
    <row r="172" spans="3:44" x14ac:dyDescent="0.25">
      <c r="D172" s="32"/>
      <c r="E172" s="32"/>
      <c r="F172" s="208" t="s">
        <v>234</v>
      </c>
      <c r="G172" t="s">
        <v>327</v>
      </c>
      <c r="H172" s="304"/>
      <c r="I172" s="304"/>
      <c r="J172" s="315">
        <f t="shared" ref="J172:AP172" si="38">hundred * $H38 * J63 / $H51 * J89 / hours_in_year</f>
        <v>0.12683156969214374</v>
      </c>
      <c r="K172" s="315">
        <f t="shared" si="38"/>
        <v>0.14650116715112399</v>
      </c>
      <c r="L172" s="315">
        <f t="shared" si="38"/>
        <v>5.0705738735796146E-2</v>
      </c>
      <c r="M172" s="315">
        <f t="shared" si="38"/>
        <v>0.13059685596785095</v>
      </c>
      <c r="N172" s="315">
        <f t="shared" si="38"/>
        <v>0.14159423351735295</v>
      </c>
      <c r="O172" s="315">
        <f t="shared" si="38"/>
        <v>4.6037026507181632E-2</v>
      </c>
      <c r="P172" s="315">
        <f t="shared" si="38"/>
        <v>0.12283823046443047</v>
      </c>
      <c r="Q172" s="315">
        <f t="shared" si="38"/>
        <v>9.6954247257854106E-2</v>
      </c>
      <c r="R172" s="315">
        <f t="shared" si="38"/>
        <v>0</v>
      </c>
      <c r="S172" s="315">
        <f t="shared" si="38"/>
        <v>0.5287420721583993</v>
      </c>
      <c r="T172" s="315">
        <f t="shared" si="38"/>
        <v>0.57796525912005592</v>
      </c>
      <c r="U172" s="315">
        <f t="shared" si="38"/>
        <v>0.45902836667009583</v>
      </c>
      <c r="V172" s="315">
        <f t="shared" si="38"/>
        <v>0.44187627003431384</v>
      </c>
      <c r="W172" s="315">
        <f t="shared" si="38"/>
        <v>0</v>
      </c>
      <c r="X172" s="315">
        <f t="shared" si="38"/>
        <v>7.2202121789672752E-2</v>
      </c>
      <c r="Y172" s="315">
        <f t="shared" si="38"/>
        <v>7.5708168844410853E-2</v>
      </c>
      <c r="Z172" s="315">
        <f t="shared" si="38"/>
        <v>0.11858316518286111</v>
      </c>
      <c r="AA172" s="315">
        <f t="shared" si="38"/>
        <v>7.3003275219950828E-2</v>
      </c>
      <c r="AB172" s="315">
        <f t="shared" si="38"/>
        <v>0.81587720543082498</v>
      </c>
      <c r="AC172" s="315">
        <f t="shared" si="38"/>
        <v>-7.4949593813494239E-2</v>
      </c>
      <c r="AD172" s="315">
        <f t="shared" si="38"/>
        <v>0</v>
      </c>
      <c r="AE172" s="315">
        <f t="shared" si="38"/>
        <v>-7.4949593813494239E-2</v>
      </c>
      <c r="AF172" s="315">
        <f t="shared" si="38"/>
        <v>-7.4949593813494239E-2</v>
      </c>
      <c r="AG172" s="315">
        <f t="shared" si="38"/>
        <v>-0.38571760310454206</v>
      </c>
      <c r="AH172" s="315">
        <f t="shared" si="38"/>
        <v>-0.38571760310454206</v>
      </c>
      <c r="AI172" s="315">
        <f t="shared" si="38"/>
        <v>0</v>
      </c>
      <c r="AJ172" s="315">
        <f t="shared" si="38"/>
        <v>0</v>
      </c>
      <c r="AK172" s="315">
        <f t="shared" si="38"/>
        <v>0</v>
      </c>
      <c r="AL172" s="315">
        <f t="shared" si="38"/>
        <v>0</v>
      </c>
      <c r="AM172" s="315">
        <f t="shared" si="38"/>
        <v>0</v>
      </c>
      <c r="AN172" s="315">
        <f t="shared" si="38"/>
        <v>0</v>
      </c>
      <c r="AO172" s="315">
        <f t="shared" si="38"/>
        <v>0</v>
      </c>
      <c r="AP172" s="315">
        <f t="shared" si="38"/>
        <v>0</v>
      </c>
      <c r="AQ172" s="304"/>
      <c r="AR172" s="304"/>
    </row>
    <row r="173" spans="3:44" x14ac:dyDescent="0.25">
      <c r="D173" s="32"/>
      <c r="E173" s="32"/>
      <c r="F173" s="209" t="s">
        <v>235</v>
      </c>
      <c r="G173" s="37" t="s">
        <v>327</v>
      </c>
      <c r="H173" s="308"/>
      <c r="I173" s="308"/>
      <c r="J173" s="316">
        <f t="shared" ref="J173:AP173" si="39">hundred * $H39 * J64 / $H52 * J90 / hours_in_year</f>
        <v>0.30107668075313559</v>
      </c>
      <c r="K173" s="316">
        <f t="shared" si="39"/>
        <v>0.3477689761262403</v>
      </c>
      <c r="L173" s="316">
        <f t="shared" si="39"/>
        <v>0.12036684203124573</v>
      </c>
      <c r="M173" s="316">
        <f t="shared" si="39"/>
        <v>0.31001483311320599</v>
      </c>
      <c r="N173" s="316">
        <f t="shared" si="39"/>
        <v>0.33612074615701665</v>
      </c>
      <c r="O173" s="316">
        <f t="shared" si="39"/>
        <v>0.10928410935991854</v>
      </c>
      <c r="P173" s="316">
        <f t="shared" si="39"/>
        <v>0.29159716928198121</v>
      </c>
      <c r="Q173" s="316">
        <f t="shared" si="39"/>
        <v>0</v>
      </c>
      <c r="R173" s="316">
        <f t="shared" si="39"/>
        <v>0</v>
      </c>
      <c r="S173" s="316">
        <f t="shared" si="39"/>
        <v>1.2551441919893429</v>
      </c>
      <c r="T173" s="316">
        <f t="shared" si="39"/>
        <v>1.3719917070242733</v>
      </c>
      <c r="U173" s="316">
        <f t="shared" si="39"/>
        <v>1.0896556539040165</v>
      </c>
      <c r="V173" s="316">
        <f t="shared" si="39"/>
        <v>0</v>
      </c>
      <c r="W173" s="316">
        <f t="shared" si="39"/>
        <v>0</v>
      </c>
      <c r="X173" s="316">
        <f t="shared" si="39"/>
        <v>0.17139561723105323</v>
      </c>
      <c r="Y173" s="316">
        <f t="shared" si="39"/>
        <v>0.17971837955566269</v>
      </c>
      <c r="Z173" s="316">
        <f t="shared" si="39"/>
        <v>0.28149636445497789</v>
      </c>
      <c r="AA173" s="316">
        <f t="shared" si="39"/>
        <v>0.1732974198827715</v>
      </c>
      <c r="AB173" s="316">
        <f t="shared" si="39"/>
        <v>1.9367544019954885</v>
      </c>
      <c r="AC173" s="316">
        <f t="shared" si="39"/>
        <v>0</v>
      </c>
      <c r="AD173" s="316">
        <f t="shared" si="39"/>
        <v>0</v>
      </c>
      <c r="AE173" s="316">
        <f t="shared" si="39"/>
        <v>0</v>
      </c>
      <c r="AF173" s="316">
        <f t="shared" si="39"/>
        <v>0</v>
      </c>
      <c r="AG173" s="316">
        <f t="shared" si="39"/>
        <v>0</v>
      </c>
      <c r="AH173" s="316">
        <f t="shared" si="39"/>
        <v>0</v>
      </c>
      <c r="AI173" s="316">
        <f t="shared" si="39"/>
        <v>0</v>
      </c>
      <c r="AJ173" s="316">
        <f t="shared" si="39"/>
        <v>0</v>
      </c>
      <c r="AK173" s="316">
        <f t="shared" si="39"/>
        <v>0</v>
      </c>
      <c r="AL173" s="316">
        <f t="shared" si="39"/>
        <v>0</v>
      </c>
      <c r="AM173" s="316">
        <f t="shared" si="39"/>
        <v>0</v>
      </c>
      <c r="AN173" s="316">
        <f t="shared" si="39"/>
        <v>0</v>
      </c>
      <c r="AO173" s="316">
        <f t="shared" si="39"/>
        <v>0</v>
      </c>
      <c r="AP173" s="316">
        <f t="shared" si="39"/>
        <v>0</v>
      </c>
      <c r="AQ173" s="304"/>
      <c r="AR173" s="304"/>
    </row>
    <row r="174" spans="3:44" x14ac:dyDescent="0.25">
      <c r="C174" s="32"/>
      <c r="D174" s="32"/>
      <c r="E174" s="32"/>
      <c r="J174" s="169"/>
      <c r="K174" s="169"/>
      <c r="L174" s="169"/>
      <c r="M174" s="169"/>
      <c r="N174" s="169"/>
      <c r="O174" s="169"/>
      <c r="P174" s="169"/>
      <c r="Q174" s="169"/>
      <c r="R174" s="169"/>
      <c r="S174" s="169"/>
      <c r="T174" s="169"/>
      <c r="U174" s="169"/>
      <c r="V174" s="169"/>
      <c r="W174" s="169"/>
      <c r="X174" s="169"/>
      <c r="Y174" s="169"/>
      <c r="Z174" s="169"/>
      <c r="AA174" s="169"/>
      <c r="AB174" s="169"/>
      <c r="AC174" s="169"/>
      <c r="AD174" s="169"/>
      <c r="AE174" s="169"/>
      <c r="AF174" s="169"/>
      <c r="AG174" s="169"/>
      <c r="AH174" s="169"/>
      <c r="AI174" s="169"/>
      <c r="AJ174" s="169"/>
      <c r="AK174" s="169"/>
      <c r="AL174" s="169"/>
      <c r="AM174" s="169"/>
      <c r="AN174" s="169"/>
      <c r="AO174" s="169"/>
      <c r="AP174" s="169"/>
    </row>
    <row r="175" spans="3:44" x14ac:dyDescent="0.25">
      <c r="C175" s="31" t="str">
        <f ca="1">INDEX('Version control'!$H$34:$H$56,MATCH($A$1,'Version control'!$F$34:$F$56,0),1)&amp;"-D: Unit rate 2"</f>
        <v>Section 109-D: Unit rate 2</v>
      </c>
      <c r="D175" s="31"/>
      <c r="E175" s="31"/>
      <c r="F175" s="31"/>
      <c r="G175" s="31"/>
      <c r="H175" s="31"/>
      <c r="I175" s="31"/>
      <c r="J175" s="215"/>
      <c r="K175" s="215"/>
      <c r="L175" s="215"/>
      <c r="M175" s="215"/>
      <c r="N175" s="215"/>
      <c r="O175" s="215"/>
      <c r="P175" s="215"/>
      <c r="Q175" s="215"/>
      <c r="R175" s="215"/>
      <c r="S175" s="215"/>
      <c r="T175" s="215"/>
      <c r="U175" s="215"/>
      <c r="V175" s="215"/>
      <c r="W175" s="215"/>
      <c r="X175" s="215"/>
      <c r="Y175" s="215"/>
      <c r="Z175" s="215"/>
      <c r="AA175" s="215"/>
      <c r="AB175" s="215"/>
      <c r="AC175" s="215"/>
      <c r="AD175" s="215"/>
      <c r="AE175" s="215"/>
      <c r="AF175" s="215"/>
      <c r="AG175" s="215"/>
      <c r="AH175" s="215"/>
      <c r="AI175" s="215"/>
      <c r="AJ175" s="215"/>
      <c r="AK175" s="215"/>
      <c r="AL175" s="215"/>
      <c r="AM175" s="215"/>
      <c r="AN175" s="215"/>
      <c r="AO175" s="215"/>
      <c r="AP175" s="215"/>
      <c r="AQ175" s="31"/>
      <c r="AR175" s="31"/>
    </row>
    <row r="176" spans="3:44" x14ac:dyDescent="0.25">
      <c r="C176" s="32"/>
      <c r="D176" s="32"/>
      <c r="E176" s="32"/>
      <c r="J176" s="169"/>
      <c r="K176" s="169"/>
      <c r="L176" s="169"/>
      <c r="M176" s="169"/>
      <c r="N176" s="169"/>
      <c r="O176" s="169"/>
      <c r="P176" s="169"/>
      <c r="Q176" s="169"/>
      <c r="R176" s="169"/>
      <c r="S176" s="169"/>
      <c r="T176" s="169"/>
      <c r="U176" s="169"/>
      <c r="V176" s="169"/>
      <c r="W176" s="169"/>
      <c r="X176" s="169"/>
      <c r="Y176" s="169"/>
      <c r="Z176" s="169"/>
      <c r="AA176" s="169"/>
      <c r="AB176" s="169"/>
      <c r="AC176" s="169"/>
      <c r="AD176" s="169"/>
      <c r="AE176" s="169"/>
      <c r="AF176" s="169"/>
      <c r="AG176" s="169"/>
      <c r="AH176" s="169"/>
      <c r="AI176" s="169"/>
      <c r="AJ176" s="169"/>
      <c r="AK176" s="169"/>
      <c r="AL176" s="169"/>
      <c r="AM176" s="169"/>
      <c r="AN176" s="169"/>
      <c r="AO176" s="169"/>
      <c r="AP176" s="169"/>
    </row>
    <row r="177" spans="4:44" x14ac:dyDescent="0.25">
      <c r="D177" s="29" t="s">
        <v>738</v>
      </c>
      <c r="E177" s="32"/>
      <c r="F177" s="32"/>
      <c r="J177" s="169"/>
      <c r="K177" s="169"/>
      <c r="L177" s="169"/>
      <c r="M177" s="169"/>
      <c r="N177" s="169"/>
      <c r="O177" s="169"/>
      <c r="P177" s="169"/>
      <c r="Q177" s="169"/>
      <c r="R177" s="169"/>
      <c r="S177" s="169"/>
      <c r="T177" s="169"/>
      <c r="U177" s="169"/>
      <c r="V177" s="169"/>
      <c r="W177" s="169"/>
      <c r="X177" s="169"/>
      <c r="Y177" s="169"/>
      <c r="Z177" s="169"/>
      <c r="AA177" s="169"/>
      <c r="AB177" s="169"/>
      <c r="AC177" s="169"/>
      <c r="AD177" s="169"/>
      <c r="AE177" s="169"/>
      <c r="AF177" s="169"/>
      <c r="AG177" s="169"/>
      <c r="AH177" s="169"/>
      <c r="AI177" s="169"/>
      <c r="AJ177" s="169"/>
      <c r="AK177" s="169"/>
      <c r="AL177" s="169"/>
      <c r="AM177" s="169"/>
      <c r="AN177" s="169"/>
      <c r="AO177" s="169"/>
      <c r="AP177" s="169"/>
    </row>
    <row r="178" spans="4:44" x14ac:dyDescent="0.25">
      <c r="D178" s="29" t="s">
        <v>736</v>
      </c>
      <c r="E178" s="32"/>
      <c r="F178" s="32"/>
      <c r="J178" s="169"/>
      <c r="K178" s="169"/>
      <c r="L178" s="169"/>
      <c r="M178" s="169"/>
      <c r="N178" s="169"/>
      <c r="O178" s="169"/>
      <c r="P178" s="169"/>
      <c r="Q178" s="169"/>
      <c r="R178" s="169"/>
      <c r="S178" s="169"/>
      <c r="T178" s="169"/>
      <c r="U178" s="169"/>
      <c r="V178" s="169"/>
      <c r="W178" s="169"/>
      <c r="X178" s="169"/>
      <c r="Y178" s="169"/>
      <c r="Z178" s="169"/>
      <c r="AA178" s="169"/>
      <c r="AB178" s="169"/>
      <c r="AC178" s="169"/>
      <c r="AD178" s="169"/>
      <c r="AE178" s="169"/>
      <c r="AF178" s="169"/>
      <c r="AG178" s="169"/>
      <c r="AH178" s="169"/>
      <c r="AI178" s="169"/>
      <c r="AJ178" s="169"/>
      <c r="AK178" s="169"/>
      <c r="AL178" s="169"/>
      <c r="AM178" s="169"/>
      <c r="AN178" s="169"/>
      <c r="AO178" s="169"/>
      <c r="AP178" s="169"/>
    </row>
    <row r="179" spans="4:44" x14ac:dyDescent="0.25">
      <c r="D179" s="32"/>
      <c r="E179" s="32"/>
      <c r="F179" s="32"/>
      <c r="I179" s="3" t="s">
        <v>190</v>
      </c>
      <c r="J179" s="169"/>
      <c r="K179" s="169"/>
      <c r="L179" s="169"/>
      <c r="M179" s="169"/>
      <c r="N179" s="169"/>
      <c r="O179" s="169"/>
      <c r="P179" s="169"/>
      <c r="Q179" s="169"/>
      <c r="R179" s="169"/>
      <c r="S179" s="169"/>
      <c r="T179" s="169"/>
      <c r="U179" s="169"/>
      <c r="V179" s="169"/>
      <c r="W179" s="169"/>
      <c r="X179" s="169"/>
      <c r="Y179" s="169"/>
      <c r="Z179" s="169"/>
      <c r="AA179" s="169"/>
      <c r="AB179" s="169"/>
      <c r="AC179" s="169"/>
      <c r="AD179" s="169"/>
      <c r="AE179" s="169"/>
      <c r="AF179" s="169"/>
      <c r="AG179" s="169"/>
      <c r="AH179" s="169"/>
      <c r="AI179" s="169"/>
      <c r="AJ179" s="169"/>
      <c r="AK179" s="169"/>
      <c r="AL179" s="169"/>
      <c r="AM179" s="169"/>
      <c r="AN179" s="169"/>
      <c r="AO179" s="169"/>
      <c r="AP179" s="169"/>
      <c r="AR179" t="s">
        <v>737</v>
      </c>
    </row>
    <row r="180" spans="4:44" x14ac:dyDescent="0.25">
      <c r="E180" s="32" t="s">
        <v>733</v>
      </c>
      <c r="J180" s="169"/>
      <c r="K180" s="169"/>
      <c r="L180" s="169"/>
      <c r="M180" s="169"/>
      <c r="N180" s="169"/>
      <c r="O180" s="169"/>
      <c r="P180" s="169"/>
      <c r="Q180" s="169"/>
      <c r="R180" s="169"/>
      <c r="S180" s="169"/>
      <c r="T180" s="169"/>
      <c r="U180" s="169"/>
      <c r="V180" s="169"/>
      <c r="W180" s="169"/>
      <c r="X180" s="169"/>
      <c r="Y180" s="169"/>
      <c r="Z180" s="169"/>
      <c r="AA180" s="169"/>
      <c r="AB180" s="169"/>
      <c r="AC180" s="169"/>
      <c r="AD180" s="169"/>
      <c r="AE180" s="169"/>
      <c r="AF180" s="169"/>
      <c r="AG180" s="169"/>
      <c r="AH180" s="169"/>
      <c r="AI180" s="169"/>
      <c r="AJ180" s="169"/>
      <c r="AK180" s="169"/>
      <c r="AL180" s="169"/>
      <c r="AM180" s="169"/>
      <c r="AN180" s="169"/>
      <c r="AO180" s="169"/>
      <c r="AP180" s="169"/>
    </row>
    <row r="181" spans="4:44" x14ac:dyDescent="0.25">
      <c r="E181" s="32"/>
      <c r="F181" s="207" t="s">
        <v>225</v>
      </c>
      <c r="G181" s="23" t="s">
        <v>327</v>
      </c>
      <c r="H181" s="302"/>
      <c r="I181" s="302"/>
      <c r="J181" s="314">
        <f t="shared" ref="J181:AP181" si="40">hundred * $H18 * J55 / $H43 * J93 * (1 - J67) / hours_in_year</f>
        <v>0</v>
      </c>
      <c r="K181" s="314">
        <f t="shared" si="40"/>
        <v>0</v>
      </c>
      <c r="L181" s="314">
        <f t="shared" si="40"/>
        <v>0</v>
      </c>
      <c r="M181" s="314">
        <f t="shared" si="40"/>
        <v>0</v>
      </c>
      <c r="N181" s="314">
        <f t="shared" si="40"/>
        <v>0</v>
      </c>
      <c r="O181" s="314">
        <f t="shared" si="40"/>
        <v>0</v>
      </c>
      <c r="P181" s="314">
        <f t="shared" si="40"/>
        <v>0</v>
      </c>
      <c r="Q181" s="314">
        <f t="shared" si="40"/>
        <v>0</v>
      </c>
      <c r="R181" s="314">
        <f t="shared" si="40"/>
        <v>0</v>
      </c>
      <c r="S181" s="314">
        <f t="shared" si="40"/>
        <v>0</v>
      </c>
      <c r="T181" s="314">
        <f t="shared" si="40"/>
        <v>0</v>
      </c>
      <c r="U181" s="314">
        <f t="shared" si="40"/>
        <v>0</v>
      </c>
      <c r="V181" s="314">
        <f t="shared" si="40"/>
        <v>0</v>
      </c>
      <c r="W181" s="314">
        <f t="shared" si="40"/>
        <v>0</v>
      </c>
      <c r="X181" s="314">
        <f t="shared" si="40"/>
        <v>0</v>
      </c>
      <c r="Y181" s="314">
        <f t="shared" si="40"/>
        <v>0</v>
      </c>
      <c r="Z181" s="314">
        <f t="shared" si="40"/>
        <v>0</v>
      </c>
      <c r="AA181" s="314">
        <f t="shared" si="40"/>
        <v>0</v>
      </c>
      <c r="AB181" s="314">
        <f t="shared" si="40"/>
        <v>0</v>
      </c>
      <c r="AC181" s="314">
        <f t="shared" si="40"/>
        <v>0</v>
      </c>
      <c r="AD181" s="314">
        <f t="shared" si="40"/>
        <v>0</v>
      </c>
      <c r="AE181" s="314">
        <f t="shared" si="40"/>
        <v>0</v>
      </c>
      <c r="AF181" s="314">
        <f t="shared" si="40"/>
        <v>0</v>
      </c>
      <c r="AG181" s="314">
        <f t="shared" si="40"/>
        <v>0</v>
      </c>
      <c r="AH181" s="314">
        <f t="shared" si="40"/>
        <v>0</v>
      </c>
      <c r="AI181" s="314">
        <f t="shared" si="40"/>
        <v>0</v>
      </c>
      <c r="AJ181" s="314">
        <f t="shared" si="40"/>
        <v>0</v>
      </c>
      <c r="AK181" s="314">
        <f t="shared" si="40"/>
        <v>0</v>
      </c>
      <c r="AL181" s="314">
        <f t="shared" si="40"/>
        <v>0</v>
      </c>
      <c r="AM181" s="314">
        <f t="shared" si="40"/>
        <v>0</v>
      </c>
      <c r="AN181" s="314">
        <f t="shared" si="40"/>
        <v>0</v>
      </c>
      <c r="AO181" s="314">
        <f t="shared" si="40"/>
        <v>0</v>
      </c>
      <c r="AP181" s="314">
        <f t="shared" si="40"/>
        <v>0</v>
      </c>
      <c r="AQ181" s="304"/>
      <c r="AR181" s="304"/>
    </row>
    <row r="182" spans="4:44" x14ac:dyDescent="0.25">
      <c r="E182" s="32"/>
      <c r="F182" s="208" t="s">
        <v>227</v>
      </c>
      <c r="G182" t="s">
        <v>327</v>
      </c>
      <c r="H182" s="304"/>
      <c r="I182" s="304"/>
      <c r="J182" s="315">
        <f t="shared" ref="J182:AP182" si="41">hundred * $H19 * J56 / $H44 * J94 * (1 - J68) / hours_in_year</f>
        <v>0</v>
      </c>
      <c r="K182" s="315">
        <f t="shared" si="41"/>
        <v>0</v>
      </c>
      <c r="L182" s="315">
        <f t="shared" si="41"/>
        <v>0</v>
      </c>
      <c r="M182" s="315">
        <f t="shared" si="41"/>
        <v>0</v>
      </c>
      <c r="N182" s="315">
        <f t="shared" si="41"/>
        <v>0</v>
      </c>
      <c r="O182" s="315">
        <f t="shared" si="41"/>
        <v>0</v>
      </c>
      <c r="P182" s="315">
        <f t="shared" si="41"/>
        <v>0</v>
      </c>
      <c r="Q182" s="315">
        <f t="shared" si="41"/>
        <v>0</v>
      </c>
      <c r="R182" s="315">
        <f t="shared" si="41"/>
        <v>0</v>
      </c>
      <c r="S182" s="315">
        <f t="shared" si="41"/>
        <v>0</v>
      </c>
      <c r="T182" s="315">
        <f t="shared" si="41"/>
        <v>0</v>
      </c>
      <c r="U182" s="315">
        <f t="shared" si="41"/>
        <v>0</v>
      </c>
      <c r="V182" s="315">
        <f t="shared" si="41"/>
        <v>0</v>
      </c>
      <c r="W182" s="315">
        <f t="shared" si="41"/>
        <v>0</v>
      </c>
      <c r="X182" s="315">
        <f t="shared" si="41"/>
        <v>0</v>
      </c>
      <c r="Y182" s="315">
        <f t="shared" si="41"/>
        <v>0</v>
      </c>
      <c r="Z182" s="315">
        <f t="shared" si="41"/>
        <v>0</v>
      </c>
      <c r="AA182" s="315">
        <f t="shared" si="41"/>
        <v>0</v>
      </c>
      <c r="AB182" s="315">
        <f t="shared" si="41"/>
        <v>0</v>
      </c>
      <c r="AC182" s="315">
        <f t="shared" si="41"/>
        <v>0</v>
      </c>
      <c r="AD182" s="315">
        <f t="shared" si="41"/>
        <v>0</v>
      </c>
      <c r="AE182" s="315">
        <f t="shared" si="41"/>
        <v>0</v>
      </c>
      <c r="AF182" s="315">
        <f t="shared" si="41"/>
        <v>0</v>
      </c>
      <c r="AG182" s="315">
        <f t="shared" si="41"/>
        <v>0</v>
      </c>
      <c r="AH182" s="315">
        <f t="shared" si="41"/>
        <v>0</v>
      </c>
      <c r="AI182" s="315">
        <f t="shared" si="41"/>
        <v>0</v>
      </c>
      <c r="AJ182" s="315">
        <f t="shared" si="41"/>
        <v>0</v>
      </c>
      <c r="AK182" s="315">
        <f t="shared" si="41"/>
        <v>0</v>
      </c>
      <c r="AL182" s="315">
        <f t="shared" si="41"/>
        <v>0</v>
      </c>
      <c r="AM182" s="315">
        <f t="shared" si="41"/>
        <v>0</v>
      </c>
      <c r="AN182" s="315">
        <f t="shared" si="41"/>
        <v>0</v>
      </c>
      <c r="AO182" s="315">
        <f t="shared" si="41"/>
        <v>0</v>
      </c>
      <c r="AP182" s="315">
        <f t="shared" si="41"/>
        <v>0</v>
      </c>
      <c r="AQ182" s="304"/>
      <c r="AR182" s="304"/>
    </row>
    <row r="183" spans="4:44" x14ac:dyDescent="0.25">
      <c r="E183" s="32"/>
      <c r="F183" s="208" t="s">
        <v>228</v>
      </c>
      <c r="G183" t="s">
        <v>327</v>
      </c>
      <c r="H183" s="304"/>
      <c r="I183" s="304"/>
      <c r="J183" s="315">
        <f t="shared" ref="J183:AP183" si="42">hundred * $H20 * J57 / $H45 * J95 * (1 - J69) / hours_in_year</f>
        <v>0</v>
      </c>
      <c r="K183" s="315">
        <f t="shared" si="42"/>
        <v>0</v>
      </c>
      <c r="L183" s="315">
        <f t="shared" si="42"/>
        <v>0</v>
      </c>
      <c r="M183" s="315">
        <f t="shared" si="42"/>
        <v>0</v>
      </c>
      <c r="N183" s="315">
        <f t="shared" si="42"/>
        <v>0</v>
      </c>
      <c r="O183" s="315">
        <f t="shared" si="42"/>
        <v>0</v>
      </c>
      <c r="P183" s="315">
        <f t="shared" si="42"/>
        <v>0</v>
      </c>
      <c r="Q183" s="315">
        <f t="shared" si="42"/>
        <v>0</v>
      </c>
      <c r="R183" s="315">
        <f t="shared" si="42"/>
        <v>0</v>
      </c>
      <c r="S183" s="315">
        <f t="shared" si="42"/>
        <v>0</v>
      </c>
      <c r="T183" s="315">
        <f t="shared" si="42"/>
        <v>0</v>
      </c>
      <c r="U183" s="315">
        <f t="shared" si="42"/>
        <v>0</v>
      </c>
      <c r="V183" s="315">
        <f t="shared" si="42"/>
        <v>0</v>
      </c>
      <c r="W183" s="315">
        <f t="shared" si="42"/>
        <v>0</v>
      </c>
      <c r="X183" s="315">
        <f t="shared" si="42"/>
        <v>0</v>
      </c>
      <c r="Y183" s="315">
        <f t="shared" si="42"/>
        <v>0</v>
      </c>
      <c r="Z183" s="315">
        <f t="shared" si="42"/>
        <v>0</v>
      </c>
      <c r="AA183" s="315">
        <f t="shared" si="42"/>
        <v>0</v>
      </c>
      <c r="AB183" s="315">
        <f t="shared" si="42"/>
        <v>0</v>
      </c>
      <c r="AC183" s="315">
        <f t="shared" si="42"/>
        <v>0</v>
      </c>
      <c r="AD183" s="315">
        <f t="shared" si="42"/>
        <v>0</v>
      </c>
      <c r="AE183" s="315">
        <f t="shared" si="42"/>
        <v>0</v>
      </c>
      <c r="AF183" s="315">
        <f t="shared" si="42"/>
        <v>0</v>
      </c>
      <c r="AG183" s="315">
        <f t="shared" si="42"/>
        <v>0</v>
      </c>
      <c r="AH183" s="315">
        <f t="shared" si="42"/>
        <v>0</v>
      </c>
      <c r="AI183" s="315">
        <f t="shared" si="42"/>
        <v>0</v>
      </c>
      <c r="AJ183" s="315">
        <f t="shared" si="42"/>
        <v>0</v>
      </c>
      <c r="AK183" s="315">
        <f t="shared" si="42"/>
        <v>0</v>
      </c>
      <c r="AL183" s="315">
        <f t="shared" si="42"/>
        <v>0</v>
      </c>
      <c r="AM183" s="315">
        <f t="shared" si="42"/>
        <v>0</v>
      </c>
      <c r="AN183" s="315">
        <f t="shared" si="42"/>
        <v>0</v>
      </c>
      <c r="AO183" s="315">
        <f t="shared" si="42"/>
        <v>0</v>
      </c>
      <c r="AP183" s="315">
        <f t="shared" si="42"/>
        <v>0</v>
      </c>
      <c r="AQ183" s="304"/>
      <c r="AR183" s="304"/>
    </row>
    <row r="184" spans="4:44" x14ac:dyDescent="0.25">
      <c r="E184" s="32"/>
      <c r="F184" s="208" t="s">
        <v>229</v>
      </c>
      <c r="G184" t="s">
        <v>327</v>
      </c>
      <c r="H184" s="304"/>
      <c r="I184" s="304"/>
      <c r="J184" s="315">
        <f t="shared" ref="J184:AP184" si="43">hundred * $H21 * J58 / $H46 * J96 * (1 - J70) / hours_in_year</f>
        <v>0</v>
      </c>
      <c r="K184" s="315">
        <f t="shared" si="43"/>
        <v>0</v>
      </c>
      <c r="L184" s="315">
        <f t="shared" si="43"/>
        <v>0</v>
      </c>
      <c r="M184" s="315">
        <f t="shared" si="43"/>
        <v>0</v>
      </c>
      <c r="N184" s="315">
        <f t="shared" si="43"/>
        <v>0</v>
      </c>
      <c r="O184" s="315">
        <f t="shared" si="43"/>
        <v>0</v>
      </c>
      <c r="P184" s="315">
        <f t="shared" si="43"/>
        <v>0</v>
      </c>
      <c r="Q184" s="315">
        <f t="shared" si="43"/>
        <v>0</v>
      </c>
      <c r="R184" s="315">
        <f t="shared" si="43"/>
        <v>0</v>
      </c>
      <c r="S184" s="315">
        <f t="shared" si="43"/>
        <v>0</v>
      </c>
      <c r="T184" s="315">
        <f t="shared" si="43"/>
        <v>0</v>
      </c>
      <c r="U184" s="315">
        <f t="shared" si="43"/>
        <v>0</v>
      </c>
      <c r="V184" s="315">
        <f t="shared" si="43"/>
        <v>0</v>
      </c>
      <c r="W184" s="315">
        <f t="shared" si="43"/>
        <v>0</v>
      </c>
      <c r="X184" s="315">
        <f t="shared" si="43"/>
        <v>0</v>
      </c>
      <c r="Y184" s="315">
        <f t="shared" si="43"/>
        <v>0</v>
      </c>
      <c r="Z184" s="315">
        <f t="shared" si="43"/>
        <v>0</v>
      </c>
      <c r="AA184" s="315">
        <f t="shared" si="43"/>
        <v>0</v>
      </c>
      <c r="AB184" s="315">
        <f t="shared" si="43"/>
        <v>0</v>
      </c>
      <c r="AC184" s="315">
        <f t="shared" si="43"/>
        <v>0</v>
      </c>
      <c r="AD184" s="315">
        <f t="shared" si="43"/>
        <v>0</v>
      </c>
      <c r="AE184" s="315">
        <f t="shared" si="43"/>
        <v>0</v>
      </c>
      <c r="AF184" s="315">
        <f t="shared" si="43"/>
        <v>0</v>
      </c>
      <c r="AG184" s="315">
        <f t="shared" si="43"/>
        <v>0</v>
      </c>
      <c r="AH184" s="315">
        <f t="shared" si="43"/>
        <v>0</v>
      </c>
      <c r="AI184" s="315">
        <f t="shared" si="43"/>
        <v>0</v>
      </c>
      <c r="AJ184" s="315">
        <f t="shared" si="43"/>
        <v>0</v>
      </c>
      <c r="AK184" s="315">
        <f t="shared" si="43"/>
        <v>0</v>
      </c>
      <c r="AL184" s="315">
        <f t="shared" si="43"/>
        <v>0</v>
      </c>
      <c r="AM184" s="315">
        <f t="shared" si="43"/>
        <v>0</v>
      </c>
      <c r="AN184" s="315">
        <f t="shared" si="43"/>
        <v>0</v>
      </c>
      <c r="AO184" s="315">
        <f t="shared" si="43"/>
        <v>0</v>
      </c>
      <c r="AP184" s="315">
        <f t="shared" si="43"/>
        <v>0</v>
      </c>
      <c r="AQ184" s="304"/>
      <c r="AR184" s="304"/>
    </row>
    <row r="185" spans="4:44" x14ac:dyDescent="0.25">
      <c r="E185" s="32"/>
      <c r="F185" s="208" t="s">
        <v>230</v>
      </c>
      <c r="G185" t="s">
        <v>327</v>
      </c>
      <c r="H185" s="304"/>
      <c r="I185" s="304"/>
      <c r="J185" s="315">
        <f t="shared" ref="J185:AP185" si="44">hundred * $H22 * J59 / $H47 * J97 * (1 - J71) / hours_in_year</f>
        <v>0</v>
      </c>
      <c r="K185" s="315">
        <f t="shared" si="44"/>
        <v>7.3258935303222084E-2</v>
      </c>
      <c r="L185" s="315">
        <f t="shared" si="44"/>
        <v>0</v>
      </c>
      <c r="M185" s="315">
        <f t="shared" si="44"/>
        <v>0</v>
      </c>
      <c r="N185" s="315">
        <f t="shared" si="44"/>
        <v>6.2675118650471484E-2</v>
      </c>
      <c r="O185" s="315">
        <f t="shared" si="44"/>
        <v>0</v>
      </c>
      <c r="P185" s="315">
        <f t="shared" si="44"/>
        <v>5.8967812080897568E-2</v>
      </c>
      <c r="Q185" s="315">
        <f t="shared" si="44"/>
        <v>4.6542349325045911E-2</v>
      </c>
      <c r="R185" s="315">
        <f t="shared" si="44"/>
        <v>6.2545822562035266E-2</v>
      </c>
      <c r="S185" s="315">
        <f t="shared" si="44"/>
        <v>0.11998812561903346</v>
      </c>
      <c r="T185" s="315">
        <f t="shared" si="44"/>
        <v>0.13115840740957549</v>
      </c>
      <c r="U185" s="315">
        <f t="shared" si="44"/>
        <v>0.10416790382856292</v>
      </c>
      <c r="V185" s="315">
        <f t="shared" si="44"/>
        <v>0.10027555624713674</v>
      </c>
      <c r="W185" s="315">
        <f t="shared" si="44"/>
        <v>9.2722119465652966E-2</v>
      </c>
      <c r="X185" s="315">
        <f t="shared" si="44"/>
        <v>0</v>
      </c>
      <c r="Y185" s="315">
        <f t="shared" si="44"/>
        <v>0</v>
      </c>
      <c r="Z185" s="315">
        <f t="shared" si="44"/>
        <v>0</v>
      </c>
      <c r="AA185" s="315">
        <f t="shared" si="44"/>
        <v>0</v>
      </c>
      <c r="AB185" s="315">
        <f t="shared" si="44"/>
        <v>0.10088471930323216</v>
      </c>
      <c r="AC185" s="315">
        <f t="shared" si="44"/>
        <v>0</v>
      </c>
      <c r="AD185" s="315">
        <f t="shared" si="44"/>
        <v>0</v>
      </c>
      <c r="AE185" s="315">
        <f t="shared" si="44"/>
        <v>0</v>
      </c>
      <c r="AF185" s="315">
        <f t="shared" si="44"/>
        <v>0</v>
      </c>
      <c r="AG185" s="315">
        <f t="shared" si="44"/>
        <v>-8.7531396973674847E-2</v>
      </c>
      <c r="AH185" s="315">
        <f t="shared" si="44"/>
        <v>-8.7531396973674847E-2</v>
      </c>
      <c r="AI185" s="315">
        <f t="shared" si="44"/>
        <v>0</v>
      </c>
      <c r="AJ185" s="315">
        <f t="shared" si="44"/>
        <v>0</v>
      </c>
      <c r="AK185" s="315">
        <f t="shared" si="44"/>
        <v>-8.4881363854288364E-2</v>
      </c>
      <c r="AL185" s="315">
        <f t="shared" si="44"/>
        <v>-8.4881363854288364E-2</v>
      </c>
      <c r="AM185" s="315">
        <f t="shared" si="44"/>
        <v>0</v>
      </c>
      <c r="AN185" s="315">
        <f t="shared" si="44"/>
        <v>0</v>
      </c>
      <c r="AO185" s="315">
        <f t="shared" si="44"/>
        <v>-8.2674323200553984E-2</v>
      </c>
      <c r="AP185" s="315">
        <f t="shared" si="44"/>
        <v>-8.2674323200553984E-2</v>
      </c>
      <c r="AQ185" s="304"/>
      <c r="AR185" s="304"/>
    </row>
    <row r="186" spans="4:44" x14ac:dyDescent="0.25">
      <c r="E186" s="32"/>
      <c r="F186" s="208" t="s">
        <v>231</v>
      </c>
      <c r="G186" t="s">
        <v>327</v>
      </c>
      <c r="H186" s="304"/>
      <c r="I186" s="304"/>
      <c r="J186" s="315">
        <f t="shared" ref="J186:AP186" si="45">hundred * $H23 * J60 / $H48 * J98 * (1 - J72) / hours_in_year</f>
        <v>0</v>
      </c>
      <c r="K186" s="315">
        <f t="shared" si="45"/>
        <v>6.6435994802145515E-2</v>
      </c>
      <c r="L186" s="315">
        <f t="shared" si="45"/>
        <v>0</v>
      </c>
      <c r="M186" s="315">
        <f t="shared" si="45"/>
        <v>0</v>
      </c>
      <c r="N186" s="315">
        <f t="shared" si="45"/>
        <v>5.6837897515873932E-2</v>
      </c>
      <c r="O186" s="315">
        <f t="shared" si="45"/>
        <v>0</v>
      </c>
      <c r="P186" s="315">
        <f t="shared" si="45"/>
        <v>5.3475869403306751E-2</v>
      </c>
      <c r="Q186" s="315">
        <f t="shared" si="45"/>
        <v>4.2207646958560066E-2</v>
      </c>
      <c r="R186" s="315">
        <f t="shared" si="45"/>
        <v>5.6827780990077695E-2</v>
      </c>
      <c r="S186" s="315">
        <f t="shared" si="45"/>
        <v>0.10881308139342674</v>
      </c>
      <c r="T186" s="315">
        <f t="shared" si="45"/>
        <v>0.11894302363055217</v>
      </c>
      <c r="U186" s="315">
        <f t="shared" si="45"/>
        <v>9.4466269386260376E-2</v>
      </c>
      <c r="V186" s="315">
        <f t="shared" si="45"/>
        <v>9.0936433979597026E-2</v>
      </c>
      <c r="W186" s="315">
        <f t="shared" si="45"/>
        <v>8.4245311390761024E-2</v>
      </c>
      <c r="X186" s="315">
        <f t="shared" si="45"/>
        <v>0</v>
      </c>
      <c r="Y186" s="315">
        <f t="shared" si="45"/>
        <v>0</v>
      </c>
      <c r="Z186" s="315">
        <f t="shared" si="45"/>
        <v>0</v>
      </c>
      <c r="AA186" s="315">
        <f t="shared" si="45"/>
        <v>0</v>
      </c>
      <c r="AB186" s="315">
        <f t="shared" si="45"/>
        <v>9.1488862887564443E-2</v>
      </c>
      <c r="AC186" s="315">
        <f t="shared" si="45"/>
        <v>0</v>
      </c>
      <c r="AD186" s="315">
        <f t="shared" si="45"/>
        <v>0</v>
      </c>
      <c r="AE186" s="315">
        <f t="shared" si="45"/>
        <v>0</v>
      </c>
      <c r="AF186" s="315">
        <f t="shared" si="45"/>
        <v>0</v>
      </c>
      <c r="AG186" s="315">
        <f t="shared" si="45"/>
        <v>-7.9379196684992367E-2</v>
      </c>
      <c r="AH186" s="315">
        <f t="shared" si="45"/>
        <v>-7.9379196684992367E-2</v>
      </c>
      <c r="AI186" s="315">
        <f t="shared" si="45"/>
        <v>0</v>
      </c>
      <c r="AJ186" s="315">
        <f t="shared" si="45"/>
        <v>0</v>
      </c>
      <c r="AK186" s="315">
        <f t="shared" si="45"/>
        <v>-7.6975973299116443E-2</v>
      </c>
      <c r="AL186" s="315">
        <f t="shared" si="45"/>
        <v>-7.6975973299116443E-2</v>
      </c>
      <c r="AM186" s="315">
        <f t="shared" si="45"/>
        <v>0</v>
      </c>
      <c r="AN186" s="315">
        <f t="shared" si="45"/>
        <v>0</v>
      </c>
      <c r="AO186" s="315">
        <f t="shared" si="45"/>
        <v>-7.5116101122247342E-2</v>
      </c>
      <c r="AP186" s="315">
        <f t="shared" si="45"/>
        <v>-7.5116101122247342E-2</v>
      </c>
      <c r="AQ186" s="304"/>
      <c r="AR186" s="304"/>
    </row>
    <row r="187" spans="4:44" x14ac:dyDescent="0.25">
      <c r="E187" s="32"/>
      <c r="F187" s="208" t="s">
        <v>232</v>
      </c>
      <c r="G187" t="s">
        <v>327</v>
      </c>
      <c r="H187" s="304"/>
      <c r="I187" s="304"/>
      <c r="J187" s="315">
        <f t="shared" ref="J187:AP187" si="46">hundred * $H24 * J61 / $H49 * J99 * (1 - J73) / hours_in_year</f>
        <v>0</v>
      </c>
      <c r="K187" s="315">
        <f t="shared" si="46"/>
        <v>0</v>
      </c>
      <c r="L187" s="315">
        <f t="shared" si="46"/>
        <v>0</v>
      </c>
      <c r="M187" s="315">
        <f t="shared" si="46"/>
        <v>0</v>
      </c>
      <c r="N187" s="315">
        <f t="shared" si="46"/>
        <v>0</v>
      </c>
      <c r="O187" s="315">
        <f t="shared" si="46"/>
        <v>0</v>
      </c>
      <c r="P187" s="315">
        <f t="shared" si="46"/>
        <v>0</v>
      </c>
      <c r="Q187" s="315">
        <f t="shared" si="46"/>
        <v>0</v>
      </c>
      <c r="R187" s="315">
        <f t="shared" si="46"/>
        <v>0</v>
      </c>
      <c r="S187" s="315">
        <f t="shared" si="46"/>
        <v>0</v>
      </c>
      <c r="T187" s="315">
        <f t="shared" si="46"/>
        <v>0</v>
      </c>
      <c r="U187" s="315">
        <f t="shared" si="46"/>
        <v>0</v>
      </c>
      <c r="V187" s="315">
        <f t="shared" si="46"/>
        <v>0</v>
      </c>
      <c r="W187" s="315">
        <f t="shared" si="46"/>
        <v>0</v>
      </c>
      <c r="X187" s="315">
        <f t="shared" si="46"/>
        <v>0</v>
      </c>
      <c r="Y187" s="315">
        <f t="shared" si="46"/>
        <v>0</v>
      </c>
      <c r="Z187" s="315">
        <f t="shared" si="46"/>
        <v>0</v>
      </c>
      <c r="AA187" s="315">
        <f t="shared" si="46"/>
        <v>0</v>
      </c>
      <c r="AB187" s="315">
        <f t="shared" si="46"/>
        <v>0</v>
      </c>
      <c r="AC187" s="315">
        <f t="shared" si="46"/>
        <v>0</v>
      </c>
      <c r="AD187" s="315">
        <f t="shared" si="46"/>
        <v>0</v>
      </c>
      <c r="AE187" s="315">
        <f t="shared" si="46"/>
        <v>0</v>
      </c>
      <c r="AF187" s="315">
        <f t="shared" si="46"/>
        <v>0</v>
      </c>
      <c r="AG187" s="315">
        <f t="shared" si="46"/>
        <v>0</v>
      </c>
      <c r="AH187" s="315">
        <f t="shared" si="46"/>
        <v>0</v>
      </c>
      <c r="AI187" s="315">
        <f t="shared" si="46"/>
        <v>0</v>
      </c>
      <c r="AJ187" s="315">
        <f t="shared" si="46"/>
        <v>0</v>
      </c>
      <c r="AK187" s="315">
        <f t="shared" si="46"/>
        <v>0</v>
      </c>
      <c r="AL187" s="315">
        <f t="shared" si="46"/>
        <v>0</v>
      </c>
      <c r="AM187" s="315">
        <f t="shared" si="46"/>
        <v>0</v>
      </c>
      <c r="AN187" s="315">
        <f t="shared" si="46"/>
        <v>0</v>
      </c>
      <c r="AO187" s="315">
        <f t="shared" si="46"/>
        <v>0</v>
      </c>
      <c r="AP187" s="315">
        <f t="shared" si="46"/>
        <v>0</v>
      </c>
      <c r="AQ187" s="304"/>
      <c r="AR187" s="304"/>
    </row>
    <row r="188" spans="4:44" x14ac:dyDescent="0.25">
      <c r="E188" s="32"/>
      <c r="F188" s="208" t="s">
        <v>233</v>
      </c>
      <c r="G188" t="s">
        <v>327</v>
      </c>
      <c r="H188" s="304"/>
      <c r="I188" s="304"/>
      <c r="J188" s="315">
        <f t="shared" ref="J188:AP188" si="47">hundred * $H25 * J62 / $H50 * J100 * (1 - J74) / hours_in_year</f>
        <v>0</v>
      </c>
      <c r="K188" s="315">
        <f t="shared" si="47"/>
        <v>0.15845299011538994</v>
      </c>
      <c r="L188" s="315">
        <f t="shared" si="47"/>
        <v>0</v>
      </c>
      <c r="M188" s="315">
        <f t="shared" si="47"/>
        <v>0</v>
      </c>
      <c r="N188" s="315">
        <f t="shared" si="47"/>
        <v>0.1355610740846688</v>
      </c>
      <c r="O188" s="315">
        <f t="shared" si="47"/>
        <v>0</v>
      </c>
      <c r="P188" s="315">
        <f t="shared" si="47"/>
        <v>0.12754247800772611</v>
      </c>
      <c r="Q188" s="315">
        <f t="shared" si="47"/>
        <v>0.10066723447486636</v>
      </c>
      <c r="R188" s="315">
        <f t="shared" si="47"/>
        <v>0.14458052262076659</v>
      </c>
      <c r="S188" s="315">
        <f t="shared" si="47"/>
        <v>0.25952434612901976</v>
      </c>
      <c r="T188" s="315">
        <f t="shared" si="47"/>
        <v>0.28368473752451179</v>
      </c>
      <c r="U188" s="315">
        <f t="shared" si="47"/>
        <v>0.22530652086834532</v>
      </c>
      <c r="V188" s="315">
        <f t="shared" si="47"/>
        <v>0.21688769645747161</v>
      </c>
      <c r="W188" s="315">
        <f t="shared" si="47"/>
        <v>0.21433585716380782</v>
      </c>
      <c r="X188" s="315">
        <f t="shared" si="47"/>
        <v>0</v>
      </c>
      <c r="Y188" s="315">
        <f t="shared" si="47"/>
        <v>0</v>
      </c>
      <c r="Z188" s="315">
        <f t="shared" si="47"/>
        <v>0</v>
      </c>
      <c r="AA188" s="315">
        <f t="shared" si="47"/>
        <v>0</v>
      </c>
      <c r="AB188" s="315">
        <f t="shared" si="47"/>
        <v>0.21820526553360725</v>
      </c>
      <c r="AC188" s="315">
        <f t="shared" si="47"/>
        <v>0</v>
      </c>
      <c r="AD188" s="315">
        <f t="shared" si="47"/>
        <v>0</v>
      </c>
      <c r="AE188" s="315">
        <f t="shared" si="47"/>
        <v>0</v>
      </c>
      <c r="AF188" s="315">
        <f t="shared" si="47"/>
        <v>0</v>
      </c>
      <c r="AG188" s="315">
        <f t="shared" si="47"/>
        <v>-0.18932313883690796</v>
      </c>
      <c r="AH188" s="315">
        <f t="shared" si="47"/>
        <v>-0.18932313883690796</v>
      </c>
      <c r="AI188" s="315">
        <f t="shared" si="47"/>
        <v>0</v>
      </c>
      <c r="AJ188" s="315">
        <f t="shared" si="47"/>
        <v>0</v>
      </c>
      <c r="AK188" s="315">
        <f t="shared" si="47"/>
        <v>-0.18359133738588226</v>
      </c>
      <c r="AL188" s="315">
        <f t="shared" si="47"/>
        <v>-0.18359133738588226</v>
      </c>
      <c r="AM188" s="315">
        <f t="shared" si="47"/>
        <v>0</v>
      </c>
      <c r="AN188" s="315">
        <f t="shared" si="47"/>
        <v>0</v>
      </c>
      <c r="AO188" s="315">
        <f t="shared" si="47"/>
        <v>0</v>
      </c>
      <c r="AP188" s="315">
        <f t="shared" si="47"/>
        <v>0</v>
      </c>
      <c r="AQ188" s="304"/>
      <c r="AR188" s="304"/>
    </row>
    <row r="189" spans="4:44" x14ac:dyDescent="0.25">
      <c r="E189" s="32"/>
      <c r="F189" s="208" t="s">
        <v>234</v>
      </c>
      <c r="G189" t="s">
        <v>327</v>
      </c>
      <c r="H189" s="304"/>
      <c r="I189" s="304"/>
      <c r="J189" s="315">
        <f t="shared" ref="J189:AP189" si="48">hundred * $H26 * J63 / $H51 * J101 * (1 - J75) / hours_in_year</f>
        <v>0</v>
      </c>
      <c r="K189" s="315">
        <f t="shared" si="48"/>
        <v>1.4512128507730362E-2</v>
      </c>
      <c r="L189" s="315">
        <f t="shared" si="48"/>
        <v>0</v>
      </c>
      <c r="M189" s="315">
        <f t="shared" si="48"/>
        <v>0</v>
      </c>
      <c r="N189" s="315">
        <f t="shared" si="48"/>
        <v>1.2415541835657637E-2</v>
      </c>
      <c r="O189" s="315">
        <f t="shared" si="48"/>
        <v>0</v>
      </c>
      <c r="P189" s="315">
        <f t="shared" si="48"/>
        <v>1.1681148015538285E-2</v>
      </c>
      <c r="Q189" s="315">
        <f t="shared" si="48"/>
        <v>9.2197429796258158E-3</v>
      </c>
      <c r="R189" s="315">
        <f t="shared" si="48"/>
        <v>0</v>
      </c>
      <c r="S189" s="315">
        <f t="shared" si="48"/>
        <v>2.376888349766287E-2</v>
      </c>
      <c r="T189" s="315">
        <f t="shared" si="48"/>
        <v>2.5981645178418236E-2</v>
      </c>
      <c r="U189" s="315">
        <f t="shared" si="48"/>
        <v>2.063499831773442E-2</v>
      </c>
      <c r="V189" s="315">
        <f t="shared" si="48"/>
        <v>1.9863949051667273E-2</v>
      </c>
      <c r="W189" s="315">
        <f t="shared" si="48"/>
        <v>0</v>
      </c>
      <c r="X189" s="315">
        <f t="shared" si="48"/>
        <v>0</v>
      </c>
      <c r="Y189" s="315">
        <f t="shared" si="48"/>
        <v>0</v>
      </c>
      <c r="Z189" s="315">
        <f t="shared" si="48"/>
        <v>0</v>
      </c>
      <c r="AA189" s="315">
        <f t="shared" si="48"/>
        <v>0</v>
      </c>
      <c r="AB189" s="315">
        <f t="shared" si="48"/>
        <v>1.9984620373406092E-2</v>
      </c>
      <c r="AC189" s="315">
        <f t="shared" si="48"/>
        <v>0</v>
      </c>
      <c r="AD189" s="315">
        <f t="shared" si="48"/>
        <v>0</v>
      </c>
      <c r="AE189" s="315">
        <f t="shared" si="48"/>
        <v>0</v>
      </c>
      <c r="AF189" s="315">
        <f t="shared" si="48"/>
        <v>0</v>
      </c>
      <c r="AG189" s="315">
        <f t="shared" si="48"/>
        <v>-1.7339412265349439E-2</v>
      </c>
      <c r="AH189" s="315">
        <f t="shared" si="48"/>
        <v>-1.7339412265349439E-2</v>
      </c>
      <c r="AI189" s="315">
        <f t="shared" si="48"/>
        <v>0</v>
      </c>
      <c r="AJ189" s="315">
        <f t="shared" si="48"/>
        <v>0</v>
      </c>
      <c r="AK189" s="315">
        <f t="shared" si="48"/>
        <v>0</v>
      </c>
      <c r="AL189" s="315">
        <f t="shared" si="48"/>
        <v>0</v>
      </c>
      <c r="AM189" s="315">
        <f t="shared" si="48"/>
        <v>0</v>
      </c>
      <c r="AN189" s="315">
        <f t="shared" si="48"/>
        <v>0</v>
      </c>
      <c r="AO189" s="315">
        <f t="shared" si="48"/>
        <v>0</v>
      </c>
      <c r="AP189" s="315">
        <f t="shared" si="48"/>
        <v>0</v>
      </c>
      <c r="AQ189" s="304"/>
      <c r="AR189" s="304"/>
    </row>
    <row r="190" spans="4:44" x14ac:dyDescent="0.25">
      <c r="E190" s="32"/>
      <c r="F190" s="209" t="s">
        <v>235</v>
      </c>
      <c r="G190" s="37" t="s">
        <v>327</v>
      </c>
      <c r="H190" s="308"/>
      <c r="I190" s="308"/>
      <c r="J190" s="316">
        <f t="shared" ref="J190:AP190" si="49">hundred * $H27 * J64 / $H52 * J102 * (1 - J76) / hours_in_year</f>
        <v>0</v>
      </c>
      <c r="K190" s="316">
        <f t="shared" si="49"/>
        <v>5.2702538179523152E-3</v>
      </c>
      <c r="L190" s="316">
        <f t="shared" si="49"/>
        <v>0</v>
      </c>
      <c r="M190" s="316">
        <f t="shared" si="49"/>
        <v>0</v>
      </c>
      <c r="N190" s="316">
        <f t="shared" si="49"/>
        <v>4.5088531793572723E-3</v>
      </c>
      <c r="O190" s="316">
        <f t="shared" si="49"/>
        <v>0</v>
      </c>
      <c r="P190" s="316">
        <f t="shared" si="49"/>
        <v>4.2421492404896644E-3</v>
      </c>
      <c r="Q190" s="316">
        <f t="shared" si="49"/>
        <v>0</v>
      </c>
      <c r="R190" s="316">
        <f t="shared" si="49"/>
        <v>0</v>
      </c>
      <c r="S190" s="316">
        <f t="shared" si="49"/>
        <v>8.631955604258423E-3</v>
      </c>
      <c r="T190" s="316">
        <f t="shared" si="49"/>
        <v>9.4355465929963928E-3</v>
      </c>
      <c r="U190" s="316">
        <f t="shared" si="49"/>
        <v>7.4938475503127802E-3</v>
      </c>
      <c r="V190" s="316">
        <f t="shared" si="49"/>
        <v>0</v>
      </c>
      <c r="W190" s="316">
        <f t="shared" si="49"/>
        <v>0</v>
      </c>
      <c r="X190" s="316">
        <f t="shared" si="49"/>
        <v>0</v>
      </c>
      <c r="Y190" s="316">
        <f t="shared" si="49"/>
        <v>0</v>
      </c>
      <c r="Z190" s="316">
        <f t="shared" si="49"/>
        <v>0</v>
      </c>
      <c r="AA190" s="316">
        <f t="shared" si="49"/>
        <v>0</v>
      </c>
      <c r="AB190" s="316">
        <f t="shared" si="49"/>
        <v>7.2576549861150114E-3</v>
      </c>
      <c r="AC190" s="316">
        <f t="shared" si="49"/>
        <v>0</v>
      </c>
      <c r="AD190" s="316">
        <f t="shared" si="49"/>
        <v>0</v>
      </c>
      <c r="AE190" s="316">
        <f t="shared" si="49"/>
        <v>0</v>
      </c>
      <c r="AF190" s="316">
        <f t="shared" si="49"/>
        <v>0</v>
      </c>
      <c r="AG190" s="316">
        <f t="shared" si="49"/>
        <v>0</v>
      </c>
      <c r="AH190" s="316">
        <f t="shared" si="49"/>
        <v>0</v>
      </c>
      <c r="AI190" s="316">
        <f t="shared" si="49"/>
        <v>0</v>
      </c>
      <c r="AJ190" s="316">
        <f t="shared" si="49"/>
        <v>0</v>
      </c>
      <c r="AK190" s="316">
        <f t="shared" si="49"/>
        <v>0</v>
      </c>
      <c r="AL190" s="316">
        <f t="shared" si="49"/>
        <v>0</v>
      </c>
      <c r="AM190" s="316">
        <f t="shared" si="49"/>
        <v>0</v>
      </c>
      <c r="AN190" s="316">
        <f t="shared" si="49"/>
        <v>0</v>
      </c>
      <c r="AO190" s="316">
        <f t="shared" si="49"/>
        <v>0</v>
      </c>
      <c r="AP190" s="316">
        <f t="shared" si="49"/>
        <v>0</v>
      </c>
      <c r="AQ190" s="304"/>
      <c r="AR190" s="304"/>
    </row>
    <row r="191" spans="4:44" x14ac:dyDescent="0.25">
      <c r="E191" s="32"/>
      <c r="F191" s="208"/>
      <c r="J191" s="169"/>
      <c r="K191" s="169"/>
      <c r="L191" s="169"/>
      <c r="M191" s="169"/>
      <c r="N191" s="169"/>
      <c r="O191" s="169"/>
      <c r="P191" s="169"/>
      <c r="Q191" s="169"/>
      <c r="R191" s="169"/>
      <c r="S191" s="169"/>
      <c r="T191" s="169"/>
      <c r="U191" s="169"/>
      <c r="V191" s="169"/>
      <c r="W191" s="169"/>
      <c r="X191" s="169"/>
      <c r="Y191" s="169"/>
      <c r="Z191" s="169"/>
      <c r="AA191" s="169"/>
      <c r="AB191" s="169"/>
      <c r="AC191" s="169"/>
      <c r="AD191" s="169"/>
      <c r="AE191" s="169"/>
      <c r="AF191" s="169"/>
      <c r="AG191" s="169"/>
      <c r="AH191" s="169"/>
      <c r="AI191" s="169"/>
      <c r="AJ191" s="169"/>
      <c r="AK191" s="169"/>
      <c r="AL191" s="169"/>
      <c r="AM191" s="169"/>
      <c r="AN191" s="169"/>
      <c r="AO191" s="169"/>
      <c r="AP191" s="169"/>
    </row>
    <row r="192" spans="4:44" x14ac:dyDescent="0.25">
      <c r="E192" s="32" t="s">
        <v>734</v>
      </c>
      <c r="J192" s="169"/>
      <c r="K192" s="169"/>
      <c r="L192" s="169"/>
      <c r="M192" s="169"/>
      <c r="N192" s="169"/>
      <c r="O192" s="169"/>
      <c r="P192" s="169"/>
      <c r="Q192" s="169"/>
      <c r="R192" s="169"/>
      <c r="S192" s="169"/>
      <c r="T192" s="169"/>
      <c r="U192" s="169"/>
      <c r="V192" s="169"/>
      <c r="W192" s="169"/>
      <c r="X192" s="169"/>
      <c r="Y192" s="169"/>
      <c r="Z192" s="169"/>
      <c r="AA192" s="169"/>
      <c r="AB192" s="169"/>
      <c r="AC192" s="169"/>
      <c r="AD192" s="169"/>
      <c r="AE192" s="169"/>
      <c r="AF192" s="169"/>
      <c r="AG192" s="169"/>
      <c r="AH192" s="169"/>
      <c r="AI192" s="169"/>
      <c r="AJ192" s="169"/>
      <c r="AK192" s="169"/>
      <c r="AL192" s="169"/>
      <c r="AM192" s="169"/>
      <c r="AN192" s="169"/>
      <c r="AO192" s="169"/>
      <c r="AP192" s="169"/>
    </row>
    <row r="193" spans="3:44" x14ac:dyDescent="0.25">
      <c r="D193" s="32"/>
      <c r="E193" s="32"/>
      <c r="F193" s="207" t="s">
        <v>225</v>
      </c>
      <c r="G193" s="23" t="s">
        <v>327</v>
      </c>
      <c r="H193" s="302"/>
      <c r="I193" s="302"/>
      <c r="J193" s="314">
        <f t="shared" ref="J193:AP193" si="50">hundred * $H30 * J55 / $H43 * J93 / hours_in_year</f>
        <v>0</v>
      </c>
      <c r="K193" s="314">
        <f t="shared" si="50"/>
        <v>0.18593435253173338</v>
      </c>
      <c r="L193" s="314">
        <f t="shared" si="50"/>
        <v>0</v>
      </c>
      <c r="M193" s="314">
        <f t="shared" si="50"/>
        <v>0</v>
      </c>
      <c r="N193" s="314">
        <f t="shared" si="50"/>
        <v>0.15478076868600119</v>
      </c>
      <c r="O193" s="314">
        <f t="shared" si="50"/>
        <v>0</v>
      </c>
      <c r="P193" s="314">
        <f t="shared" si="50"/>
        <v>0.14600459518516759</v>
      </c>
      <c r="Q193" s="314">
        <f t="shared" si="50"/>
        <v>0.11523908777296034</v>
      </c>
      <c r="R193" s="314">
        <f t="shared" si="50"/>
        <v>0.15565500604457028</v>
      </c>
      <c r="S193" s="314">
        <f t="shared" si="50"/>
        <v>0.30228849443644812</v>
      </c>
      <c r="T193" s="314">
        <f t="shared" si="50"/>
        <v>0.33002248110651733</v>
      </c>
      <c r="U193" s="314">
        <f t="shared" si="50"/>
        <v>0.26201818147109029</v>
      </c>
      <c r="V193" s="314">
        <f t="shared" si="50"/>
        <v>0.25222758573617798</v>
      </c>
      <c r="W193" s="314">
        <f t="shared" si="50"/>
        <v>0.23447034189675142</v>
      </c>
      <c r="X193" s="314">
        <f t="shared" si="50"/>
        <v>0</v>
      </c>
      <c r="Y193" s="314">
        <f t="shared" si="50"/>
        <v>0</v>
      </c>
      <c r="Z193" s="314">
        <f t="shared" si="50"/>
        <v>0</v>
      </c>
      <c r="AA193" s="314">
        <f t="shared" si="50"/>
        <v>0</v>
      </c>
      <c r="AB193" s="314">
        <f t="shared" si="50"/>
        <v>0.25442067369996657</v>
      </c>
      <c r="AC193" s="314">
        <f t="shared" si="50"/>
        <v>0</v>
      </c>
      <c r="AD193" s="314">
        <f t="shared" si="50"/>
        <v>0</v>
      </c>
      <c r="AE193" s="314">
        <f t="shared" si="50"/>
        <v>0</v>
      </c>
      <c r="AF193" s="314">
        <f t="shared" si="50"/>
        <v>0</v>
      </c>
      <c r="AG193" s="314">
        <f t="shared" si="50"/>
        <v>-0.22017163265963346</v>
      </c>
      <c r="AH193" s="314">
        <f t="shared" si="50"/>
        <v>-0.22017163265963346</v>
      </c>
      <c r="AI193" s="314">
        <f t="shared" si="50"/>
        <v>0</v>
      </c>
      <c r="AJ193" s="314">
        <f t="shared" si="50"/>
        <v>0</v>
      </c>
      <c r="AK193" s="314">
        <f t="shared" si="50"/>
        <v>-0.21350588598278217</v>
      </c>
      <c r="AL193" s="314">
        <f t="shared" si="50"/>
        <v>-0.21350588598278217</v>
      </c>
      <c r="AM193" s="314">
        <f t="shared" si="50"/>
        <v>0</v>
      </c>
      <c r="AN193" s="314">
        <f t="shared" si="50"/>
        <v>0</v>
      </c>
      <c r="AO193" s="314">
        <f t="shared" si="50"/>
        <v>-0.2090620548648813</v>
      </c>
      <c r="AP193" s="314">
        <f t="shared" si="50"/>
        <v>-0.2090620548648813</v>
      </c>
      <c r="AQ193" s="304"/>
      <c r="AR193" s="304"/>
    </row>
    <row r="194" spans="3:44" x14ac:dyDescent="0.25">
      <c r="D194" s="32"/>
      <c r="E194" s="32"/>
      <c r="F194" s="208" t="s">
        <v>227</v>
      </c>
      <c r="G194" t="s">
        <v>327</v>
      </c>
      <c r="H194" s="304"/>
      <c r="I194" s="304"/>
      <c r="J194" s="315">
        <f t="shared" ref="J194:AP194" si="51">hundred * $H31 * J56 / $H44 * J94 / hours_in_year</f>
        <v>0</v>
      </c>
      <c r="K194" s="315">
        <f t="shared" si="51"/>
        <v>0</v>
      </c>
      <c r="L194" s="315">
        <f t="shared" si="51"/>
        <v>0</v>
      </c>
      <c r="M194" s="315">
        <f t="shared" si="51"/>
        <v>0</v>
      </c>
      <c r="N194" s="315">
        <f t="shared" si="51"/>
        <v>0</v>
      </c>
      <c r="O194" s="315">
        <f t="shared" si="51"/>
        <v>0</v>
      </c>
      <c r="P194" s="315">
        <f t="shared" si="51"/>
        <v>0</v>
      </c>
      <c r="Q194" s="315">
        <f t="shared" si="51"/>
        <v>0</v>
      </c>
      <c r="R194" s="315">
        <f t="shared" si="51"/>
        <v>0</v>
      </c>
      <c r="S194" s="315">
        <f t="shared" si="51"/>
        <v>0</v>
      </c>
      <c r="T194" s="315">
        <f t="shared" si="51"/>
        <v>0</v>
      </c>
      <c r="U194" s="315">
        <f t="shared" si="51"/>
        <v>0</v>
      </c>
      <c r="V194" s="315">
        <f t="shared" si="51"/>
        <v>0</v>
      </c>
      <c r="W194" s="315">
        <f t="shared" si="51"/>
        <v>0</v>
      </c>
      <c r="X194" s="315">
        <f t="shared" si="51"/>
        <v>0</v>
      </c>
      <c r="Y194" s="315">
        <f t="shared" si="51"/>
        <v>0</v>
      </c>
      <c r="Z194" s="315">
        <f t="shared" si="51"/>
        <v>0</v>
      </c>
      <c r="AA194" s="315">
        <f t="shared" si="51"/>
        <v>0</v>
      </c>
      <c r="AB194" s="315">
        <f t="shared" si="51"/>
        <v>0</v>
      </c>
      <c r="AC194" s="315">
        <f t="shared" si="51"/>
        <v>0</v>
      </c>
      <c r="AD194" s="315">
        <f t="shared" si="51"/>
        <v>0</v>
      </c>
      <c r="AE194" s="315">
        <f t="shared" si="51"/>
        <v>0</v>
      </c>
      <c r="AF194" s="315">
        <f t="shared" si="51"/>
        <v>0</v>
      </c>
      <c r="AG194" s="315">
        <f t="shared" si="51"/>
        <v>0</v>
      </c>
      <c r="AH194" s="315">
        <f t="shared" si="51"/>
        <v>0</v>
      </c>
      <c r="AI194" s="315">
        <f t="shared" si="51"/>
        <v>0</v>
      </c>
      <c r="AJ194" s="315">
        <f t="shared" si="51"/>
        <v>0</v>
      </c>
      <c r="AK194" s="315">
        <f t="shared" si="51"/>
        <v>0</v>
      </c>
      <c r="AL194" s="315">
        <f t="shared" si="51"/>
        <v>0</v>
      </c>
      <c r="AM194" s="315">
        <f t="shared" si="51"/>
        <v>0</v>
      </c>
      <c r="AN194" s="315">
        <f t="shared" si="51"/>
        <v>0</v>
      </c>
      <c r="AO194" s="315">
        <f t="shared" si="51"/>
        <v>0</v>
      </c>
      <c r="AP194" s="315">
        <f t="shared" si="51"/>
        <v>0</v>
      </c>
      <c r="AQ194" s="304"/>
      <c r="AR194" s="304"/>
    </row>
    <row r="195" spans="3:44" x14ac:dyDescent="0.25">
      <c r="D195" s="32"/>
      <c r="E195" s="32"/>
      <c r="F195" s="208" t="s">
        <v>228</v>
      </c>
      <c r="G195" t="s">
        <v>327</v>
      </c>
      <c r="H195" s="304"/>
      <c r="I195" s="304"/>
      <c r="J195" s="315">
        <f t="shared" ref="J195:AP195" si="52">hundred * $H32 * J57 / $H45 * J95 / hours_in_year</f>
        <v>0</v>
      </c>
      <c r="K195" s="315">
        <f t="shared" si="52"/>
        <v>0</v>
      </c>
      <c r="L195" s="315">
        <f t="shared" si="52"/>
        <v>0</v>
      </c>
      <c r="M195" s="315">
        <f t="shared" si="52"/>
        <v>0</v>
      </c>
      <c r="N195" s="315">
        <f t="shared" si="52"/>
        <v>0</v>
      </c>
      <c r="O195" s="315">
        <f t="shared" si="52"/>
        <v>0</v>
      </c>
      <c r="P195" s="315">
        <f t="shared" si="52"/>
        <v>0</v>
      </c>
      <c r="Q195" s="315">
        <f t="shared" si="52"/>
        <v>0</v>
      </c>
      <c r="R195" s="315">
        <f t="shared" si="52"/>
        <v>0</v>
      </c>
      <c r="S195" s="315">
        <f t="shared" si="52"/>
        <v>0</v>
      </c>
      <c r="T195" s="315">
        <f t="shared" si="52"/>
        <v>0</v>
      </c>
      <c r="U195" s="315">
        <f t="shared" si="52"/>
        <v>0</v>
      </c>
      <c r="V195" s="315">
        <f t="shared" si="52"/>
        <v>0</v>
      </c>
      <c r="W195" s="315">
        <f t="shared" si="52"/>
        <v>0</v>
      </c>
      <c r="X195" s="315">
        <f t="shared" si="52"/>
        <v>0</v>
      </c>
      <c r="Y195" s="315">
        <f t="shared" si="52"/>
        <v>0</v>
      </c>
      <c r="Z195" s="315">
        <f t="shared" si="52"/>
        <v>0</v>
      </c>
      <c r="AA195" s="315">
        <f t="shared" si="52"/>
        <v>0</v>
      </c>
      <c r="AB195" s="315">
        <f t="shared" si="52"/>
        <v>0</v>
      </c>
      <c r="AC195" s="315">
        <f t="shared" si="52"/>
        <v>0</v>
      </c>
      <c r="AD195" s="315">
        <f t="shared" si="52"/>
        <v>0</v>
      </c>
      <c r="AE195" s="315">
        <f t="shared" si="52"/>
        <v>0</v>
      </c>
      <c r="AF195" s="315">
        <f t="shared" si="52"/>
        <v>0</v>
      </c>
      <c r="AG195" s="315">
        <f t="shared" si="52"/>
        <v>0</v>
      </c>
      <c r="AH195" s="315">
        <f t="shared" si="52"/>
        <v>0</v>
      </c>
      <c r="AI195" s="315">
        <f t="shared" si="52"/>
        <v>0</v>
      </c>
      <c r="AJ195" s="315">
        <f t="shared" si="52"/>
        <v>0</v>
      </c>
      <c r="AK195" s="315">
        <f t="shared" si="52"/>
        <v>0</v>
      </c>
      <c r="AL195" s="315">
        <f t="shared" si="52"/>
        <v>0</v>
      </c>
      <c r="AM195" s="315">
        <f t="shared" si="52"/>
        <v>0</v>
      </c>
      <c r="AN195" s="315">
        <f t="shared" si="52"/>
        <v>0</v>
      </c>
      <c r="AO195" s="315">
        <f t="shared" si="52"/>
        <v>0</v>
      </c>
      <c r="AP195" s="315">
        <f t="shared" si="52"/>
        <v>0</v>
      </c>
      <c r="AQ195" s="304"/>
      <c r="AR195" s="304"/>
    </row>
    <row r="196" spans="3:44" x14ac:dyDescent="0.25">
      <c r="D196" s="32"/>
      <c r="E196" s="32"/>
      <c r="F196" s="208" t="s">
        <v>229</v>
      </c>
      <c r="G196" t="s">
        <v>327</v>
      </c>
      <c r="H196" s="304"/>
      <c r="I196" s="304"/>
      <c r="J196" s="315">
        <f t="shared" ref="J196:AP196" si="53">hundred * $H33 * J58 / $H46 * J96 / hours_in_year</f>
        <v>0</v>
      </c>
      <c r="K196" s="315">
        <f t="shared" si="53"/>
        <v>0</v>
      </c>
      <c r="L196" s="315">
        <f t="shared" si="53"/>
        <v>0</v>
      </c>
      <c r="M196" s="315">
        <f t="shared" si="53"/>
        <v>0</v>
      </c>
      <c r="N196" s="315">
        <f t="shared" si="53"/>
        <v>0</v>
      </c>
      <c r="O196" s="315">
        <f t="shared" si="53"/>
        <v>0</v>
      </c>
      <c r="P196" s="315">
        <f t="shared" si="53"/>
        <v>0</v>
      </c>
      <c r="Q196" s="315">
        <f t="shared" si="53"/>
        <v>0</v>
      </c>
      <c r="R196" s="315">
        <f t="shared" si="53"/>
        <v>0</v>
      </c>
      <c r="S196" s="315">
        <f t="shared" si="53"/>
        <v>0</v>
      </c>
      <c r="T196" s="315">
        <f t="shared" si="53"/>
        <v>0</v>
      </c>
      <c r="U196" s="315">
        <f t="shared" si="53"/>
        <v>0</v>
      </c>
      <c r="V196" s="315">
        <f t="shared" si="53"/>
        <v>0</v>
      </c>
      <c r="W196" s="315">
        <f t="shared" si="53"/>
        <v>0</v>
      </c>
      <c r="X196" s="315">
        <f t="shared" si="53"/>
        <v>0</v>
      </c>
      <c r="Y196" s="315">
        <f t="shared" si="53"/>
        <v>0</v>
      </c>
      <c r="Z196" s="315">
        <f t="shared" si="53"/>
        <v>0</v>
      </c>
      <c r="AA196" s="315">
        <f t="shared" si="53"/>
        <v>0</v>
      </c>
      <c r="AB196" s="315">
        <f t="shared" si="53"/>
        <v>0</v>
      </c>
      <c r="AC196" s="315">
        <f t="shared" si="53"/>
        <v>0</v>
      </c>
      <c r="AD196" s="315">
        <f t="shared" si="53"/>
        <v>0</v>
      </c>
      <c r="AE196" s="315">
        <f t="shared" si="53"/>
        <v>0</v>
      </c>
      <c r="AF196" s="315">
        <f t="shared" si="53"/>
        <v>0</v>
      </c>
      <c r="AG196" s="315">
        <f t="shared" si="53"/>
        <v>0</v>
      </c>
      <c r="AH196" s="315">
        <f t="shared" si="53"/>
        <v>0</v>
      </c>
      <c r="AI196" s="315">
        <f t="shared" si="53"/>
        <v>0</v>
      </c>
      <c r="AJ196" s="315">
        <f t="shared" si="53"/>
        <v>0</v>
      </c>
      <c r="AK196" s="315">
        <f t="shared" si="53"/>
        <v>0</v>
      </c>
      <c r="AL196" s="315">
        <f t="shared" si="53"/>
        <v>0</v>
      </c>
      <c r="AM196" s="315">
        <f t="shared" si="53"/>
        <v>0</v>
      </c>
      <c r="AN196" s="315">
        <f t="shared" si="53"/>
        <v>0</v>
      </c>
      <c r="AO196" s="315">
        <f t="shared" si="53"/>
        <v>0</v>
      </c>
      <c r="AP196" s="315">
        <f t="shared" si="53"/>
        <v>0</v>
      </c>
      <c r="AQ196" s="304"/>
      <c r="AR196" s="304"/>
    </row>
    <row r="197" spans="3:44" x14ac:dyDescent="0.25">
      <c r="D197" s="32"/>
      <c r="E197" s="32"/>
      <c r="F197" s="208" t="s">
        <v>230</v>
      </c>
      <c r="G197" t="s">
        <v>327</v>
      </c>
      <c r="H197" s="304"/>
      <c r="I197" s="304"/>
      <c r="J197" s="315">
        <f t="shared" ref="J197:AP197" si="54">hundred * $H34 * J59 / $H47 * J97 / hours_in_year</f>
        <v>0</v>
      </c>
      <c r="K197" s="315">
        <f t="shared" si="54"/>
        <v>5.7366627853810206E-2</v>
      </c>
      <c r="L197" s="315">
        <f t="shared" si="54"/>
        <v>0</v>
      </c>
      <c r="M197" s="315">
        <f t="shared" si="54"/>
        <v>0</v>
      </c>
      <c r="N197" s="315">
        <f t="shared" si="54"/>
        <v>4.90787941762083E-2</v>
      </c>
      <c r="O197" s="315">
        <f t="shared" si="54"/>
        <v>0</v>
      </c>
      <c r="P197" s="315">
        <f t="shared" si="54"/>
        <v>4.617572610080619E-2</v>
      </c>
      <c r="Q197" s="315">
        <f t="shared" si="54"/>
        <v>3.6445760808845817E-2</v>
      </c>
      <c r="R197" s="315">
        <f t="shared" si="54"/>
        <v>4.9238417998733908E-2</v>
      </c>
      <c r="S197" s="315">
        <f t="shared" si="54"/>
        <v>9.3958697608325467E-2</v>
      </c>
      <c r="T197" s="315">
        <f t="shared" si="54"/>
        <v>0.10270577256713985</v>
      </c>
      <c r="U197" s="315">
        <f t="shared" si="54"/>
        <v>8.1570409787020667E-2</v>
      </c>
      <c r="V197" s="315">
        <f t="shared" si="54"/>
        <v>7.8522442269377338E-2</v>
      </c>
      <c r="W197" s="315">
        <f t="shared" si="54"/>
        <v>7.2994331019472017E-2</v>
      </c>
      <c r="X197" s="315">
        <f t="shared" si="54"/>
        <v>0</v>
      </c>
      <c r="Y197" s="315">
        <f t="shared" si="54"/>
        <v>0</v>
      </c>
      <c r="Z197" s="315">
        <f t="shared" si="54"/>
        <v>0</v>
      </c>
      <c r="AA197" s="315">
        <f t="shared" si="54"/>
        <v>0</v>
      </c>
      <c r="AB197" s="315">
        <f t="shared" si="54"/>
        <v>7.8999457533067349E-2</v>
      </c>
      <c r="AC197" s="315">
        <f t="shared" si="54"/>
        <v>0</v>
      </c>
      <c r="AD197" s="315">
        <f t="shared" si="54"/>
        <v>0</v>
      </c>
      <c r="AE197" s="315">
        <f t="shared" si="54"/>
        <v>0</v>
      </c>
      <c r="AF197" s="315">
        <f t="shared" si="54"/>
        <v>0</v>
      </c>
      <c r="AG197" s="315">
        <f t="shared" si="54"/>
        <v>-6.854291636821104E-2</v>
      </c>
      <c r="AH197" s="315">
        <f t="shared" si="54"/>
        <v>-6.854291636821104E-2</v>
      </c>
      <c r="AI197" s="315">
        <f t="shared" si="54"/>
        <v>0</v>
      </c>
      <c r="AJ197" s="315">
        <f t="shared" si="54"/>
        <v>0</v>
      </c>
      <c r="AK197" s="315">
        <f t="shared" si="54"/>
        <v>-6.6467763854311065E-2</v>
      </c>
      <c r="AL197" s="315">
        <f t="shared" si="54"/>
        <v>-6.6467763854311065E-2</v>
      </c>
      <c r="AM197" s="315">
        <f t="shared" si="54"/>
        <v>0</v>
      </c>
      <c r="AN197" s="315">
        <f t="shared" si="54"/>
        <v>0</v>
      </c>
      <c r="AO197" s="315">
        <f t="shared" si="54"/>
        <v>-6.508432884504442E-2</v>
      </c>
      <c r="AP197" s="315">
        <f t="shared" si="54"/>
        <v>-6.508432884504442E-2</v>
      </c>
      <c r="AQ197" s="304"/>
      <c r="AR197" s="304"/>
    </row>
    <row r="198" spans="3:44" x14ac:dyDescent="0.25">
      <c r="D198" s="32"/>
      <c r="E198" s="32"/>
      <c r="F198" s="208" t="s">
        <v>231</v>
      </c>
      <c r="G198" t="s">
        <v>327</v>
      </c>
      <c r="H198" s="304"/>
      <c r="I198" s="304"/>
      <c r="J198" s="315">
        <f t="shared" ref="J198:AP198" si="55">hundred * $H35 * J60 / $H48 * J98 / hours_in_year</f>
        <v>0</v>
      </c>
      <c r="K198" s="315">
        <f t="shared" si="55"/>
        <v>5.1905112930072252E-2</v>
      </c>
      <c r="L198" s="315">
        <f t="shared" si="55"/>
        <v>0</v>
      </c>
      <c r="M198" s="315">
        <f t="shared" si="55"/>
        <v>0</v>
      </c>
      <c r="N198" s="315">
        <f t="shared" si="55"/>
        <v>4.4406311639575771E-2</v>
      </c>
      <c r="O198" s="315">
        <f t="shared" si="55"/>
        <v>0</v>
      </c>
      <c r="P198" s="315">
        <f t="shared" si="55"/>
        <v>4.1779626370896064E-2</v>
      </c>
      <c r="Q198" s="315">
        <f t="shared" si="55"/>
        <v>3.2975989723961062E-2</v>
      </c>
      <c r="R198" s="315">
        <f t="shared" si="55"/>
        <v>4.4550738684435993E-2</v>
      </c>
      <c r="S198" s="315">
        <f t="shared" si="55"/>
        <v>8.5013482447508421E-2</v>
      </c>
      <c r="T198" s="315">
        <f t="shared" si="55"/>
        <v>9.2927803552490598E-2</v>
      </c>
      <c r="U198" s="315">
        <f t="shared" si="55"/>
        <v>7.380460539770714E-2</v>
      </c>
      <c r="V198" s="315">
        <f t="shared" si="55"/>
        <v>7.1046815649046496E-2</v>
      </c>
      <c r="W198" s="315">
        <f t="shared" si="55"/>
        <v>6.6045001014803859E-2</v>
      </c>
      <c r="X198" s="315">
        <f t="shared" si="55"/>
        <v>0</v>
      </c>
      <c r="Y198" s="315">
        <f t="shared" si="55"/>
        <v>0</v>
      </c>
      <c r="Z198" s="315">
        <f t="shared" si="55"/>
        <v>0</v>
      </c>
      <c r="AA198" s="315">
        <f t="shared" si="55"/>
        <v>0</v>
      </c>
      <c r="AB198" s="315">
        <f t="shared" si="55"/>
        <v>7.1478417297208441E-2</v>
      </c>
      <c r="AC198" s="315">
        <f t="shared" si="55"/>
        <v>0</v>
      </c>
      <c r="AD198" s="315">
        <f t="shared" si="55"/>
        <v>0</v>
      </c>
      <c r="AE198" s="315">
        <f t="shared" si="55"/>
        <v>0</v>
      </c>
      <c r="AF198" s="315">
        <f t="shared" si="55"/>
        <v>0</v>
      </c>
      <c r="AG198" s="315">
        <f t="shared" si="55"/>
        <v>-6.2017377484951688E-2</v>
      </c>
      <c r="AH198" s="315">
        <f t="shared" si="55"/>
        <v>-6.2017377484951688E-2</v>
      </c>
      <c r="AI198" s="315">
        <f t="shared" si="55"/>
        <v>0</v>
      </c>
      <c r="AJ198" s="315">
        <f t="shared" si="55"/>
        <v>0</v>
      </c>
      <c r="AK198" s="315">
        <f t="shared" si="55"/>
        <v>-6.0139787157425614E-2</v>
      </c>
      <c r="AL198" s="315">
        <f t="shared" si="55"/>
        <v>-6.0139787157425614E-2</v>
      </c>
      <c r="AM198" s="315">
        <f t="shared" si="55"/>
        <v>0</v>
      </c>
      <c r="AN198" s="315">
        <f t="shared" si="55"/>
        <v>0</v>
      </c>
      <c r="AO198" s="315">
        <f t="shared" si="55"/>
        <v>-5.8888060272408241E-2</v>
      </c>
      <c r="AP198" s="315">
        <f t="shared" si="55"/>
        <v>-5.8888060272408241E-2</v>
      </c>
      <c r="AQ198" s="304"/>
      <c r="AR198" s="304"/>
    </row>
    <row r="199" spans="3:44" x14ac:dyDescent="0.25">
      <c r="D199" s="32"/>
      <c r="E199" s="32"/>
      <c r="F199" s="208" t="s">
        <v>232</v>
      </c>
      <c r="G199" t="s">
        <v>327</v>
      </c>
      <c r="H199" s="304"/>
      <c r="I199" s="304"/>
      <c r="J199" s="315">
        <f t="shared" ref="J199:AP199" si="56">hundred * $H36 * J61 / $H49 * J99 / hours_in_year</f>
        <v>0</v>
      </c>
      <c r="K199" s="315">
        <f t="shared" si="56"/>
        <v>0</v>
      </c>
      <c r="L199" s="315">
        <f t="shared" si="56"/>
        <v>0</v>
      </c>
      <c r="M199" s="315">
        <f t="shared" si="56"/>
        <v>0</v>
      </c>
      <c r="N199" s="315">
        <f t="shared" si="56"/>
        <v>0</v>
      </c>
      <c r="O199" s="315">
        <f t="shared" si="56"/>
        <v>0</v>
      </c>
      <c r="P199" s="315">
        <f t="shared" si="56"/>
        <v>0</v>
      </c>
      <c r="Q199" s="315">
        <f t="shared" si="56"/>
        <v>0</v>
      </c>
      <c r="R199" s="315">
        <f t="shared" si="56"/>
        <v>0</v>
      </c>
      <c r="S199" s="315">
        <f t="shared" si="56"/>
        <v>0</v>
      </c>
      <c r="T199" s="315">
        <f t="shared" si="56"/>
        <v>0</v>
      </c>
      <c r="U199" s="315">
        <f t="shared" si="56"/>
        <v>0</v>
      </c>
      <c r="V199" s="315">
        <f t="shared" si="56"/>
        <v>0</v>
      </c>
      <c r="W199" s="315">
        <f t="shared" si="56"/>
        <v>0</v>
      </c>
      <c r="X199" s="315">
        <f t="shared" si="56"/>
        <v>0</v>
      </c>
      <c r="Y199" s="315">
        <f t="shared" si="56"/>
        <v>0</v>
      </c>
      <c r="Z199" s="315">
        <f t="shared" si="56"/>
        <v>0</v>
      </c>
      <c r="AA199" s="315">
        <f t="shared" si="56"/>
        <v>0</v>
      </c>
      <c r="AB199" s="315">
        <f t="shared" si="56"/>
        <v>0</v>
      </c>
      <c r="AC199" s="315">
        <f t="shared" si="56"/>
        <v>0</v>
      </c>
      <c r="AD199" s="315">
        <f t="shared" si="56"/>
        <v>0</v>
      </c>
      <c r="AE199" s="315">
        <f t="shared" si="56"/>
        <v>0</v>
      </c>
      <c r="AF199" s="315">
        <f t="shared" si="56"/>
        <v>0</v>
      </c>
      <c r="AG199" s="315">
        <f t="shared" si="56"/>
        <v>0</v>
      </c>
      <c r="AH199" s="315">
        <f t="shared" si="56"/>
        <v>0</v>
      </c>
      <c r="AI199" s="315">
        <f t="shared" si="56"/>
        <v>0</v>
      </c>
      <c r="AJ199" s="315">
        <f t="shared" si="56"/>
        <v>0</v>
      </c>
      <c r="AK199" s="315">
        <f t="shared" si="56"/>
        <v>0</v>
      </c>
      <c r="AL199" s="315">
        <f t="shared" si="56"/>
        <v>0</v>
      </c>
      <c r="AM199" s="315">
        <f t="shared" si="56"/>
        <v>0</v>
      </c>
      <c r="AN199" s="315">
        <f t="shared" si="56"/>
        <v>0</v>
      </c>
      <c r="AO199" s="315">
        <f t="shared" si="56"/>
        <v>0</v>
      </c>
      <c r="AP199" s="315">
        <f t="shared" si="56"/>
        <v>0</v>
      </c>
      <c r="AQ199" s="304"/>
      <c r="AR199" s="304"/>
    </row>
    <row r="200" spans="3:44" x14ac:dyDescent="0.25">
      <c r="D200" s="32"/>
      <c r="E200" s="32"/>
      <c r="F200" s="208" t="s">
        <v>233</v>
      </c>
      <c r="G200" t="s">
        <v>327</v>
      </c>
      <c r="H200" s="304"/>
      <c r="I200" s="304"/>
      <c r="J200" s="315">
        <f t="shared" ref="J200:AP200" si="57">hundred * $H37 * J62 / $H50 * J100 / hours_in_year</f>
        <v>0</v>
      </c>
      <c r="K200" s="315">
        <f t="shared" si="57"/>
        <v>0.21448512706833472</v>
      </c>
      <c r="L200" s="315">
        <f t="shared" si="57"/>
        <v>0</v>
      </c>
      <c r="M200" s="315">
        <f t="shared" si="57"/>
        <v>0</v>
      </c>
      <c r="N200" s="315">
        <f t="shared" si="57"/>
        <v>0.18349817305054503</v>
      </c>
      <c r="O200" s="315">
        <f t="shared" si="57"/>
        <v>0</v>
      </c>
      <c r="P200" s="315">
        <f t="shared" si="57"/>
        <v>0.1726440415051558</v>
      </c>
      <c r="Q200" s="315">
        <f t="shared" si="57"/>
        <v>0.13626517595051965</v>
      </c>
      <c r="R200" s="315">
        <f t="shared" si="57"/>
        <v>0.18409498233040694</v>
      </c>
      <c r="S200" s="315">
        <f t="shared" si="57"/>
        <v>0.35129732999215169</v>
      </c>
      <c r="T200" s="315">
        <f t="shared" si="57"/>
        <v>0.38400131755785871</v>
      </c>
      <c r="U200" s="315">
        <f t="shared" si="57"/>
        <v>0.3049793993952396</v>
      </c>
      <c r="V200" s="315">
        <f t="shared" si="57"/>
        <v>0.29358351079624706</v>
      </c>
      <c r="W200" s="315">
        <f t="shared" si="57"/>
        <v>0.27291474067251936</v>
      </c>
      <c r="X200" s="315">
        <f t="shared" si="57"/>
        <v>0</v>
      </c>
      <c r="Y200" s="315">
        <f t="shared" si="57"/>
        <v>0</v>
      </c>
      <c r="Z200" s="315">
        <f t="shared" si="57"/>
        <v>0</v>
      </c>
      <c r="AA200" s="315">
        <f t="shared" si="57"/>
        <v>0</v>
      </c>
      <c r="AB200" s="315">
        <f t="shared" si="57"/>
        <v>0.29536699857082593</v>
      </c>
      <c r="AC200" s="315">
        <f t="shared" si="57"/>
        <v>0</v>
      </c>
      <c r="AD200" s="315">
        <f t="shared" si="57"/>
        <v>0</v>
      </c>
      <c r="AE200" s="315">
        <f t="shared" si="57"/>
        <v>0</v>
      </c>
      <c r="AF200" s="315">
        <f t="shared" si="57"/>
        <v>0</v>
      </c>
      <c r="AG200" s="315">
        <f t="shared" si="57"/>
        <v>-0.25627157594715649</v>
      </c>
      <c r="AH200" s="315">
        <f t="shared" si="57"/>
        <v>-0.25627157594715649</v>
      </c>
      <c r="AI200" s="315">
        <f t="shared" si="57"/>
        <v>0</v>
      </c>
      <c r="AJ200" s="315">
        <f t="shared" si="57"/>
        <v>0</v>
      </c>
      <c r="AK200" s="315">
        <f t="shared" si="57"/>
        <v>-0.24851289520747186</v>
      </c>
      <c r="AL200" s="315">
        <f t="shared" si="57"/>
        <v>-0.24851289520747186</v>
      </c>
      <c r="AM200" s="315">
        <f t="shared" si="57"/>
        <v>0</v>
      </c>
      <c r="AN200" s="315">
        <f t="shared" si="57"/>
        <v>0</v>
      </c>
      <c r="AO200" s="315">
        <f t="shared" si="57"/>
        <v>0</v>
      </c>
      <c r="AP200" s="315">
        <f t="shared" si="57"/>
        <v>0</v>
      </c>
      <c r="AQ200" s="304"/>
      <c r="AR200" s="304"/>
    </row>
    <row r="201" spans="3:44" x14ac:dyDescent="0.25">
      <c r="D201" s="32"/>
      <c r="E201" s="32"/>
      <c r="F201" s="208" t="s">
        <v>234</v>
      </c>
      <c r="G201" t="s">
        <v>327</v>
      </c>
      <c r="H201" s="304"/>
      <c r="I201" s="304"/>
      <c r="J201" s="315">
        <f t="shared" ref="J201:AP201" si="58">hundred * $H38 * J63 / $H51 * J101 / hours_in_year</f>
        <v>0</v>
      </c>
      <c r="K201" s="315">
        <f t="shared" si="58"/>
        <v>5.1937909454242273E-2</v>
      </c>
      <c r="L201" s="315">
        <f t="shared" si="58"/>
        <v>0</v>
      </c>
      <c r="M201" s="315">
        <f t="shared" si="58"/>
        <v>0</v>
      </c>
      <c r="N201" s="315">
        <f t="shared" si="58"/>
        <v>4.4434370005905714E-2</v>
      </c>
      <c r="O201" s="315">
        <f t="shared" si="58"/>
        <v>0</v>
      </c>
      <c r="P201" s="315">
        <f t="shared" si="58"/>
        <v>4.1806025052042062E-2</v>
      </c>
      <c r="Q201" s="315">
        <f t="shared" si="58"/>
        <v>3.2996825780044189E-2</v>
      </c>
      <c r="R201" s="315">
        <f t="shared" si="58"/>
        <v>0</v>
      </c>
      <c r="S201" s="315">
        <f t="shared" si="58"/>
        <v>8.5067198672644562E-2</v>
      </c>
      <c r="T201" s="315">
        <f t="shared" si="58"/>
        <v>9.2986520483891597E-2</v>
      </c>
      <c r="U201" s="315">
        <f t="shared" si="58"/>
        <v>7.3851239233723387E-2</v>
      </c>
      <c r="V201" s="315">
        <f t="shared" si="58"/>
        <v>7.1091706960809492E-2</v>
      </c>
      <c r="W201" s="315">
        <f t="shared" si="58"/>
        <v>0</v>
      </c>
      <c r="X201" s="315">
        <f t="shared" si="58"/>
        <v>0</v>
      </c>
      <c r="Y201" s="315">
        <f t="shared" si="58"/>
        <v>0</v>
      </c>
      <c r="Z201" s="315">
        <f t="shared" si="58"/>
        <v>0</v>
      </c>
      <c r="AA201" s="315">
        <f t="shared" si="58"/>
        <v>0</v>
      </c>
      <c r="AB201" s="315">
        <f t="shared" si="58"/>
        <v>7.1523581318789164E-2</v>
      </c>
      <c r="AC201" s="315">
        <f t="shared" si="58"/>
        <v>0</v>
      </c>
      <c r="AD201" s="315">
        <f t="shared" si="58"/>
        <v>0</v>
      </c>
      <c r="AE201" s="315">
        <f t="shared" si="58"/>
        <v>0</v>
      </c>
      <c r="AF201" s="315">
        <f t="shared" si="58"/>
        <v>0</v>
      </c>
      <c r="AG201" s="315">
        <f t="shared" si="58"/>
        <v>-6.2056563497751377E-2</v>
      </c>
      <c r="AH201" s="315">
        <f t="shared" si="58"/>
        <v>-6.2056563497751377E-2</v>
      </c>
      <c r="AI201" s="315">
        <f t="shared" si="58"/>
        <v>0</v>
      </c>
      <c r="AJ201" s="315">
        <f t="shared" si="58"/>
        <v>0</v>
      </c>
      <c r="AK201" s="315">
        <f t="shared" si="58"/>
        <v>0</v>
      </c>
      <c r="AL201" s="315">
        <f t="shared" si="58"/>
        <v>0</v>
      </c>
      <c r="AM201" s="315">
        <f t="shared" si="58"/>
        <v>0</v>
      </c>
      <c r="AN201" s="315">
        <f t="shared" si="58"/>
        <v>0</v>
      </c>
      <c r="AO201" s="315">
        <f t="shared" si="58"/>
        <v>0</v>
      </c>
      <c r="AP201" s="315">
        <f t="shared" si="58"/>
        <v>0</v>
      </c>
      <c r="AQ201" s="304"/>
      <c r="AR201" s="304"/>
    </row>
    <row r="202" spans="3:44" x14ac:dyDescent="0.25">
      <c r="D202" s="32"/>
      <c r="E202" s="32"/>
      <c r="F202" s="209" t="s">
        <v>235</v>
      </c>
      <c r="G202" s="37" t="s">
        <v>327</v>
      </c>
      <c r="H202" s="308"/>
      <c r="I202" s="308"/>
      <c r="J202" s="316">
        <f t="shared" ref="J202:AP202" si="59">hundred * $H39 * J64 / $H52 * J102 / hours_in_year</f>
        <v>0</v>
      </c>
      <c r="K202" s="316">
        <f t="shared" si="59"/>
        <v>0.1232918067772584</v>
      </c>
      <c r="L202" s="316">
        <f t="shared" si="59"/>
        <v>0</v>
      </c>
      <c r="M202" s="316">
        <f t="shared" si="59"/>
        <v>0</v>
      </c>
      <c r="N202" s="316">
        <f t="shared" si="59"/>
        <v>0.10547967406858844</v>
      </c>
      <c r="O202" s="316">
        <f t="shared" si="59"/>
        <v>0</v>
      </c>
      <c r="P202" s="316">
        <f t="shared" si="59"/>
        <v>9.9240427984160773E-2</v>
      </c>
      <c r="Q202" s="316">
        <f t="shared" si="59"/>
        <v>0</v>
      </c>
      <c r="R202" s="316">
        <f t="shared" si="59"/>
        <v>0</v>
      </c>
      <c r="S202" s="316">
        <f t="shared" si="59"/>
        <v>0.20193513239246635</v>
      </c>
      <c r="T202" s="316">
        <f t="shared" si="59"/>
        <v>0.22073426206131458</v>
      </c>
      <c r="U202" s="316">
        <f t="shared" si="59"/>
        <v>0.1753103429372164</v>
      </c>
      <c r="V202" s="316">
        <f t="shared" si="59"/>
        <v>0</v>
      </c>
      <c r="W202" s="316">
        <f t="shared" si="59"/>
        <v>0</v>
      </c>
      <c r="X202" s="316">
        <f t="shared" si="59"/>
        <v>0</v>
      </c>
      <c r="Y202" s="316">
        <f t="shared" si="59"/>
        <v>0</v>
      </c>
      <c r="Z202" s="316">
        <f t="shared" si="59"/>
        <v>0</v>
      </c>
      <c r="AA202" s="316">
        <f t="shared" si="59"/>
        <v>0</v>
      </c>
      <c r="AB202" s="316">
        <f t="shared" si="59"/>
        <v>0.16978487699322306</v>
      </c>
      <c r="AC202" s="316">
        <f t="shared" si="59"/>
        <v>0</v>
      </c>
      <c r="AD202" s="316">
        <f t="shared" si="59"/>
        <v>0</v>
      </c>
      <c r="AE202" s="316">
        <f t="shared" si="59"/>
        <v>0</v>
      </c>
      <c r="AF202" s="316">
        <f t="shared" si="59"/>
        <v>0</v>
      </c>
      <c r="AG202" s="316">
        <f t="shared" si="59"/>
        <v>0</v>
      </c>
      <c r="AH202" s="316">
        <f t="shared" si="59"/>
        <v>0</v>
      </c>
      <c r="AI202" s="316">
        <f t="shared" si="59"/>
        <v>0</v>
      </c>
      <c r="AJ202" s="316">
        <f t="shared" si="59"/>
        <v>0</v>
      </c>
      <c r="AK202" s="316">
        <f t="shared" si="59"/>
        <v>0</v>
      </c>
      <c r="AL202" s="316">
        <f t="shared" si="59"/>
        <v>0</v>
      </c>
      <c r="AM202" s="316">
        <f t="shared" si="59"/>
        <v>0</v>
      </c>
      <c r="AN202" s="316">
        <f t="shared" si="59"/>
        <v>0</v>
      </c>
      <c r="AO202" s="316">
        <f t="shared" si="59"/>
        <v>0</v>
      </c>
      <c r="AP202" s="316">
        <f t="shared" si="59"/>
        <v>0</v>
      </c>
      <c r="AQ202" s="304"/>
      <c r="AR202" s="304"/>
    </row>
    <row r="203" spans="3:44" x14ac:dyDescent="0.25">
      <c r="C203" s="32"/>
      <c r="D203" s="32"/>
      <c r="E203" s="32"/>
      <c r="J203" s="169"/>
      <c r="K203" s="169"/>
      <c r="L203" s="169"/>
      <c r="M203" s="169"/>
      <c r="N203" s="169"/>
      <c r="O203" s="169"/>
      <c r="P203" s="169"/>
      <c r="Q203" s="169"/>
      <c r="R203" s="169"/>
      <c r="S203" s="169"/>
      <c r="T203" s="169"/>
      <c r="U203" s="169"/>
      <c r="V203" s="169"/>
      <c r="W203" s="169"/>
      <c r="X203" s="169"/>
      <c r="Y203" s="169"/>
      <c r="Z203" s="169"/>
      <c r="AA203" s="169"/>
      <c r="AB203" s="169"/>
      <c r="AC203" s="169"/>
      <c r="AD203" s="169"/>
      <c r="AE203" s="169"/>
      <c r="AF203" s="169"/>
      <c r="AG203" s="169"/>
      <c r="AH203" s="169"/>
      <c r="AI203" s="169"/>
      <c r="AJ203" s="169"/>
      <c r="AK203" s="169"/>
      <c r="AL203" s="169"/>
      <c r="AM203" s="169"/>
      <c r="AN203" s="169"/>
      <c r="AO203" s="169"/>
      <c r="AP203" s="169"/>
    </row>
    <row r="204" spans="3:44" x14ac:dyDescent="0.25">
      <c r="C204" s="31" t="str">
        <f ca="1">INDEX('Version control'!$H$34:$H$56,MATCH($A$1,'Version control'!$F$34:$F$56,0),1)&amp;"-E: Unit rate 3"</f>
        <v>Section 109-E: Unit rate 3</v>
      </c>
      <c r="D204" s="31"/>
      <c r="E204" s="31"/>
      <c r="F204" s="31"/>
      <c r="G204" s="31"/>
      <c r="H204" s="31"/>
      <c r="I204" s="31"/>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E204" s="215"/>
      <c r="AF204" s="215"/>
      <c r="AG204" s="215"/>
      <c r="AH204" s="215"/>
      <c r="AI204" s="215"/>
      <c r="AJ204" s="215"/>
      <c r="AK204" s="215"/>
      <c r="AL204" s="215"/>
      <c r="AM204" s="215"/>
      <c r="AN204" s="215"/>
      <c r="AO204" s="215"/>
      <c r="AP204" s="215"/>
      <c r="AQ204" s="31"/>
      <c r="AR204" s="31"/>
    </row>
    <row r="205" spans="3:44" x14ac:dyDescent="0.25">
      <c r="C205" s="32"/>
      <c r="D205" s="32"/>
      <c r="E205" s="32"/>
      <c r="J205" s="169"/>
      <c r="K205" s="169"/>
      <c r="L205" s="169"/>
      <c r="M205" s="169"/>
      <c r="N205" s="169"/>
      <c r="O205" s="169"/>
      <c r="P205" s="169"/>
      <c r="Q205" s="169"/>
      <c r="R205" s="169"/>
      <c r="S205" s="169"/>
      <c r="T205" s="169"/>
      <c r="U205" s="169"/>
      <c r="V205" s="169"/>
      <c r="W205" s="169"/>
      <c r="X205" s="169"/>
      <c r="Y205" s="169"/>
      <c r="Z205" s="169"/>
      <c r="AA205" s="169"/>
      <c r="AB205" s="169"/>
      <c r="AC205" s="169"/>
      <c r="AD205" s="169"/>
      <c r="AE205" s="169"/>
      <c r="AF205" s="169"/>
      <c r="AG205" s="169"/>
      <c r="AH205" s="169"/>
      <c r="AI205" s="169"/>
      <c r="AJ205" s="169"/>
      <c r="AK205" s="169"/>
      <c r="AL205" s="169"/>
      <c r="AM205" s="169"/>
      <c r="AN205" s="169"/>
      <c r="AO205" s="169"/>
      <c r="AP205" s="169"/>
    </row>
    <row r="206" spans="3:44" x14ac:dyDescent="0.25">
      <c r="C206" s="29" t="s">
        <v>739</v>
      </c>
      <c r="D206" s="32"/>
      <c r="E206" s="32"/>
      <c r="I206" s="3" t="s">
        <v>190</v>
      </c>
      <c r="J206" s="169"/>
      <c r="K206" s="169"/>
      <c r="L206" s="169"/>
      <c r="M206" s="169"/>
      <c r="N206" s="169"/>
      <c r="O206" s="169"/>
      <c r="P206" s="169"/>
      <c r="Q206" s="169"/>
      <c r="R206" s="169"/>
      <c r="S206" s="169"/>
      <c r="T206" s="169"/>
      <c r="U206" s="169"/>
      <c r="V206" s="169"/>
      <c r="W206" s="169"/>
      <c r="X206" s="169"/>
      <c r="Y206" s="169"/>
      <c r="Z206" s="169"/>
      <c r="AA206" s="169"/>
      <c r="AB206" s="169"/>
      <c r="AC206" s="169"/>
      <c r="AD206" s="169"/>
      <c r="AE206" s="169"/>
      <c r="AF206" s="169"/>
      <c r="AG206" s="169"/>
      <c r="AH206" s="169"/>
      <c r="AI206" s="169"/>
      <c r="AJ206" s="169"/>
      <c r="AK206" s="169"/>
      <c r="AL206" s="169"/>
      <c r="AM206" s="169"/>
      <c r="AN206" s="169"/>
      <c r="AO206" s="169"/>
      <c r="AP206" s="169"/>
      <c r="AR206" t="s">
        <v>737</v>
      </c>
    </row>
    <row r="207" spans="3:44" x14ac:dyDescent="0.25">
      <c r="C207" s="29" t="s">
        <v>740</v>
      </c>
      <c r="D207" s="32"/>
      <c r="E207" s="32"/>
      <c r="J207" s="169"/>
      <c r="K207" s="169"/>
      <c r="L207" s="169"/>
      <c r="M207" s="169"/>
      <c r="N207" s="169"/>
      <c r="O207" s="169"/>
      <c r="P207" s="169"/>
      <c r="Q207" s="169"/>
      <c r="R207" s="169"/>
      <c r="S207" s="169"/>
      <c r="T207" s="169"/>
      <c r="U207" s="169"/>
      <c r="V207" s="169"/>
      <c r="W207" s="169"/>
      <c r="X207" s="169"/>
      <c r="Y207" s="169"/>
      <c r="Z207" s="169"/>
      <c r="AA207" s="169"/>
      <c r="AB207" s="169"/>
      <c r="AC207" s="169"/>
      <c r="AD207" s="169"/>
      <c r="AE207" s="169"/>
      <c r="AF207" s="169"/>
      <c r="AG207" s="169"/>
      <c r="AH207" s="169"/>
      <c r="AI207" s="169"/>
      <c r="AJ207" s="169"/>
      <c r="AK207" s="169"/>
      <c r="AL207" s="169"/>
      <c r="AM207" s="169"/>
      <c r="AN207" s="169"/>
      <c r="AO207" s="169"/>
      <c r="AP207" s="169"/>
    </row>
    <row r="208" spans="3:44" x14ac:dyDescent="0.25">
      <c r="C208" s="32"/>
      <c r="D208" s="32"/>
      <c r="E208" s="32"/>
    </row>
    <row r="209" spans="3:44" x14ac:dyDescent="0.25">
      <c r="E209" s="32" t="s">
        <v>733</v>
      </c>
      <c r="J209" s="169"/>
      <c r="K209" s="169"/>
      <c r="L209" s="169"/>
      <c r="M209" s="169"/>
      <c r="N209" s="169"/>
      <c r="O209" s="169"/>
      <c r="P209" s="169"/>
      <c r="Q209" s="169"/>
      <c r="R209" s="169"/>
      <c r="S209" s="169"/>
      <c r="T209" s="169"/>
      <c r="U209" s="169"/>
      <c r="V209" s="169"/>
      <c r="W209" s="169"/>
      <c r="X209" s="169"/>
      <c r="Y209" s="169"/>
      <c r="Z209" s="169"/>
      <c r="AA209" s="169"/>
      <c r="AB209" s="169"/>
      <c r="AC209" s="169"/>
      <c r="AD209" s="169"/>
      <c r="AE209" s="169"/>
      <c r="AF209" s="169"/>
      <c r="AG209" s="169"/>
      <c r="AH209" s="169"/>
      <c r="AI209" s="169"/>
      <c r="AJ209" s="169"/>
      <c r="AK209" s="169"/>
      <c r="AL209" s="169"/>
      <c r="AM209" s="169"/>
      <c r="AN209" s="169"/>
      <c r="AO209" s="169"/>
      <c r="AP209" s="169"/>
    </row>
    <row r="210" spans="3:44" x14ac:dyDescent="0.25">
      <c r="E210" s="32"/>
      <c r="F210" s="207" t="s">
        <v>225</v>
      </c>
      <c r="G210" s="23" t="s">
        <v>327</v>
      </c>
      <c r="H210" s="302"/>
      <c r="I210" s="302"/>
      <c r="J210" s="314">
        <f t="shared" ref="J210:AP210" si="60">hundred * $H18 * J55 / $H43 * J105 * (1 - J67) / hours_in_year</f>
        <v>0</v>
      </c>
      <c r="K210" s="314">
        <f t="shared" si="60"/>
        <v>0</v>
      </c>
      <c r="L210" s="314">
        <f t="shared" si="60"/>
        <v>0</v>
      </c>
      <c r="M210" s="314">
        <f t="shared" si="60"/>
        <v>0</v>
      </c>
      <c r="N210" s="314">
        <f t="shared" si="60"/>
        <v>0</v>
      </c>
      <c r="O210" s="314">
        <f t="shared" si="60"/>
        <v>0</v>
      </c>
      <c r="P210" s="314">
        <f t="shared" si="60"/>
        <v>0</v>
      </c>
      <c r="Q210" s="314">
        <f t="shared" si="60"/>
        <v>0</v>
      </c>
      <c r="R210" s="314">
        <f t="shared" si="60"/>
        <v>0</v>
      </c>
      <c r="S210" s="314">
        <f t="shared" si="60"/>
        <v>0</v>
      </c>
      <c r="T210" s="314">
        <f t="shared" si="60"/>
        <v>0</v>
      </c>
      <c r="U210" s="314">
        <f t="shared" si="60"/>
        <v>0</v>
      </c>
      <c r="V210" s="314">
        <f t="shared" si="60"/>
        <v>0</v>
      </c>
      <c r="W210" s="314">
        <f t="shared" si="60"/>
        <v>0</v>
      </c>
      <c r="X210" s="314">
        <f t="shared" si="60"/>
        <v>0</v>
      </c>
      <c r="Y210" s="314">
        <f t="shared" si="60"/>
        <v>0</v>
      </c>
      <c r="Z210" s="314">
        <f t="shared" si="60"/>
        <v>0</v>
      </c>
      <c r="AA210" s="314">
        <f t="shared" si="60"/>
        <v>0</v>
      </c>
      <c r="AB210" s="314">
        <f t="shared" si="60"/>
        <v>0</v>
      </c>
      <c r="AC210" s="314">
        <f t="shared" si="60"/>
        <v>0</v>
      </c>
      <c r="AD210" s="314">
        <f t="shared" si="60"/>
        <v>0</v>
      </c>
      <c r="AE210" s="314">
        <f t="shared" si="60"/>
        <v>0</v>
      </c>
      <c r="AF210" s="314">
        <f t="shared" si="60"/>
        <v>0</v>
      </c>
      <c r="AG210" s="314">
        <f t="shared" si="60"/>
        <v>0</v>
      </c>
      <c r="AH210" s="314">
        <f t="shared" si="60"/>
        <v>0</v>
      </c>
      <c r="AI210" s="314">
        <f t="shared" si="60"/>
        <v>0</v>
      </c>
      <c r="AJ210" s="314">
        <f t="shared" si="60"/>
        <v>0</v>
      </c>
      <c r="AK210" s="314">
        <f t="shared" si="60"/>
        <v>0</v>
      </c>
      <c r="AL210" s="314">
        <f t="shared" si="60"/>
        <v>0</v>
      </c>
      <c r="AM210" s="314">
        <f t="shared" si="60"/>
        <v>0</v>
      </c>
      <c r="AN210" s="314">
        <f t="shared" si="60"/>
        <v>0</v>
      </c>
      <c r="AO210" s="314">
        <f t="shared" si="60"/>
        <v>0</v>
      </c>
      <c r="AP210" s="314">
        <f t="shared" si="60"/>
        <v>0</v>
      </c>
      <c r="AQ210" s="304"/>
      <c r="AR210" s="304"/>
    </row>
    <row r="211" spans="3:44" x14ac:dyDescent="0.25">
      <c r="E211" s="32"/>
      <c r="F211" s="208" t="s">
        <v>227</v>
      </c>
      <c r="G211" t="s">
        <v>327</v>
      </c>
      <c r="H211" s="304"/>
      <c r="I211" s="304"/>
      <c r="J211" s="315">
        <f t="shared" ref="J211:AP211" si="61">hundred * $H19 * J56 / $H44 * J106 * (1 - J68) / hours_in_year</f>
        <v>0</v>
      </c>
      <c r="K211" s="315">
        <f t="shared" si="61"/>
        <v>0</v>
      </c>
      <c r="L211" s="315">
        <f t="shared" si="61"/>
        <v>0</v>
      </c>
      <c r="M211" s="315">
        <f t="shared" si="61"/>
        <v>0</v>
      </c>
      <c r="N211" s="315">
        <f t="shared" si="61"/>
        <v>0</v>
      </c>
      <c r="O211" s="315">
        <f t="shared" si="61"/>
        <v>0</v>
      </c>
      <c r="P211" s="315">
        <f t="shared" si="61"/>
        <v>0</v>
      </c>
      <c r="Q211" s="315">
        <f t="shared" si="61"/>
        <v>0</v>
      </c>
      <c r="R211" s="315">
        <f t="shared" si="61"/>
        <v>0</v>
      </c>
      <c r="S211" s="315">
        <f t="shared" si="61"/>
        <v>0</v>
      </c>
      <c r="T211" s="315">
        <f t="shared" si="61"/>
        <v>0</v>
      </c>
      <c r="U211" s="315">
        <f t="shared" si="61"/>
        <v>0</v>
      </c>
      <c r="V211" s="315">
        <f t="shared" si="61"/>
        <v>0</v>
      </c>
      <c r="W211" s="315">
        <f t="shared" si="61"/>
        <v>0</v>
      </c>
      <c r="X211" s="315">
        <f t="shared" si="61"/>
        <v>0</v>
      </c>
      <c r="Y211" s="315">
        <f t="shared" si="61"/>
        <v>0</v>
      </c>
      <c r="Z211" s="315">
        <f t="shared" si="61"/>
        <v>0</v>
      </c>
      <c r="AA211" s="315">
        <f t="shared" si="61"/>
        <v>0</v>
      </c>
      <c r="AB211" s="315">
        <f t="shared" si="61"/>
        <v>0</v>
      </c>
      <c r="AC211" s="315">
        <f t="shared" si="61"/>
        <v>0</v>
      </c>
      <c r="AD211" s="315">
        <f t="shared" si="61"/>
        <v>0</v>
      </c>
      <c r="AE211" s="315">
        <f t="shared" si="61"/>
        <v>0</v>
      </c>
      <c r="AF211" s="315">
        <f t="shared" si="61"/>
        <v>0</v>
      </c>
      <c r="AG211" s="315">
        <f t="shared" si="61"/>
        <v>0</v>
      </c>
      <c r="AH211" s="315">
        <f t="shared" si="61"/>
        <v>0</v>
      </c>
      <c r="AI211" s="315">
        <f t="shared" si="61"/>
        <v>0</v>
      </c>
      <c r="AJ211" s="315">
        <f t="shared" si="61"/>
        <v>0</v>
      </c>
      <c r="AK211" s="315">
        <f t="shared" si="61"/>
        <v>0</v>
      </c>
      <c r="AL211" s="315">
        <f t="shared" si="61"/>
        <v>0</v>
      </c>
      <c r="AM211" s="315">
        <f t="shared" si="61"/>
        <v>0</v>
      </c>
      <c r="AN211" s="315">
        <f t="shared" si="61"/>
        <v>0</v>
      </c>
      <c r="AO211" s="315">
        <f t="shared" si="61"/>
        <v>0</v>
      </c>
      <c r="AP211" s="315">
        <f t="shared" si="61"/>
        <v>0</v>
      </c>
      <c r="AQ211" s="304"/>
      <c r="AR211" s="304"/>
    </row>
    <row r="212" spans="3:44" x14ac:dyDescent="0.25">
      <c r="E212" s="32"/>
      <c r="F212" s="208" t="s">
        <v>228</v>
      </c>
      <c r="G212" t="s">
        <v>327</v>
      </c>
      <c r="H212" s="304"/>
      <c r="I212" s="304"/>
      <c r="J212" s="315">
        <f t="shared" ref="J212:AP212" si="62">hundred * $H20 * J57 / $H45 * J107 * (1 - J69) / hours_in_year</f>
        <v>0</v>
      </c>
      <c r="K212" s="315">
        <f t="shared" si="62"/>
        <v>0</v>
      </c>
      <c r="L212" s="315">
        <f t="shared" si="62"/>
        <v>0</v>
      </c>
      <c r="M212" s="315">
        <f t="shared" si="62"/>
        <v>0</v>
      </c>
      <c r="N212" s="315">
        <f t="shared" si="62"/>
        <v>0</v>
      </c>
      <c r="O212" s="315">
        <f t="shared" si="62"/>
        <v>0</v>
      </c>
      <c r="P212" s="315">
        <f t="shared" si="62"/>
        <v>0</v>
      </c>
      <c r="Q212" s="315">
        <f t="shared" si="62"/>
        <v>0</v>
      </c>
      <c r="R212" s="315">
        <f t="shared" si="62"/>
        <v>0</v>
      </c>
      <c r="S212" s="315">
        <f t="shared" si="62"/>
        <v>0</v>
      </c>
      <c r="T212" s="315">
        <f t="shared" si="62"/>
        <v>0</v>
      </c>
      <c r="U212" s="315">
        <f t="shared" si="62"/>
        <v>0</v>
      </c>
      <c r="V212" s="315">
        <f t="shared" si="62"/>
        <v>0</v>
      </c>
      <c r="W212" s="315">
        <f t="shared" si="62"/>
        <v>0</v>
      </c>
      <c r="X212" s="315">
        <f t="shared" si="62"/>
        <v>0</v>
      </c>
      <c r="Y212" s="315">
        <f t="shared" si="62"/>
        <v>0</v>
      </c>
      <c r="Z212" s="315">
        <f t="shared" si="62"/>
        <v>0</v>
      </c>
      <c r="AA212" s="315">
        <f t="shared" si="62"/>
        <v>0</v>
      </c>
      <c r="AB212" s="315">
        <f t="shared" si="62"/>
        <v>0</v>
      </c>
      <c r="AC212" s="315">
        <f t="shared" si="62"/>
        <v>0</v>
      </c>
      <c r="AD212" s="315">
        <f t="shared" si="62"/>
        <v>0</v>
      </c>
      <c r="AE212" s="315">
        <f t="shared" si="62"/>
        <v>0</v>
      </c>
      <c r="AF212" s="315">
        <f t="shared" si="62"/>
        <v>0</v>
      </c>
      <c r="AG212" s="315">
        <f t="shared" si="62"/>
        <v>0</v>
      </c>
      <c r="AH212" s="315">
        <f t="shared" si="62"/>
        <v>0</v>
      </c>
      <c r="AI212" s="315">
        <f t="shared" si="62"/>
        <v>0</v>
      </c>
      <c r="AJ212" s="315">
        <f t="shared" si="62"/>
        <v>0</v>
      </c>
      <c r="AK212" s="315">
        <f t="shared" si="62"/>
        <v>0</v>
      </c>
      <c r="AL212" s="315">
        <f t="shared" si="62"/>
        <v>0</v>
      </c>
      <c r="AM212" s="315">
        <f t="shared" si="62"/>
        <v>0</v>
      </c>
      <c r="AN212" s="315">
        <f t="shared" si="62"/>
        <v>0</v>
      </c>
      <c r="AO212" s="315">
        <f t="shared" si="62"/>
        <v>0</v>
      </c>
      <c r="AP212" s="315">
        <f t="shared" si="62"/>
        <v>0</v>
      </c>
      <c r="AQ212" s="304"/>
      <c r="AR212" s="304"/>
    </row>
    <row r="213" spans="3:44" x14ac:dyDescent="0.25">
      <c r="E213" s="32"/>
      <c r="F213" s="208" t="s">
        <v>229</v>
      </c>
      <c r="G213" t="s">
        <v>327</v>
      </c>
      <c r="H213" s="304"/>
      <c r="I213" s="304"/>
      <c r="J213" s="315">
        <f t="shared" ref="J213:AP213" si="63">hundred * $H21 * J58 / $H46 * J108 * (1 - J70) / hours_in_year</f>
        <v>0</v>
      </c>
      <c r="K213" s="315">
        <f t="shared" si="63"/>
        <v>0</v>
      </c>
      <c r="L213" s="315">
        <f t="shared" si="63"/>
        <v>0</v>
      </c>
      <c r="M213" s="315">
        <f t="shared" si="63"/>
        <v>0</v>
      </c>
      <c r="N213" s="315">
        <f t="shared" si="63"/>
        <v>0</v>
      </c>
      <c r="O213" s="315">
        <f t="shared" si="63"/>
        <v>0</v>
      </c>
      <c r="P213" s="315">
        <f t="shared" si="63"/>
        <v>0</v>
      </c>
      <c r="Q213" s="315">
        <f t="shared" si="63"/>
        <v>0</v>
      </c>
      <c r="R213" s="315">
        <f t="shared" si="63"/>
        <v>0</v>
      </c>
      <c r="S213" s="315">
        <f t="shared" si="63"/>
        <v>0</v>
      </c>
      <c r="T213" s="315">
        <f t="shared" si="63"/>
        <v>0</v>
      </c>
      <c r="U213" s="315">
        <f t="shared" si="63"/>
        <v>0</v>
      </c>
      <c r="V213" s="315">
        <f t="shared" si="63"/>
        <v>0</v>
      </c>
      <c r="W213" s="315">
        <f t="shared" si="63"/>
        <v>0</v>
      </c>
      <c r="X213" s="315">
        <f t="shared" si="63"/>
        <v>0</v>
      </c>
      <c r="Y213" s="315">
        <f t="shared" si="63"/>
        <v>0</v>
      </c>
      <c r="Z213" s="315">
        <f t="shared" si="63"/>
        <v>0</v>
      </c>
      <c r="AA213" s="315">
        <f t="shared" si="63"/>
        <v>0</v>
      </c>
      <c r="AB213" s="315">
        <f t="shared" si="63"/>
        <v>0</v>
      </c>
      <c r="AC213" s="315">
        <f t="shared" si="63"/>
        <v>0</v>
      </c>
      <c r="AD213" s="315">
        <f t="shared" si="63"/>
        <v>0</v>
      </c>
      <c r="AE213" s="315">
        <f t="shared" si="63"/>
        <v>0</v>
      </c>
      <c r="AF213" s="315">
        <f t="shared" si="63"/>
        <v>0</v>
      </c>
      <c r="AG213" s="315">
        <f t="shared" si="63"/>
        <v>0</v>
      </c>
      <c r="AH213" s="315">
        <f t="shared" si="63"/>
        <v>0</v>
      </c>
      <c r="AI213" s="315">
        <f t="shared" si="63"/>
        <v>0</v>
      </c>
      <c r="AJ213" s="315">
        <f t="shared" si="63"/>
        <v>0</v>
      </c>
      <c r="AK213" s="315">
        <f t="shared" si="63"/>
        <v>0</v>
      </c>
      <c r="AL213" s="315">
        <f t="shared" si="63"/>
        <v>0</v>
      </c>
      <c r="AM213" s="315">
        <f t="shared" si="63"/>
        <v>0</v>
      </c>
      <c r="AN213" s="315">
        <f t="shared" si="63"/>
        <v>0</v>
      </c>
      <c r="AO213" s="315">
        <f t="shared" si="63"/>
        <v>0</v>
      </c>
      <c r="AP213" s="315">
        <f t="shared" si="63"/>
        <v>0</v>
      </c>
      <c r="AQ213" s="304"/>
      <c r="AR213" s="304"/>
    </row>
    <row r="214" spans="3:44" x14ac:dyDescent="0.25">
      <c r="E214" s="32"/>
      <c r="F214" s="208" t="s">
        <v>230</v>
      </c>
      <c r="G214" t="s">
        <v>327</v>
      </c>
      <c r="H214" s="304"/>
      <c r="I214" s="304"/>
      <c r="J214" s="315">
        <f t="shared" ref="J214:AP214" si="64">hundred * $H22 * J59 / $H47 * J109 * (1 - J71) / hours_in_year</f>
        <v>0</v>
      </c>
      <c r="K214" s="315">
        <f t="shared" si="64"/>
        <v>0</v>
      </c>
      <c r="L214" s="315">
        <f t="shared" si="64"/>
        <v>0</v>
      </c>
      <c r="M214" s="315">
        <f t="shared" si="64"/>
        <v>0</v>
      </c>
      <c r="N214" s="315">
        <f t="shared" si="64"/>
        <v>0</v>
      </c>
      <c r="O214" s="315">
        <f t="shared" si="64"/>
        <v>0</v>
      </c>
      <c r="P214" s="315">
        <f t="shared" si="64"/>
        <v>0</v>
      </c>
      <c r="Q214" s="315">
        <f t="shared" si="64"/>
        <v>0</v>
      </c>
      <c r="R214" s="315">
        <f t="shared" si="64"/>
        <v>0</v>
      </c>
      <c r="S214" s="315">
        <f t="shared" si="64"/>
        <v>5.6434284070982943E-2</v>
      </c>
      <c r="T214" s="315">
        <f t="shared" si="64"/>
        <v>6.1688027743268314E-2</v>
      </c>
      <c r="U214" s="315">
        <f t="shared" si="64"/>
        <v>4.8993523695876749E-2</v>
      </c>
      <c r="V214" s="315">
        <f t="shared" si="64"/>
        <v>4.71628271333632E-2</v>
      </c>
      <c r="W214" s="315">
        <f t="shared" si="64"/>
        <v>4.3610202281201597E-2</v>
      </c>
      <c r="X214" s="315">
        <f t="shared" si="64"/>
        <v>0</v>
      </c>
      <c r="Y214" s="315">
        <f t="shared" si="64"/>
        <v>0</v>
      </c>
      <c r="Z214" s="315">
        <f t="shared" si="64"/>
        <v>0</v>
      </c>
      <c r="AA214" s="315">
        <f t="shared" si="64"/>
        <v>0</v>
      </c>
      <c r="AB214" s="315">
        <f t="shared" si="64"/>
        <v>3.9531770102497317E-2</v>
      </c>
      <c r="AC214" s="315">
        <f t="shared" si="64"/>
        <v>0</v>
      </c>
      <c r="AD214" s="315">
        <f t="shared" si="64"/>
        <v>0</v>
      </c>
      <c r="AE214" s="315">
        <f t="shared" si="64"/>
        <v>0</v>
      </c>
      <c r="AF214" s="315">
        <f t="shared" si="64"/>
        <v>0</v>
      </c>
      <c r="AG214" s="315">
        <f t="shared" si="64"/>
        <v>-4.1168838136752754E-2</v>
      </c>
      <c r="AH214" s="315">
        <f t="shared" si="64"/>
        <v>-4.1168838136752754E-2</v>
      </c>
      <c r="AI214" s="315">
        <f t="shared" si="64"/>
        <v>0</v>
      </c>
      <c r="AJ214" s="315">
        <f t="shared" si="64"/>
        <v>0</v>
      </c>
      <c r="AK214" s="315">
        <f t="shared" si="64"/>
        <v>-3.9922442119768482E-2</v>
      </c>
      <c r="AL214" s="315">
        <f t="shared" si="64"/>
        <v>-3.9922442119768482E-2</v>
      </c>
      <c r="AM214" s="315">
        <f t="shared" si="64"/>
        <v>0</v>
      </c>
      <c r="AN214" s="315">
        <f t="shared" si="64"/>
        <v>0</v>
      </c>
      <c r="AO214" s="315">
        <f t="shared" si="64"/>
        <v>-3.8884399742104267E-2</v>
      </c>
      <c r="AP214" s="315">
        <f t="shared" si="64"/>
        <v>-3.8884399742104267E-2</v>
      </c>
      <c r="AQ214" s="304"/>
      <c r="AR214" s="304"/>
    </row>
    <row r="215" spans="3:44" x14ac:dyDescent="0.25">
      <c r="E215" s="32"/>
      <c r="F215" s="208" t="s">
        <v>231</v>
      </c>
      <c r="G215" t="s">
        <v>327</v>
      </c>
      <c r="H215" s="304"/>
      <c r="I215" s="304"/>
      <c r="J215" s="315">
        <f t="shared" ref="J215:AP215" si="65">hundred * $H23 * J60 / $H48 * J110 * (1 - J72) / hours_in_year</f>
        <v>0</v>
      </c>
      <c r="K215" s="315">
        <f t="shared" si="65"/>
        <v>0</v>
      </c>
      <c r="L215" s="315">
        <f t="shared" si="65"/>
        <v>0</v>
      </c>
      <c r="M215" s="315">
        <f t="shared" si="65"/>
        <v>0</v>
      </c>
      <c r="N215" s="315">
        <f t="shared" si="65"/>
        <v>0</v>
      </c>
      <c r="O215" s="315">
        <f t="shared" si="65"/>
        <v>0</v>
      </c>
      <c r="P215" s="315">
        <f t="shared" si="65"/>
        <v>0</v>
      </c>
      <c r="Q215" s="315">
        <f t="shared" si="65"/>
        <v>0</v>
      </c>
      <c r="R215" s="315">
        <f t="shared" si="65"/>
        <v>0</v>
      </c>
      <c r="S215" s="315">
        <f t="shared" si="65"/>
        <v>5.1178300471938803E-2</v>
      </c>
      <c r="T215" s="315">
        <f t="shared" si="65"/>
        <v>5.5942738910186272E-2</v>
      </c>
      <c r="U215" s="315">
        <f t="shared" si="65"/>
        <v>4.4430532222803146E-2</v>
      </c>
      <c r="V215" s="315">
        <f t="shared" si="65"/>
        <v>4.2770336824002338E-2</v>
      </c>
      <c r="W215" s="315">
        <f t="shared" si="65"/>
        <v>3.9623286138911522E-2</v>
      </c>
      <c r="X215" s="315">
        <f t="shared" si="65"/>
        <v>0</v>
      </c>
      <c r="Y215" s="315">
        <f t="shared" si="65"/>
        <v>0</v>
      </c>
      <c r="Z215" s="315">
        <f t="shared" si="65"/>
        <v>0</v>
      </c>
      <c r="AA215" s="315">
        <f t="shared" si="65"/>
        <v>0</v>
      </c>
      <c r="AB215" s="315">
        <f t="shared" si="65"/>
        <v>3.5849995119074725E-2</v>
      </c>
      <c r="AC215" s="315">
        <f t="shared" si="65"/>
        <v>0</v>
      </c>
      <c r="AD215" s="315">
        <f t="shared" si="65"/>
        <v>0</v>
      </c>
      <c r="AE215" s="315">
        <f t="shared" si="65"/>
        <v>0</v>
      </c>
      <c r="AF215" s="315">
        <f t="shared" si="65"/>
        <v>0</v>
      </c>
      <c r="AG215" s="315">
        <f t="shared" si="65"/>
        <v>-3.7334595502145927E-2</v>
      </c>
      <c r="AH215" s="315">
        <f t="shared" si="65"/>
        <v>-3.7334595502145927E-2</v>
      </c>
      <c r="AI215" s="315">
        <f t="shared" si="65"/>
        <v>0</v>
      </c>
      <c r="AJ215" s="315">
        <f t="shared" si="65"/>
        <v>0</v>
      </c>
      <c r="AK215" s="315">
        <f t="shared" si="65"/>
        <v>-3.6204282060337836E-2</v>
      </c>
      <c r="AL215" s="315">
        <f t="shared" si="65"/>
        <v>-3.6204282060337836E-2</v>
      </c>
      <c r="AM215" s="315">
        <f t="shared" si="65"/>
        <v>0</v>
      </c>
      <c r="AN215" s="315">
        <f t="shared" si="65"/>
        <v>0</v>
      </c>
      <c r="AO215" s="315">
        <f t="shared" si="65"/>
        <v>-3.5329524210561916E-2</v>
      </c>
      <c r="AP215" s="315">
        <f t="shared" si="65"/>
        <v>-3.5329524210561916E-2</v>
      </c>
      <c r="AQ215" s="304"/>
      <c r="AR215" s="304"/>
    </row>
    <row r="216" spans="3:44" x14ac:dyDescent="0.25">
      <c r="E216" s="32"/>
      <c r="F216" s="208" t="s">
        <v>232</v>
      </c>
      <c r="G216" t="s">
        <v>327</v>
      </c>
      <c r="H216" s="304"/>
      <c r="I216" s="304"/>
      <c r="J216" s="315">
        <f t="shared" ref="J216:AP216" si="66">hundred * $H24 * J61 / $H49 * J111 * (1 - J73) / hours_in_year</f>
        <v>0</v>
      </c>
      <c r="K216" s="315">
        <f t="shared" si="66"/>
        <v>0</v>
      </c>
      <c r="L216" s="315">
        <f t="shared" si="66"/>
        <v>0</v>
      </c>
      <c r="M216" s="315">
        <f t="shared" si="66"/>
        <v>0</v>
      </c>
      <c r="N216" s="315">
        <f t="shared" si="66"/>
        <v>0</v>
      </c>
      <c r="O216" s="315">
        <f t="shared" si="66"/>
        <v>0</v>
      </c>
      <c r="P216" s="315">
        <f t="shared" si="66"/>
        <v>0</v>
      </c>
      <c r="Q216" s="315">
        <f t="shared" si="66"/>
        <v>0</v>
      </c>
      <c r="R216" s="315">
        <f t="shared" si="66"/>
        <v>0</v>
      </c>
      <c r="S216" s="315">
        <f t="shared" si="66"/>
        <v>0</v>
      </c>
      <c r="T216" s="315">
        <f t="shared" si="66"/>
        <v>0</v>
      </c>
      <c r="U216" s="315">
        <f t="shared" si="66"/>
        <v>0</v>
      </c>
      <c r="V216" s="315">
        <f t="shared" si="66"/>
        <v>0</v>
      </c>
      <c r="W216" s="315">
        <f t="shared" si="66"/>
        <v>0</v>
      </c>
      <c r="X216" s="315">
        <f t="shared" si="66"/>
        <v>0</v>
      </c>
      <c r="Y216" s="315">
        <f t="shared" si="66"/>
        <v>0</v>
      </c>
      <c r="Z216" s="315">
        <f t="shared" si="66"/>
        <v>0</v>
      </c>
      <c r="AA216" s="315">
        <f t="shared" si="66"/>
        <v>0</v>
      </c>
      <c r="AB216" s="315">
        <f t="shared" si="66"/>
        <v>0</v>
      </c>
      <c r="AC216" s="315">
        <f t="shared" si="66"/>
        <v>0</v>
      </c>
      <c r="AD216" s="315">
        <f t="shared" si="66"/>
        <v>0</v>
      </c>
      <c r="AE216" s="315">
        <f t="shared" si="66"/>
        <v>0</v>
      </c>
      <c r="AF216" s="315">
        <f t="shared" si="66"/>
        <v>0</v>
      </c>
      <c r="AG216" s="315">
        <f t="shared" si="66"/>
        <v>0</v>
      </c>
      <c r="AH216" s="315">
        <f t="shared" si="66"/>
        <v>0</v>
      </c>
      <c r="AI216" s="315">
        <f t="shared" si="66"/>
        <v>0</v>
      </c>
      <c r="AJ216" s="315">
        <f t="shared" si="66"/>
        <v>0</v>
      </c>
      <c r="AK216" s="315">
        <f t="shared" si="66"/>
        <v>0</v>
      </c>
      <c r="AL216" s="315">
        <f t="shared" si="66"/>
        <v>0</v>
      </c>
      <c r="AM216" s="315">
        <f t="shared" si="66"/>
        <v>0</v>
      </c>
      <c r="AN216" s="315">
        <f t="shared" si="66"/>
        <v>0</v>
      </c>
      <c r="AO216" s="315">
        <f t="shared" si="66"/>
        <v>0</v>
      </c>
      <c r="AP216" s="315">
        <f t="shared" si="66"/>
        <v>0</v>
      </c>
      <c r="AQ216" s="304"/>
      <c r="AR216" s="304"/>
    </row>
    <row r="217" spans="3:44" x14ac:dyDescent="0.25">
      <c r="E217" s="32"/>
      <c r="F217" s="208" t="s">
        <v>233</v>
      </c>
      <c r="G217" t="s">
        <v>327</v>
      </c>
      <c r="H217" s="304"/>
      <c r="I217" s="304"/>
      <c r="J217" s="315">
        <f t="shared" ref="J217:AP217" si="67">hundred * $H25 * J62 / $H50 * J112 * (1 - J74) / hours_in_year</f>
        <v>0</v>
      </c>
      <c r="K217" s="315">
        <f t="shared" si="67"/>
        <v>0</v>
      </c>
      <c r="L217" s="315">
        <f t="shared" si="67"/>
        <v>0</v>
      </c>
      <c r="M217" s="315">
        <f t="shared" si="67"/>
        <v>0</v>
      </c>
      <c r="N217" s="315">
        <f t="shared" si="67"/>
        <v>0</v>
      </c>
      <c r="O217" s="315">
        <f t="shared" si="67"/>
        <v>0</v>
      </c>
      <c r="P217" s="315">
        <f t="shared" si="67"/>
        <v>0</v>
      </c>
      <c r="Q217" s="315">
        <f t="shared" si="67"/>
        <v>0</v>
      </c>
      <c r="R217" s="315">
        <f t="shared" si="67"/>
        <v>0</v>
      </c>
      <c r="S217" s="315">
        <f t="shared" si="67"/>
        <v>0.12206266742830031</v>
      </c>
      <c r="T217" s="315">
        <f t="shared" si="67"/>
        <v>0.13342607846789278</v>
      </c>
      <c r="U217" s="315">
        <f t="shared" si="67"/>
        <v>0.10596892097556103</v>
      </c>
      <c r="V217" s="315">
        <f t="shared" si="67"/>
        <v>0.10200927641993671</v>
      </c>
      <c r="W217" s="315">
        <f t="shared" si="67"/>
        <v>0.10080906412510215</v>
      </c>
      <c r="X217" s="315">
        <f t="shared" si="67"/>
        <v>0</v>
      </c>
      <c r="Y217" s="315">
        <f t="shared" si="67"/>
        <v>0</v>
      </c>
      <c r="Z217" s="315">
        <f t="shared" si="67"/>
        <v>0</v>
      </c>
      <c r="AA217" s="315">
        <f t="shared" si="67"/>
        <v>0</v>
      </c>
      <c r="AB217" s="315">
        <f t="shared" si="67"/>
        <v>8.5503934112176119E-2</v>
      </c>
      <c r="AC217" s="315">
        <f t="shared" si="67"/>
        <v>0</v>
      </c>
      <c r="AD217" s="315">
        <f t="shared" si="67"/>
        <v>0</v>
      </c>
      <c r="AE217" s="315">
        <f t="shared" si="67"/>
        <v>0</v>
      </c>
      <c r="AF217" s="315">
        <f t="shared" si="67"/>
        <v>0</v>
      </c>
      <c r="AG217" s="315">
        <f t="shared" si="67"/>
        <v>-8.9044776249403948E-2</v>
      </c>
      <c r="AH217" s="315">
        <f t="shared" si="67"/>
        <v>-8.9044776249403948E-2</v>
      </c>
      <c r="AI217" s="315">
        <f t="shared" si="67"/>
        <v>0</v>
      </c>
      <c r="AJ217" s="315">
        <f t="shared" si="67"/>
        <v>0</v>
      </c>
      <c r="AK217" s="315">
        <f t="shared" si="67"/>
        <v>-8.6348925225339421E-2</v>
      </c>
      <c r="AL217" s="315">
        <f t="shared" si="67"/>
        <v>-8.6348925225339421E-2</v>
      </c>
      <c r="AM217" s="315">
        <f t="shared" si="67"/>
        <v>0</v>
      </c>
      <c r="AN217" s="315">
        <f t="shared" si="67"/>
        <v>0</v>
      </c>
      <c r="AO217" s="315">
        <f t="shared" si="67"/>
        <v>0</v>
      </c>
      <c r="AP217" s="315">
        <f t="shared" si="67"/>
        <v>0</v>
      </c>
      <c r="AQ217" s="304"/>
      <c r="AR217" s="304"/>
    </row>
    <row r="218" spans="3:44" x14ac:dyDescent="0.25">
      <c r="E218" s="32"/>
      <c r="F218" s="208" t="s">
        <v>234</v>
      </c>
      <c r="G218" t="s">
        <v>327</v>
      </c>
      <c r="H218" s="304"/>
      <c r="I218" s="304"/>
      <c r="J218" s="315">
        <f t="shared" ref="J218:AP218" si="68">hundred * $H26 * J63 / $H51 * J113 * (1 - J75) / hours_in_year</f>
        <v>0</v>
      </c>
      <c r="K218" s="315">
        <f t="shared" si="68"/>
        <v>0</v>
      </c>
      <c r="L218" s="315">
        <f t="shared" si="68"/>
        <v>0</v>
      </c>
      <c r="M218" s="315">
        <f t="shared" si="68"/>
        <v>0</v>
      </c>
      <c r="N218" s="315">
        <f t="shared" si="68"/>
        <v>0</v>
      </c>
      <c r="O218" s="315">
        <f t="shared" si="68"/>
        <v>0</v>
      </c>
      <c r="P218" s="315">
        <f t="shared" si="68"/>
        <v>0</v>
      </c>
      <c r="Q218" s="315">
        <f t="shared" si="68"/>
        <v>0</v>
      </c>
      <c r="R218" s="315">
        <f t="shared" si="68"/>
        <v>0</v>
      </c>
      <c r="S218" s="315">
        <f t="shared" si="68"/>
        <v>1.1179272252457162E-2</v>
      </c>
      <c r="T218" s="315">
        <f t="shared" si="68"/>
        <v>1.2220005413583613E-2</v>
      </c>
      <c r="U218" s="315">
        <f t="shared" si="68"/>
        <v>9.7053050113031693E-3</v>
      </c>
      <c r="V218" s="315">
        <f t="shared" si="68"/>
        <v>9.342655681717724E-3</v>
      </c>
      <c r="W218" s="315">
        <f t="shared" si="68"/>
        <v>0</v>
      </c>
      <c r="X218" s="315">
        <f t="shared" si="68"/>
        <v>0</v>
      </c>
      <c r="Y218" s="315">
        <f t="shared" si="68"/>
        <v>0</v>
      </c>
      <c r="Z218" s="315">
        <f t="shared" si="68"/>
        <v>0</v>
      </c>
      <c r="AA218" s="315">
        <f t="shared" si="68"/>
        <v>0</v>
      </c>
      <c r="AB218" s="315">
        <f t="shared" si="68"/>
        <v>7.830991885030331E-3</v>
      </c>
      <c r="AC218" s="315">
        <f t="shared" si="68"/>
        <v>0</v>
      </c>
      <c r="AD218" s="315">
        <f t="shared" si="68"/>
        <v>0</v>
      </c>
      <c r="AE218" s="315">
        <f t="shared" si="68"/>
        <v>0</v>
      </c>
      <c r="AF218" s="315">
        <f t="shared" si="68"/>
        <v>0</v>
      </c>
      <c r="AG218" s="315">
        <f t="shared" si="68"/>
        <v>-8.1552846363606574E-3</v>
      </c>
      <c r="AH218" s="315">
        <f t="shared" si="68"/>
        <v>-8.1552846363606574E-3</v>
      </c>
      <c r="AI218" s="315">
        <f t="shared" si="68"/>
        <v>0</v>
      </c>
      <c r="AJ218" s="315">
        <f t="shared" si="68"/>
        <v>0</v>
      </c>
      <c r="AK218" s="315">
        <f t="shared" si="68"/>
        <v>0</v>
      </c>
      <c r="AL218" s="315">
        <f t="shared" si="68"/>
        <v>0</v>
      </c>
      <c r="AM218" s="315">
        <f t="shared" si="68"/>
        <v>0</v>
      </c>
      <c r="AN218" s="315">
        <f t="shared" si="68"/>
        <v>0</v>
      </c>
      <c r="AO218" s="315">
        <f t="shared" si="68"/>
        <v>0</v>
      </c>
      <c r="AP218" s="315">
        <f t="shared" si="68"/>
        <v>0</v>
      </c>
      <c r="AQ218" s="304"/>
      <c r="AR218" s="304"/>
    </row>
    <row r="219" spans="3:44" x14ac:dyDescent="0.25">
      <c r="E219" s="32"/>
      <c r="F219" s="209" t="s">
        <v>235</v>
      </c>
      <c r="G219" s="37" t="s">
        <v>327</v>
      </c>
      <c r="H219" s="308"/>
      <c r="I219" s="308"/>
      <c r="J219" s="316">
        <f t="shared" ref="J219:AP219" si="69">hundred * $H27 * J64 / $H52 * J114 * (1 - J76) / hours_in_year</f>
        <v>0</v>
      </c>
      <c r="K219" s="316">
        <f t="shared" si="69"/>
        <v>0</v>
      </c>
      <c r="L219" s="316">
        <f t="shared" si="69"/>
        <v>0</v>
      </c>
      <c r="M219" s="316">
        <f t="shared" si="69"/>
        <v>0</v>
      </c>
      <c r="N219" s="316">
        <f t="shared" si="69"/>
        <v>0</v>
      </c>
      <c r="O219" s="316">
        <f t="shared" si="69"/>
        <v>0</v>
      </c>
      <c r="P219" s="316">
        <f t="shared" si="69"/>
        <v>0</v>
      </c>
      <c r="Q219" s="316">
        <f t="shared" si="69"/>
        <v>0</v>
      </c>
      <c r="R219" s="316">
        <f t="shared" si="69"/>
        <v>0</v>
      </c>
      <c r="S219" s="316">
        <f t="shared" si="69"/>
        <v>4.0598870275339923E-3</v>
      </c>
      <c r="T219" s="316">
        <f t="shared" si="69"/>
        <v>4.4378417784841744E-3</v>
      </c>
      <c r="U219" s="316">
        <f t="shared" si="69"/>
        <v>3.5245981154980702E-3</v>
      </c>
      <c r="V219" s="316">
        <f t="shared" si="69"/>
        <v>0</v>
      </c>
      <c r="W219" s="316">
        <f t="shared" si="69"/>
        <v>0</v>
      </c>
      <c r="X219" s="316">
        <f t="shared" si="69"/>
        <v>0</v>
      </c>
      <c r="Y219" s="316">
        <f t="shared" si="69"/>
        <v>0</v>
      </c>
      <c r="Z219" s="316">
        <f t="shared" si="69"/>
        <v>0</v>
      </c>
      <c r="AA219" s="316">
        <f t="shared" si="69"/>
        <v>0</v>
      </c>
      <c r="AB219" s="316">
        <f t="shared" si="69"/>
        <v>2.8439187854800325E-3</v>
      </c>
      <c r="AC219" s="316">
        <f t="shared" si="69"/>
        <v>0</v>
      </c>
      <c r="AD219" s="316">
        <f t="shared" si="69"/>
        <v>0</v>
      </c>
      <c r="AE219" s="316">
        <f t="shared" si="69"/>
        <v>0</v>
      </c>
      <c r="AF219" s="316">
        <f t="shared" si="69"/>
        <v>0</v>
      </c>
      <c r="AG219" s="316">
        <f t="shared" si="69"/>
        <v>0</v>
      </c>
      <c r="AH219" s="316">
        <f t="shared" si="69"/>
        <v>0</v>
      </c>
      <c r="AI219" s="316">
        <f t="shared" si="69"/>
        <v>0</v>
      </c>
      <c r="AJ219" s="316">
        <f t="shared" si="69"/>
        <v>0</v>
      </c>
      <c r="AK219" s="316">
        <f t="shared" si="69"/>
        <v>0</v>
      </c>
      <c r="AL219" s="316">
        <f t="shared" si="69"/>
        <v>0</v>
      </c>
      <c r="AM219" s="316">
        <f t="shared" si="69"/>
        <v>0</v>
      </c>
      <c r="AN219" s="316">
        <f t="shared" si="69"/>
        <v>0</v>
      </c>
      <c r="AO219" s="316">
        <f t="shared" si="69"/>
        <v>0</v>
      </c>
      <c r="AP219" s="316">
        <f t="shared" si="69"/>
        <v>0</v>
      </c>
      <c r="AQ219" s="304"/>
      <c r="AR219" s="304"/>
    </row>
    <row r="220" spans="3:44" x14ac:dyDescent="0.25">
      <c r="E220" s="32"/>
      <c r="F220" s="208"/>
      <c r="J220" s="169"/>
      <c r="K220" s="169"/>
      <c r="L220" s="169"/>
      <c r="M220" s="169"/>
      <c r="N220" s="169"/>
      <c r="O220" s="169"/>
      <c r="P220" s="169"/>
      <c r="Q220" s="169"/>
      <c r="R220" s="169"/>
      <c r="S220" s="169"/>
      <c r="T220" s="169"/>
      <c r="U220" s="169"/>
      <c r="V220" s="169"/>
      <c r="W220" s="169"/>
      <c r="X220" s="169"/>
      <c r="Y220" s="169"/>
      <c r="Z220" s="169"/>
      <c r="AA220" s="169"/>
      <c r="AB220" s="169"/>
      <c r="AC220" s="169"/>
      <c r="AD220" s="169"/>
      <c r="AE220" s="169"/>
      <c r="AF220" s="169"/>
      <c r="AG220" s="169"/>
      <c r="AH220" s="169"/>
      <c r="AI220" s="169"/>
      <c r="AJ220" s="169"/>
      <c r="AK220" s="169"/>
      <c r="AL220" s="169"/>
      <c r="AM220" s="169"/>
      <c r="AN220" s="169"/>
      <c r="AO220" s="169"/>
      <c r="AP220" s="169"/>
    </row>
    <row r="221" spans="3:44" x14ac:dyDescent="0.25">
      <c r="E221" s="32" t="s">
        <v>734</v>
      </c>
      <c r="J221" s="169"/>
      <c r="K221" s="169"/>
      <c r="L221" s="169"/>
      <c r="M221" s="169"/>
      <c r="N221" s="169"/>
      <c r="O221" s="169"/>
      <c r="P221" s="169"/>
      <c r="Q221" s="169"/>
      <c r="R221" s="169"/>
      <c r="S221" s="169"/>
      <c r="T221" s="169"/>
      <c r="U221" s="169"/>
      <c r="V221" s="169"/>
      <c r="W221" s="169"/>
      <c r="X221" s="169"/>
      <c r="Y221" s="169"/>
      <c r="Z221" s="169"/>
      <c r="AA221" s="169"/>
      <c r="AB221" s="169"/>
      <c r="AC221" s="169"/>
      <c r="AD221" s="169"/>
      <c r="AE221" s="169"/>
      <c r="AF221" s="169"/>
      <c r="AG221" s="169"/>
      <c r="AH221" s="169"/>
      <c r="AI221" s="169"/>
      <c r="AJ221" s="169"/>
      <c r="AK221" s="169"/>
      <c r="AL221" s="169"/>
      <c r="AM221" s="169"/>
      <c r="AN221" s="169"/>
      <c r="AO221" s="169"/>
      <c r="AP221" s="169"/>
    </row>
    <row r="222" spans="3:44" x14ac:dyDescent="0.25">
      <c r="C222" s="32"/>
      <c r="E222" s="32"/>
      <c r="F222" s="207" t="s">
        <v>225</v>
      </c>
      <c r="G222" s="23" t="s">
        <v>327</v>
      </c>
      <c r="H222" s="302"/>
      <c r="I222" s="302"/>
      <c r="J222" s="314">
        <f t="shared" ref="J222:AP222" si="70">hundred * $H30 * J55 / $H43 * J105 / hours_in_year</f>
        <v>0</v>
      </c>
      <c r="K222" s="314">
        <f t="shared" si="70"/>
        <v>0</v>
      </c>
      <c r="L222" s="314">
        <f t="shared" si="70"/>
        <v>0</v>
      </c>
      <c r="M222" s="314">
        <f t="shared" si="70"/>
        <v>0</v>
      </c>
      <c r="N222" s="314">
        <f t="shared" si="70"/>
        <v>0</v>
      </c>
      <c r="O222" s="314">
        <f t="shared" si="70"/>
        <v>0</v>
      </c>
      <c r="P222" s="314">
        <f t="shared" si="70"/>
        <v>0</v>
      </c>
      <c r="Q222" s="314">
        <f t="shared" si="70"/>
        <v>0</v>
      </c>
      <c r="R222" s="314">
        <f t="shared" si="70"/>
        <v>0</v>
      </c>
      <c r="S222" s="314">
        <f t="shared" si="70"/>
        <v>0.13913607724956753</v>
      </c>
      <c r="T222" s="314">
        <f t="shared" si="70"/>
        <v>0.15190136002673416</v>
      </c>
      <c r="U222" s="314">
        <f t="shared" si="70"/>
        <v>0.12060062691409253</v>
      </c>
      <c r="V222" s="314">
        <f t="shared" si="70"/>
        <v>0.11609425267371128</v>
      </c>
      <c r="W222" s="314">
        <f t="shared" si="70"/>
        <v>0.10792102313949463</v>
      </c>
      <c r="X222" s="314">
        <f t="shared" si="70"/>
        <v>0</v>
      </c>
      <c r="Y222" s="314">
        <f t="shared" si="70"/>
        <v>0</v>
      </c>
      <c r="Z222" s="314">
        <f t="shared" si="70"/>
        <v>0</v>
      </c>
      <c r="AA222" s="314">
        <f t="shared" si="70"/>
        <v>0</v>
      </c>
      <c r="AB222" s="314">
        <f t="shared" si="70"/>
        <v>9.7309927879022692E-2</v>
      </c>
      <c r="AC222" s="314">
        <f t="shared" si="70"/>
        <v>0</v>
      </c>
      <c r="AD222" s="314">
        <f t="shared" si="70"/>
        <v>0</v>
      </c>
      <c r="AE222" s="314">
        <f t="shared" si="70"/>
        <v>0</v>
      </c>
      <c r="AF222" s="314">
        <f t="shared" si="70"/>
        <v>0</v>
      </c>
      <c r="AG222" s="314">
        <f t="shared" si="70"/>
        <v>-0.10133967337064656</v>
      </c>
      <c r="AH222" s="314">
        <f t="shared" si="70"/>
        <v>-0.10133967337064656</v>
      </c>
      <c r="AI222" s="314">
        <f t="shared" si="70"/>
        <v>0</v>
      </c>
      <c r="AJ222" s="314">
        <f t="shared" si="70"/>
        <v>0</v>
      </c>
      <c r="AK222" s="314">
        <f t="shared" si="70"/>
        <v>-9.8271591516305878E-2</v>
      </c>
      <c r="AL222" s="314">
        <f t="shared" si="70"/>
        <v>-9.8271591516305878E-2</v>
      </c>
      <c r="AM222" s="314">
        <f t="shared" si="70"/>
        <v>0</v>
      </c>
      <c r="AN222" s="314">
        <f t="shared" si="70"/>
        <v>0</v>
      </c>
      <c r="AO222" s="314">
        <f t="shared" si="70"/>
        <v>-9.6226203613412095E-2</v>
      </c>
      <c r="AP222" s="314">
        <f t="shared" si="70"/>
        <v>-9.6226203613412095E-2</v>
      </c>
      <c r="AQ222" s="304"/>
      <c r="AR222" s="304"/>
    </row>
    <row r="223" spans="3:44" x14ac:dyDescent="0.25">
      <c r="C223" s="32"/>
      <c r="E223" s="32"/>
      <c r="F223" s="208" t="s">
        <v>227</v>
      </c>
      <c r="G223" t="s">
        <v>327</v>
      </c>
      <c r="H223" s="304"/>
      <c r="I223" s="304"/>
      <c r="J223" s="315">
        <f t="shared" ref="J223:AP223" si="71">hundred * $H31 * J56 / $H44 * J106 / hours_in_year</f>
        <v>0</v>
      </c>
      <c r="K223" s="315">
        <f t="shared" si="71"/>
        <v>0</v>
      </c>
      <c r="L223" s="315">
        <f t="shared" si="71"/>
        <v>0</v>
      </c>
      <c r="M223" s="315">
        <f t="shared" si="71"/>
        <v>0</v>
      </c>
      <c r="N223" s="315">
        <f t="shared" si="71"/>
        <v>0</v>
      </c>
      <c r="O223" s="315">
        <f t="shared" si="71"/>
        <v>0</v>
      </c>
      <c r="P223" s="315">
        <f t="shared" si="71"/>
        <v>0</v>
      </c>
      <c r="Q223" s="315">
        <f t="shared" si="71"/>
        <v>0</v>
      </c>
      <c r="R223" s="315">
        <f t="shared" si="71"/>
        <v>0</v>
      </c>
      <c r="S223" s="315">
        <f t="shared" si="71"/>
        <v>0</v>
      </c>
      <c r="T223" s="315">
        <f t="shared" si="71"/>
        <v>0</v>
      </c>
      <c r="U223" s="315">
        <f t="shared" si="71"/>
        <v>0</v>
      </c>
      <c r="V223" s="315">
        <f t="shared" si="71"/>
        <v>0</v>
      </c>
      <c r="W223" s="315">
        <f t="shared" si="71"/>
        <v>0</v>
      </c>
      <c r="X223" s="315">
        <f t="shared" si="71"/>
        <v>0</v>
      </c>
      <c r="Y223" s="315">
        <f t="shared" si="71"/>
        <v>0</v>
      </c>
      <c r="Z223" s="315">
        <f t="shared" si="71"/>
        <v>0</v>
      </c>
      <c r="AA223" s="315">
        <f t="shared" si="71"/>
        <v>0</v>
      </c>
      <c r="AB223" s="315">
        <f t="shared" si="71"/>
        <v>0</v>
      </c>
      <c r="AC223" s="315">
        <f t="shared" si="71"/>
        <v>0</v>
      </c>
      <c r="AD223" s="315">
        <f t="shared" si="71"/>
        <v>0</v>
      </c>
      <c r="AE223" s="315">
        <f t="shared" si="71"/>
        <v>0</v>
      </c>
      <c r="AF223" s="315">
        <f t="shared" si="71"/>
        <v>0</v>
      </c>
      <c r="AG223" s="315">
        <f t="shared" si="71"/>
        <v>0</v>
      </c>
      <c r="AH223" s="315">
        <f t="shared" si="71"/>
        <v>0</v>
      </c>
      <c r="AI223" s="315">
        <f t="shared" si="71"/>
        <v>0</v>
      </c>
      <c r="AJ223" s="315">
        <f t="shared" si="71"/>
        <v>0</v>
      </c>
      <c r="AK223" s="315">
        <f t="shared" si="71"/>
        <v>0</v>
      </c>
      <c r="AL223" s="315">
        <f t="shared" si="71"/>
        <v>0</v>
      </c>
      <c r="AM223" s="315">
        <f t="shared" si="71"/>
        <v>0</v>
      </c>
      <c r="AN223" s="315">
        <f t="shared" si="71"/>
        <v>0</v>
      </c>
      <c r="AO223" s="315">
        <f t="shared" si="71"/>
        <v>0</v>
      </c>
      <c r="AP223" s="315">
        <f t="shared" si="71"/>
        <v>0</v>
      </c>
      <c r="AQ223" s="304"/>
      <c r="AR223" s="304"/>
    </row>
    <row r="224" spans="3:44" x14ac:dyDescent="0.25">
      <c r="C224" s="32"/>
      <c r="E224" s="32"/>
      <c r="F224" s="208" t="s">
        <v>228</v>
      </c>
      <c r="G224" t="s">
        <v>327</v>
      </c>
      <c r="H224" s="304"/>
      <c r="I224" s="304"/>
      <c r="J224" s="315">
        <f t="shared" ref="J224:AP224" si="72">hundred * $H32 * J57 / $H45 * J107 / hours_in_year</f>
        <v>0</v>
      </c>
      <c r="K224" s="315">
        <f t="shared" si="72"/>
        <v>0</v>
      </c>
      <c r="L224" s="315">
        <f t="shared" si="72"/>
        <v>0</v>
      </c>
      <c r="M224" s="315">
        <f t="shared" si="72"/>
        <v>0</v>
      </c>
      <c r="N224" s="315">
        <f t="shared" si="72"/>
        <v>0</v>
      </c>
      <c r="O224" s="315">
        <f t="shared" si="72"/>
        <v>0</v>
      </c>
      <c r="P224" s="315">
        <f t="shared" si="72"/>
        <v>0</v>
      </c>
      <c r="Q224" s="315">
        <f t="shared" si="72"/>
        <v>0</v>
      </c>
      <c r="R224" s="315">
        <f t="shared" si="72"/>
        <v>0</v>
      </c>
      <c r="S224" s="315">
        <f t="shared" si="72"/>
        <v>0</v>
      </c>
      <c r="T224" s="315">
        <f t="shared" si="72"/>
        <v>0</v>
      </c>
      <c r="U224" s="315">
        <f t="shared" si="72"/>
        <v>0</v>
      </c>
      <c r="V224" s="315">
        <f t="shared" si="72"/>
        <v>0</v>
      </c>
      <c r="W224" s="315">
        <f t="shared" si="72"/>
        <v>0</v>
      </c>
      <c r="X224" s="315">
        <f t="shared" si="72"/>
        <v>0</v>
      </c>
      <c r="Y224" s="315">
        <f t="shared" si="72"/>
        <v>0</v>
      </c>
      <c r="Z224" s="315">
        <f t="shared" si="72"/>
        <v>0</v>
      </c>
      <c r="AA224" s="315">
        <f t="shared" si="72"/>
        <v>0</v>
      </c>
      <c r="AB224" s="315">
        <f t="shared" si="72"/>
        <v>0</v>
      </c>
      <c r="AC224" s="315">
        <f t="shared" si="72"/>
        <v>0</v>
      </c>
      <c r="AD224" s="315">
        <f t="shared" si="72"/>
        <v>0</v>
      </c>
      <c r="AE224" s="315">
        <f t="shared" si="72"/>
        <v>0</v>
      </c>
      <c r="AF224" s="315">
        <f t="shared" si="72"/>
        <v>0</v>
      </c>
      <c r="AG224" s="315">
        <f t="shared" si="72"/>
        <v>0</v>
      </c>
      <c r="AH224" s="315">
        <f t="shared" si="72"/>
        <v>0</v>
      </c>
      <c r="AI224" s="315">
        <f t="shared" si="72"/>
        <v>0</v>
      </c>
      <c r="AJ224" s="315">
        <f t="shared" si="72"/>
        <v>0</v>
      </c>
      <c r="AK224" s="315">
        <f t="shared" si="72"/>
        <v>0</v>
      </c>
      <c r="AL224" s="315">
        <f t="shared" si="72"/>
        <v>0</v>
      </c>
      <c r="AM224" s="315">
        <f t="shared" si="72"/>
        <v>0</v>
      </c>
      <c r="AN224" s="315">
        <f t="shared" si="72"/>
        <v>0</v>
      </c>
      <c r="AO224" s="315">
        <f t="shared" si="72"/>
        <v>0</v>
      </c>
      <c r="AP224" s="315">
        <f t="shared" si="72"/>
        <v>0</v>
      </c>
      <c r="AQ224" s="304"/>
      <c r="AR224" s="304"/>
    </row>
    <row r="225" spans="2:44" x14ac:dyDescent="0.25">
      <c r="C225" s="32"/>
      <c r="E225" s="32"/>
      <c r="F225" s="208" t="s">
        <v>229</v>
      </c>
      <c r="G225" t="s">
        <v>327</v>
      </c>
      <c r="H225" s="304"/>
      <c r="I225" s="304"/>
      <c r="J225" s="315">
        <f t="shared" ref="J225:AP225" si="73">hundred * $H33 * J58 / $H46 * J108 / hours_in_year</f>
        <v>0</v>
      </c>
      <c r="K225" s="315">
        <f t="shared" si="73"/>
        <v>0</v>
      </c>
      <c r="L225" s="315">
        <f t="shared" si="73"/>
        <v>0</v>
      </c>
      <c r="M225" s="315">
        <f t="shared" si="73"/>
        <v>0</v>
      </c>
      <c r="N225" s="315">
        <f t="shared" si="73"/>
        <v>0</v>
      </c>
      <c r="O225" s="315">
        <f t="shared" si="73"/>
        <v>0</v>
      </c>
      <c r="P225" s="315">
        <f t="shared" si="73"/>
        <v>0</v>
      </c>
      <c r="Q225" s="315">
        <f t="shared" si="73"/>
        <v>0</v>
      </c>
      <c r="R225" s="315">
        <f t="shared" si="73"/>
        <v>0</v>
      </c>
      <c r="S225" s="315">
        <f t="shared" si="73"/>
        <v>0</v>
      </c>
      <c r="T225" s="315">
        <f t="shared" si="73"/>
        <v>0</v>
      </c>
      <c r="U225" s="315">
        <f t="shared" si="73"/>
        <v>0</v>
      </c>
      <c r="V225" s="315">
        <f t="shared" si="73"/>
        <v>0</v>
      </c>
      <c r="W225" s="315">
        <f t="shared" si="73"/>
        <v>0</v>
      </c>
      <c r="X225" s="315">
        <f t="shared" si="73"/>
        <v>0</v>
      </c>
      <c r="Y225" s="315">
        <f t="shared" si="73"/>
        <v>0</v>
      </c>
      <c r="Z225" s="315">
        <f t="shared" si="73"/>
        <v>0</v>
      </c>
      <c r="AA225" s="315">
        <f t="shared" si="73"/>
        <v>0</v>
      </c>
      <c r="AB225" s="315">
        <f t="shared" si="73"/>
        <v>0</v>
      </c>
      <c r="AC225" s="315">
        <f t="shared" si="73"/>
        <v>0</v>
      </c>
      <c r="AD225" s="315">
        <f t="shared" si="73"/>
        <v>0</v>
      </c>
      <c r="AE225" s="315">
        <f t="shared" si="73"/>
        <v>0</v>
      </c>
      <c r="AF225" s="315">
        <f t="shared" si="73"/>
        <v>0</v>
      </c>
      <c r="AG225" s="315">
        <f t="shared" si="73"/>
        <v>0</v>
      </c>
      <c r="AH225" s="315">
        <f t="shared" si="73"/>
        <v>0</v>
      </c>
      <c r="AI225" s="315">
        <f t="shared" si="73"/>
        <v>0</v>
      </c>
      <c r="AJ225" s="315">
        <f t="shared" si="73"/>
        <v>0</v>
      </c>
      <c r="AK225" s="315">
        <f t="shared" si="73"/>
        <v>0</v>
      </c>
      <c r="AL225" s="315">
        <f t="shared" si="73"/>
        <v>0</v>
      </c>
      <c r="AM225" s="315">
        <f t="shared" si="73"/>
        <v>0</v>
      </c>
      <c r="AN225" s="315">
        <f t="shared" si="73"/>
        <v>0</v>
      </c>
      <c r="AO225" s="315">
        <f t="shared" si="73"/>
        <v>0</v>
      </c>
      <c r="AP225" s="315">
        <f t="shared" si="73"/>
        <v>0</v>
      </c>
      <c r="AQ225" s="304"/>
      <c r="AR225" s="304"/>
    </row>
    <row r="226" spans="2:44" x14ac:dyDescent="0.25">
      <c r="C226" s="32"/>
      <c r="E226" s="32"/>
      <c r="F226" s="208" t="s">
        <v>230</v>
      </c>
      <c r="G226" t="s">
        <v>327</v>
      </c>
      <c r="H226" s="304"/>
      <c r="I226" s="304"/>
      <c r="J226" s="315">
        <f t="shared" ref="J226:AP226" si="74">hundred * $H34 * J59 / $H47 * J109 / hours_in_year</f>
        <v>0</v>
      </c>
      <c r="K226" s="315">
        <f t="shared" si="74"/>
        <v>0</v>
      </c>
      <c r="L226" s="315">
        <f t="shared" si="74"/>
        <v>0</v>
      </c>
      <c r="M226" s="315">
        <f t="shared" si="74"/>
        <v>0</v>
      </c>
      <c r="N226" s="315">
        <f t="shared" si="74"/>
        <v>0</v>
      </c>
      <c r="O226" s="315">
        <f t="shared" si="74"/>
        <v>0</v>
      </c>
      <c r="P226" s="315">
        <f t="shared" si="74"/>
        <v>0</v>
      </c>
      <c r="Q226" s="315">
        <f t="shared" si="74"/>
        <v>0</v>
      </c>
      <c r="R226" s="315">
        <f t="shared" si="74"/>
        <v>0</v>
      </c>
      <c r="S226" s="315">
        <f t="shared" si="74"/>
        <v>4.4191804850785187E-2</v>
      </c>
      <c r="T226" s="315">
        <f t="shared" si="74"/>
        <v>4.8305836222382922E-2</v>
      </c>
      <c r="U226" s="315">
        <f t="shared" si="74"/>
        <v>3.8365193671939392E-2</v>
      </c>
      <c r="V226" s="315">
        <f t="shared" si="74"/>
        <v>3.6931636277468968E-2</v>
      </c>
      <c r="W226" s="315">
        <f t="shared" si="74"/>
        <v>3.4331587322260805E-2</v>
      </c>
      <c r="X226" s="315">
        <f t="shared" si="74"/>
        <v>0</v>
      </c>
      <c r="Y226" s="315">
        <f t="shared" si="74"/>
        <v>0</v>
      </c>
      <c r="Z226" s="315">
        <f t="shared" si="74"/>
        <v>0</v>
      </c>
      <c r="AA226" s="315">
        <f t="shared" si="74"/>
        <v>0</v>
      </c>
      <c r="AB226" s="315">
        <f t="shared" si="74"/>
        <v>3.0956010136999643E-2</v>
      </c>
      <c r="AC226" s="315">
        <f t="shared" si="74"/>
        <v>0</v>
      </c>
      <c r="AD226" s="315">
        <f t="shared" si="74"/>
        <v>0</v>
      </c>
      <c r="AE226" s="315">
        <f t="shared" si="74"/>
        <v>0</v>
      </c>
      <c r="AF226" s="315">
        <f t="shared" si="74"/>
        <v>0</v>
      </c>
      <c r="AG226" s="315">
        <f t="shared" si="74"/>
        <v>-3.223794349166538E-2</v>
      </c>
      <c r="AH226" s="315">
        <f t="shared" si="74"/>
        <v>-3.223794349166538E-2</v>
      </c>
      <c r="AI226" s="315">
        <f t="shared" si="74"/>
        <v>0</v>
      </c>
      <c r="AJ226" s="315">
        <f t="shared" si="74"/>
        <v>0</v>
      </c>
      <c r="AK226" s="315">
        <f t="shared" si="74"/>
        <v>-3.1261932358431471E-2</v>
      </c>
      <c r="AL226" s="315">
        <f t="shared" si="74"/>
        <v>-3.1261932358431471E-2</v>
      </c>
      <c r="AM226" s="315">
        <f t="shared" si="74"/>
        <v>0</v>
      </c>
      <c r="AN226" s="315">
        <f t="shared" si="74"/>
        <v>0</v>
      </c>
      <c r="AO226" s="315">
        <f t="shared" si="74"/>
        <v>-3.0611258269608872E-2</v>
      </c>
      <c r="AP226" s="315">
        <f t="shared" si="74"/>
        <v>-3.0611258269608872E-2</v>
      </c>
      <c r="AQ226" s="304"/>
      <c r="AR226" s="304"/>
    </row>
    <row r="227" spans="2:44" x14ac:dyDescent="0.25">
      <c r="C227" s="32"/>
      <c r="E227" s="32"/>
      <c r="F227" s="208" t="s">
        <v>231</v>
      </c>
      <c r="G227" t="s">
        <v>327</v>
      </c>
      <c r="H227" s="304"/>
      <c r="I227" s="304"/>
      <c r="J227" s="315">
        <f t="shared" ref="J227:AP227" si="75">hundred * $H35 * J60 / $H48 * J110 / hours_in_year</f>
        <v>0</v>
      </c>
      <c r="K227" s="315">
        <f t="shared" si="75"/>
        <v>0</v>
      </c>
      <c r="L227" s="315">
        <f t="shared" si="75"/>
        <v>0</v>
      </c>
      <c r="M227" s="315">
        <f t="shared" si="75"/>
        <v>0</v>
      </c>
      <c r="N227" s="315">
        <f t="shared" si="75"/>
        <v>0</v>
      </c>
      <c r="O227" s="315">
        <f t="shared" si="75"/>
        <v>0</v>
      </c>
      <c r="P227" s="315">
        <f t="shared" si="75"/>
        <v>0</v>
      </c>
      <c r="Q227" s="315">
        <f t="shared" si="75"/>
        <v>0</v>
      </c>
      <c r="R227" s="315">
        <f t="shared" si="75"/>
        <v>0</v>
      </c>
      <c r="S227" s="315">
        <f t="shared" si="75"/>
        <v>3.9984581753856219E-2</v>
      </c>
      <c r="T227" s="315">
        <f t="shared" si="75"/>
        <v>4.3706942138796598E-2</v>
      </c>
      <c r="U227" s="315">
        <f t="shared" si="75"/>
        <v>3.4712685486773726E-2</v>
      </c>
      <c r="V227" s="315">
        <f t="shared" si="75"/>
        <v>3.3415608052810783E-2</v>
      </c>
      <c r="W227" s="315">
        <f t="shared" si="75"/>
        <v>3.1063093364520067E-2</v>
      </c>
      <c r="X227" s="315">
        <f t="shared" si="75"/>
        <v>0</v>
      </c>
      <c r="Y227" s="315">
        <f t="shared" si="75"/>
        <v>0</v>
      </c>
      <c r="Z227" s="315">
        <f t="shared" si="75"/>
        <v>0</v>
      </c>
      <c r="AA227" s="315">
        <f t="shared" si="75"/>
        <v>0</v>
      </c>
      <c r="AB227" s="315">
        <f t="shared" si="75"/>
        <v>2.8008883599015801E-2</v>
      </c>
      <c r="AC227" s="315">
        <f t="shared" si="75"/>
        <v>0</v>
      </c>
      <c r="AD227" s="315">
        <f t="shared" si="75"/>
        <v>0</v>
      </c>
      <c r="AE227" s="315">
        <f t="shared" si="75"/>
        <v>0</v>
      </c>
      <c r="AF227" s="315">
        <f t="shared" si="75"/>
        <v>0</v>
      </c>
      <c r="AG227" s="315">
        <f t="shared" si="75"/>
        <v>-2.9168772161967688E-2</v>
      </c>
      <c r="AH227" s="315">
        <f t="shared" si="75"/>
        <v>-2.9168772161967688E-2</v>
      </c>
      <c r="AI227" s="315">
        <f t="shared" si="75"/>
        <v>0</v>
      </c>
      <c r="AJ227" s="315">
        <f t="shared" si="75"/>
        <v>0</v>
      </c>
      <c r="AK227" s="315">
        <f t="shared" si="75"/>
        <v>-2.8285680894678755E-2</v>
      </c>
      <c r="AL227" s="315">
        <f t="shared" si="75"/>
        <v>-2.8285680894678755E-2</v>
      </c>
      <c r="AM227" s="315">
        <f t="shared" si="75"/>
        <v>0</v>
      </c>
      <c r="AN227" s="315">
        <f t="shared" si="75"/>
        <v>0</v>
      </c>
      <c r="AO227" s="315">
        <f t="shared" si="75"/>
        <v>-2.7696953383152804E-2</v>
      </c>
      <c r="AP227" s="315">
        <f t="shared" si="75"/>
        <v>-2.7696953383152804E-2</v>
      </c>
      <c r="AQ227" s="304"/>
      <c r="AR227" s="304"/>
    </row>
    <row r="228" spans="2:44" x14ac:dyDescent="0.25">
      <c r="C228" s="32"/>
      <c r="E228" s="32"/>
      <c r="F228" s="208" t="s">
        <v>232</v>
      </c>
      <c r="G228" t="s">
        <v>327</v>
      </c>
      <c r="H228" s="304"/>
      <c r="I228" s="304"/>
      <c r="J228" s="315">
        <f t="shared" ref="J228:AP228" si="76">hundred * $H36 * J61 / $H49 * J111 / hours_in_year</f>
        <v>0</v>
      </c>
      <c r="K228" s="315">
        <f t="shared" si="76"/>
        <v>0</v>
      </c>
      <c r="L228" s="315">
        <f t="shared" si="76"/>
        <v>0</v>
      </c>
      <c r="M228" s="315">
        <f t="shared" si="76"/>
        <v>0</v>
      </c>
      <c r="N228" s="315">
        <f t="shared" si="76"/>
        <v>0</v>
      </c>
      <c r="O228" s="315">
        <f t="shared" si="76"/>
        <v>0</v>
      </c>
      <c r="P228" s="315">
        <f t="shared" si="76"/>
        <v>0</v>
      </c>
      <c r="Q228" s="315">
        <f t="shared" si="76"/>
        <v>0</v>
      </c>
      <c r="R228" s="315">
        <f t="shared" si="76"/>
        <v>0</v>
      </c>
      <c r="S228" s="315">
        <f t="shared" si="76"/>
        <v>0</v>
      </c>
      <c r="T228" s="315">
        <f t="shared" si="76"/>
        <v>0</v>
      </c>
      <c r="U228" s="315">
        <f t="shared" si="76"/>
        <v>0</v>
      </c>
      <c r="V228" s="315">
        <f t="shared" si="76"/>
        <v>0</v>
      </c>
      <c r="W228" s="315">
        <f t="shared" si="76"/>
        <v>0</v>
      </c>
      <c r="X228" s="315">
        <f t="shared" si="76"/>
        <v>0</v>
      </c>
      <c r="Y228" s="315">
        <f t="shared" si="76"/>
        <v>0</v>
      </c>
      <c r="Z228" s="315">
        <f t="shared" si="76"/>
        <v>0</v>
      </c>
      <c r="AA228" s="315">
        <f t="shared" si="76"/>
        <v>0</v>
      </c>
      <c r="AB228" s="315">
        <f t="shared" si="76"/>
        <v>0</v>
      </c>
      <c r="AC228" s="315">
        <f t="shared" si="76"/>
        <v>0</v>
      </c>
      <c r="AD228" s="315">
        <f t="shared" si="76"/>
        <v>0</v>
      </c>
      <c r="AE228" s="315">
        <f t="shared" si="76"/>
        <v>0</v>
      </c>
      <c r="AF228" s="315">
        <f t="shared" si="76"/>
        <v>0</v>
      </c>
      <c r="AG228" s="315">
        <f t="shared" si="76"/>
        <v>0</v>
      </c>
      <c r="AH228" s="315">
        <f t="shared" si="76"/>
        <v>0</v>
      </c>
      <c r="AI228" s="315">
        <f t="shared" si="76"/>
        <v>0</v>
      </c>
      <c r="AJ228" s="315">
        <f t="shared" si="76"/>
        <v>0</v>
      </c>
      <c r="AK228" s="315">
        <f t="shared" si="76"/>
        <v>0</v>
      </c>
      <c r="AL228" s="315">
        <f t="shared" si="76"/>
        <v>0</v>
      </c>
      <c r="AM228" s="315">
        <f t="shared" si="76"/>
        <v>0</v>
      </c>
      <c r="AN228" s="315">
        <f t="shared" si="76"/>
        <v>0</v>
      </c>
      <c r="AO228" s="315">
        <f t="shared" si="76"/>
        <v>0</v>
      </c>
      <c r="AP228" s="315">
        <f t="shared" si="76"/>
        <v>0</v>
      </c>
      <c r="AQ228" s="304"/>
      <c r="AR228" s="304"/>
    </row>
    <row r="229" spans="2:44" x14ac:dyDescent="0.25">
      <c r="C229" s="32"/>
      <c r="E229" s="32"/>
      <c r="F229" s="208" t="s">
        <v>233</v>
      </c>
      <c r="G229" t="s">
        <v>327</v>
      </c>
      <c r="H229" s="304"/>
      <c r="I229" s="304"/>
      <c r="J229" s="315">
        <f t="shared" ref="J229:AP229" si="77">hundred * $H37 * J62 / $H50 * J112 / hours_in_year</f>
        <v>0</v>
      </c>
      <c r="K229" s="315">
        <f t="shared" si="77"/>
        <v>0</v>
      </c>
      <c r="L229" s="315">
        <f t="shared" si="77"/>
        <v>0</v>
      </c>
      <c r="M229" s="315">
        <f t="shared" si="77"/>
        <v>0</v>
      </c>
      <c r="N229" s="315">
        <f t="shared" si="77"/>
        <v>0</v>
      </c>
      <c r="O229" s="315">
        <f t="shared" si="77"/>
        <v>0</v>
      </c>
      <c r="P229" s="315">
        <f t="shared" si="77"/>
        <v>0</v>
      </c>
      <c r="Q229" s="315">
        <f t="shared" si="77"/>
        <v>0</v>
      </c>
      <c r="R229" s="315">
        <f t="shared" si="77"/>
        <v>0</v>
      </c>
      <c r="S229" s="315">
        <f t="shared" si="77"/>
        <v>0.16522646063411872</v>
      </c>
      <c r="T229" s="315">
        <f t="shared" si="77"/>
        <v>0.18060820041057743</v>
      </c>
      <c r="U229" s="315">
        <f t="shared" si="77"/>
        <v>0.14344164451668479</v>
      </c>
      <c r="V229" s="315">
        <f t="shared" si="77"/>
        <v>0.13808179068849227</v>
      </c>
      <c r="W229" s="315">
        <f t="shared" si="77"/>
        <v>0.12836060170797814</v>
      </c>
      <c r="X229" s="315">
        <f t="shared" si="77"/>
        <v>0</v>
      </c>
      <c r="Y229" s="315">
        <f t="shared" si="77"/>
        <v>0</v>
      </c>
      <c r="Z229" s="315">
        <f t="shared" si="77"/>
        <v>0</v>
      </c>
      <c r="AA229" s="315">
        <f t="shared" si="77"/>
        <v>0</v>
      </c>
      <c r="AB229" s="315">
        <f t="shared" si="77"/>
        <v>0.11573983021423201</v>
      </c>
      <c r="AC229" s="315">
        <f t="shared" si="77"/>
        <v>0</v>
      </c>
      <c r="AD229" s="315">
        <f t="shared" si="77"/>
        <v>0</v>
      </c>
      <c r="AE229" s="315">
        <f t="shared" si="77"/>
        <v>0</v>
      </c>
      <c r="AF229" s="315">
        <f t="shared" si="77"/>
        <v>0</v>
      </c>
      <c r="AG229" s="315">
        <f t="shared" si="77"/>
        <v>-0.12053278473771034</v>
      </c>
      <c r="AH229" s="315">
        <f t="shared" si="77"/>
        <v>-0.12053278473771034</v>
      </c>
      <c r="AI229" s="315">
        <f t="shared" si="77"/>
        <v>0</v>
      </c>
      <c r="AJ229" s="315">
        <f t="shared" si="77"/>
        <v>0</v>
      </c>
      <c r="AK229" s="315">
        <f t="shared" si="77"/>
        <v>-0.11688362703464203</v>
      </c>
      <c r="AL229" s="315">
        <f t="shared" si="77"/>
        <v>-0.11688362703464203</v>
      </c>
      <c r="AM229" s="315">
        <f t="shared" si="77"/>
        <v>0</v>
      </c>
      <c r="AN229" s="315">
        <f t="shared" si="77"/>
        <v>0</v>
      </c>
      <c r="AO229" s="315">
        <f t="shared" si="77"/>
        <v>0</v>
      </c>
      <c r="AP229" s="315">
        <f t="shared" si="77"/>
        <v>0</v>
      </c>
      <c r="AQ229" s="304"/>
      <c r="AR229" s="304"/>
    </row>
    <row r="230" spans="2:44" x14ac:dyDescent="0.25">
      <c r="C230" s="32"/>
      <c r="E230" s="32"/>
      <c r="F230" s="208" t="s">
        <v>234</v>
      </c>
      <c r="G230" t="s">
        <v>327</v>
      </c>
      <c r="H230" s="304"/>
      <c r="I230" s="304"/>
      <c r="J230" s="315">
        <f t="shared" ref="J230:AP230" si="78">hundred * $H38 * J63 / $H51 * J113 / hours_in_year</f>
        <v>0</v>
      </c>
      <c r="K230" s="315">
        <f t="shared" si="78"/>
        <v>0</v>
      </c>
      <c r="L230" s="315">
        <f t="shared" si="78"/>
        <v>0</v>
      </c>
      <c r="M230" s="315">
        <f t="shared" si="78"/>
        <v>0</v>
      </c>
      <c r="N230" s="315">
        <f t="shared" si="78"/>
        <v>0</v>
      </c>
      <c r="O230" s="315">
        <f t="shared" si="78"/>
        <v>0</v>
      </c>
      <c r="P230" s="315">
        <f t="shared" si="78"/>
        <v>0</v>
      </c>
      <c r="Q230" s="315">
        <f t="shared" si="78"/>
        <v>0</v>
      </c>
      <c r="R230" s="315">
        <f t="shared" si="78"/>
        <v>0</v>
      </c>
      <c r="S230" s="315">
        <f t="shared" si="78"/>
        <v>4.0009846226427268E-2</v>
      </c>
      <c r="T230" s="315">
        <f t="shared" si="78"/>
        <v>4.3734558604754094E-2</v>
      </c>
      <c r="U230" s="315">
        <f t="shared" si="78"/>
        <v>3.4734618883395123E-2</v>
      </c>
      <c r="V230" s="315">
        <f t="shared" si="78"/>
        <v>3.3436721884094356E-2</v>
      </c>
      <c r="W230" s="315">
        <f t="shared" si="78"/>
        <v>0</v>
      </c>
      <c r="X230" s="315">
        <f t="shared" si="78"/>
        <v>0</v>
      </c>
      <c r="Y230" s="315">
        <f t="shared" si="78"/>
        <v>0</v>
      </c>
      <c r="Z230" s="315">
        <f t="shared" si="78"/>
        <v>0</v>
      </c>
      <c r="AA230" s="315">
        <f t="shared" si="78"/>
        <v>0</v>
      </c>
      <c r="AB230" s="315">
        <f t="shared" si="78"/>
        <v>2.8026581162436351E-2</v>
      </c>
      <c r="AC230" s="315">
        <f t="shared" si="78"/>
        <v>0</v>
      </c>
      <c r="AD230" s="315">
        <f t="shared" si="78"/>
        <v>0</v>
      </c>
      <c r="AE230" s="315">
        <f t="shared" si="78"/>
        <v>0</v>
      </c>
      <c r="AF230" s="315">
        <f t="shared" si="78"/>
        <v>0</v>
      </c>
      <c r="AG230" s="315">
        <f t="shared" si="78"/>
        <v>-2.9187202607201645E-2</v>
      </c>
      <c r="AH230" s="315">
        <f t="shared" si="78"/>
        <v>-2.9187202607201645E-2</v>
      </c>
      <c r="AI230" s="315">
        <f t="shared" si="78"/>
        <v>0</v>
      </c>
      <c r="AJ230" s="315">
        <f t="shared" si="78"/>
        <v>0</v>
      </c>
      <c r="AK230" s="315">
        <f t="shared" si="78"/>
        <v>0</v>
      </c>
      <c r="AL230" s="315">
        <f t="shared" si="78"/>
        <v>0</v>
      </c>
      <c r="AM230" s="315">
        <f t="shared" si="78"/>
        <v>0</v>
      </c>
      <c r="AN230" s="315">
        <f t="shared" si="78"/>
        <v>0</v>
      </c>
      <c r="AO230" s="315">
        <f t="shared" si="78"/>
        <v>0</v>
      </c>
      <c r="AP230" s="315">
        <f t="shared" si="78"/>
        <v>0</v>
      </c>
      <c r="AQ230" s="304"/>
      <c r="AR230" s="304"/>
    </row>
    <row r="231" spans="2:44" x14ac:dyDescent="0.25">
      <c r="C231" s="32"/>
      <c r="E231" s="32"/>
      <c r="F231" s="209" t="s">
        <v>235</v>
      </c>
      <c r="G231" s="37" t="s">
        <v>327</v>
      </c>
      <c r="H231" s="308"/>
      <c r="I231" s="308"/>
      <c r="J231" s="316">
        <f t="shared" ref="J231:AP231" si="79">hundred * $H39 * J64 / $H52 * J114 / hours_in_year</f>
        <v>0</v>
      </c>
      <c r="K231" s="316">
        <f t="shared" si="79"/>
        <v>0</v>
      </c>
      <c r="L231" s="316">
        <f t="shared" si="79"/>
        <v>0</v>
      </c>
      <c r="M231" s="316">
        <f t="shared" si="79"/>
        <v>0</v>
      </c>
      <c r="N231" s="316">
        <f t="shared" si="79"/>
        <v>0</v>
      </c>
      <c r="O231" s="316">
        <f t="shared" si="79"/>
        <v>0</v>
      </c>
      <c r="P231" s="316">
        <f t="shared" si="79"/>
        <v>0</v>
      </c>
      <c r="Q231" s="316">
        <f t="shared" si="79"/>
        <v>0</v>
      </c>
      <c r="R231" s="316">
        <f t="shared" si="79"/>
        <v>0</v>
      </c>
      <c r="S231" s="316">
        <f t="shared" si="79"/>
        <v>9.4976603447668687E-2</v>
      </c>
      <c r="T231" s="316">
        <f t="shared" si="79"/>
        <v>0.10381844024231511</v>
      </c>
      <c r="U231" s="316">
        <f t="shared" si="79"/>
        <v>8.2454106544780637E-2</v>
      </c>
      <c r="V231" s="316">
        <f t="shared" si="79"/>
        <v>0</v>
      </c>
      <c r="W231" s="316">
        <f t="shared" si="79"/>
        <v>0</v>
      </c>
      <c r="X231" s="316">
        <f t="shared" si="79"/>
        <v>0</v>
      </c>
      <c r="Y231" s="316">
        <f t="shared" si="79"/>
        <v>0</v>
      </c>
      <c r="Z231" s="316">
        <f t="shared" si="79"/>
        <v>0</v>
      </c>
      <c r="AA231" s="316">
        <f t="shared" si="79"/>
        <v>0</v>
      </c>
      <c r="AB231" s="316">
        <f t="shared" si="79"/>
        <v>6.6530360301670019E-2</v>
      </c>
      <c r="AC231" s="316">
        <f t="shared" si="79"/>
        <v>0</v>
      </c>
      <c r="AD231" s="316">
        <f t="shared" si="79"/>
        <v>0</v>
      </c>
      <c r="AE231" s="316">
        <f t="shared" si="79"/>
        <v>0</v>
      </c>
      <c r="AF231" s="316">
        <f t="shared" si="79"/>
        <v>0</v>
      </c>
      <c r="AG231" s="316">
        <f t="shared" si="79"/>
        <v>0</v>
      </c>
      <c r="AH231" s="316">
        <f t="shared" si="79"/>
        <v>0</v>
      </c>
      <c r="AI231" s="316">
        <f t="shared" si="79"/>
        <v>0</v>
      </c>
      <c r="AJ231" s="316">
        <f t="shared" si="79"/>
        <v>0</v>
      </c>
      <c r="AK231" s="316">
        <f t="shared" si="79"/>
        <v>0</v>
      </c>
      <c r="AL231" s="316">
        <f t="shared" si="79"/>
        <v>0</v>
      </c>
      <c r="AM231" s="316">
        <f t="shared" si="79"/>
        <v>0</v>
      </c>
      <c r="AN231" s="316">
        <f t="shared" si="79"/>
        <v>0</v>
      </c>
      <c r="AO231" s="316">
        <f t="shared" si="79"/>
        <v>0</v>
      </c>
      <c r="AP231" s="316">
        <f t="shared" si="79"/>
        <v>0</v>
      </c>
      <c r="AQ231" s="304"/>
      <c r="AR231" s="304"/>
    </row>
    <row r="232" spans="2:44" x14ac:dyDescent="0.25">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row>
    <row r="233" spans="2:44" x14ac:dyDescent="0.25">
      <c r="B233" s="30" t="s">
        <v>280</v>
      </c>
      <c r="C233" s="30"/>
      <c r="D233" s="30"/>
      <c r="E233" s="30"/>
      <c r="F233" s="30"/>
      <c r="G233" s="30"/>
      <c r="H233" s="30"/>
      <c r="I233" s="30"/>
      <c r="J233" s="217"/>
      <c r="K233" s="217"/>
      <c r="L233" s="217"/>
      <c r="M233" s="217"/>
      <c r="N233" s="217"/>
      <c r="O233" s="217"/>
      <c r="P233" s="217"/>
      <c r="Q233" s="217"/>
      <c r="R233" s="217"/>
      <c r="S233" s="217"/>
      <c r="T233" s="217"/>
      <c r="U233" s="217"/>
      <c r="V233" s="217"/>
      <c r="W233" s="217"/>
      <c r="X233" s="217"/>
      <c r="Y233" s="217"/>
      <c r="Z233" s="217"/>
      <c r="AA233" s="217"/>
      <c r="AB233" s="217"/>
      <c r="AC233" s="217"/>
      <c r="AD233" s="217"/>
      <c r="AE233" s="217"/>
      <c r="AF233" s="217"/>
      <c r="AG233" s="217"/>
      <c r="AH233" s="217"/>
      <c r="AI233" s="217"/>
      <c r="AJ233" s="217"/>
      <c r="AK233" s="217"/>
      <c r="AL233" s="217"/>
      <c r="AM233" s="217"/>
      <c r="AN233" s="217"/>
      <c r="AO233" s="217"/>
      <c r="AP233" s="217"/>
      <c r="AQ233" s="30"/>
      <c r="AR233" s="30"/>
    </row>
    <row r="234" spans="2:44" x14ac:dyDescent="0.25">
      <c r="C234" s="32"/>
      <c r="D234" s="32"/>
      <c r="E234" s="32"/>
      <c r="J234" s="173"/>
      <c r="K234" s="173"/>
      <c r="L234" s="173"/>
      <c r="M234" s="173"/>
      <c r="N234" s="173"/>
      <c r="O234" s="173"/>
      <c r="P234" s="173"/>
      <c r="Q234" s="173"/>
      <c r="R234" s="173"/>
      <c r="S234" s="173"/>
      <c r="T234" s="14"/>
      <c r="U234" s="14"/>
      <c r="V234" s="14"/>
      <c r="W234" s="14"/>
      <c r="X234" s="14"/>
      <c r="Y234" s="14"/>
      <c r="Z234" s="14"/>
      <c r="AA234" s="14"/>
      <c r="AB234" s="14"/>
      <c r="AC234" s="14"/>
      <c r="AD234" s="14"/>
      <c r="AE234" s="14"/>
      <c r="AF234" s="14"/>
      <c r="AG234" s="14"/>
      <c r="AH234" s="14"/>
      <c r="AI234" s="14"/>
      <c r="AJ234" s="14"/>
      <c r="AK234" s="14"/>
      <c r="AL234" s="14"/>
      <c r="AM234" s="14"/>
      <c r="AN234" s="14"/>
      <c r="AO234" s="14"/>
      <c r="AP234" s="14"/>
    </row>
    <row r="235" spans="2:44" x14ac:dyDescent="0.25">
      <c r="D235" s="32" t="s">
        <v>741</v>
      </c>
      <c r="E235" s="32"/>
      <c r="J235" s="63"/>
      <c r="K235" s="63"/>
      <c r="L235" s="63"/>
      <c r="M235" s="63"/>
      <c r="N235" s="63"/>
      <c r="O235" s="63"/>
      <c r="P235" s="63"/>
      <c r="Q235" s="63"/>
      <c r="R235" s="63"/>
      <c r="S235" s="63"/>
    </row>
    <row r="236" spans="2:44" x14ac:dyDescent="0.25">
      <c r="D236" s="32"/>
      <c r="E236" s="32"/>
      <c r="J236" s="63"/>
      <c r="K236" s="63"/>
      <c r="L236" s="63"/>
      <c r="M236" s="63"/>
      <c r="N236" s="63"/>
      <c r="O236" s="63"/>
      <c r="P236" s="63"/>
      <c r="Q236" s="63"/>
      <c r="R236" s="63"/>
      <c r="S236" s="63"/>
    </row>
    <row r="237" spans="2:44" x14ac:dyDescent="0.25">
      <c r="E237" s="29" t="s">
        <v>742</v>
      </c>
      <c r="F237" s="32"/>
      <c r="J237" s="173"/>
      <c r="K237" s="173"/>
      <c r="L237" s="173"/>
      <c r="M237" s="173"/>
      <c r="N237" s="173"/>
      <c r="O237" s="173"/>
      <c r="P237" s="173"/>
      <c r="Q237" s="173"/>
      <c r="R237" s="173"/>
      <c r="S237" s="173"/>
      <c r="T237" s="14"/>
      <c r="U237" s="14"/>
      <c r="V237" s="14"/>
      <c r="W237" s="14"/>
      <c r="X237" s="14"/>
      <c r="Y237" s="14"/>
      <c r="Z237" s="14"/>
      <c r="AA237" s="14"/>
      <c r="AB237" s="14"/>
      <c r="AC237" s="14"/>
      <c r="AD237" s="14"/>
      <c r="AE237" s="14"/>
      <c r="AF237" s="14"/>
      <c r="AG237" s="14"/>
      <c r="AH237" s="14"/>
      <c r="AI237" s="14"/>
      <c r="AJ237" s="14"/>
      <c r="AK237" s="14"/>
      <c r="AL237" s="14"/>
      <c r="AM237" s="14"/>
      <c r="AN237" s="14"/>
      <c r="AO237" s="14"/>
      <c r="AP237" s="14"/>
    </row>
    <row r="238" spans="2:44" x14ac:dyDescent="0.25">
      <c r="D238" s="32"/>
      <c r="E238" s="32"/>
      <c r="F238" s="32"/>
      <c r="J238" s="173"/>
      <c r="K238" s="173"/>
      <c r="L238" s="173"/>
      <c r="M238" s="173"/>
      <c r="N238" s="173"/>
      <c r="O238" s="173"/>
      <c r="P238" s="173"/>
      <c r="Q238" s="173"/>
      <c r="R238" s="173"/>
      <c r="S238" s="173"/>
      <c r="T238" s="14"/>
      <c r="U238" s="14"/>
      <c r="V238" s="14"/>
      <c r="W238" s="14"/>
      <c r="X238" s="14"/>
      <c r="Y238" s="14"/>
      <c r="Z238" s="14"/>
      <c r="AA238" s="14"/>
      <c r="AB238" s="14"/>
      <c r="AC238" s="14"/>
      <c r="AD238" s="14"/>
      <c r="AE238" s="14"/>
      <c r="AF238" s="14"/>
      <c r="AG238" s="14"/>
      <c r="AH238" s="14"/>
      <c r="AI238" s="14"/>
      <c r="AJ238" s="14"/>
      <c r="AK238" s="14"/>
      <c r="AL238" s="14"/>
      <c r="AM238" s="14"/>
      <c r="AN238" s="14"/>
      <c r="AO238" s="14"/>
      <c r="AP238" s="14"/>
    </row>
    <row r="239" spans="2:44" x14ac:dyDescent="0.25">
      <c r="E239" s="32" t="s">
        <v>743</v>
      </c>
      <c r="J239" s="14"/>
      <c r="K239" s="14"/>
      <c r="L239" s="14"/>
      <c r="M239" s="14"/>
      <c r="N239" s="14"/>
      <c r="O239" s="14"/>
      <c r="P239" s="14"/>
      <c r="Q239" s="14"/>
      <c r="R239" s="14"/>
      <c r="S239" s="14"/>
      <c r="T239" s="14"/>
      <c r="U239" s="14"/>
      <c r="V239" s="14"/>
      <c r="W239" s="14"/>
      <c r="X239" s="14"/>
      <c r="Y239" s="14"/>
      <c r="Z239" s="14"/>
      <c r="AA239" s="14"/>
      <c r="AB239" s="14"/>
      <c r="AC239" s="14"/>
      <c r="AD239" s="14"/>
      <c r="AE239" s="14"/>
      <c r="AF239" s="14"/>
      <c r="AG239" s="14"/>
      <c r="AH239" s="14"/>
      <c r="AI239" s="14"/>
      <c r="AJ239" s="14"/>
      <c r="AK239" s="14"/>
      <c r="AL239" s="14"/>
      <c r="AM239" s="14"/>
      <c r="AN239" s="14"/>
      <c r="AO239" s="14"/>
      <c r="AP239" s="14"/>
    </row>
    <row r="240" spans="2:44" x14ac:dyDescent="0.25">
      <c r="F240" s="218" t="s">
        <v>192</v>
      </c>
      <c r="G240" s="23" t="s">
        <v>243</v>
      </c>
      <c r="H240" s="23"/>
      <c r="I240" s="23"/>
      <c r="J240" s="210">
        <f>'Volume adjustments'!J66</f>
        <v>2359360.6618815465</v>
      </c>
      <c r="K240" s="210">
        <f>'Volume adjustments'!K66</f>
        <v>241333.8974547495</v>
      </c>
      <c r="L240" s="210">
        <f>'Volume adjustments'!L66</f>
        <v>423055.87757845432</v>
      </c>
      <c r="M240" s="210">
        <f>'Volume adjustments'!M66</f>
        <v>837309.17840270267</v>
      </c>
      <c r="N240" s="210">
        <f>'Volume adjustments'!N66</f>
        <v>152179.51963638922</v>
      </c>
      <c r="O240" s="210">
        <f>'Volume adjustments'!O66</f>
        <v>28141.504302703608</v>
      </c>
      <c r="P240" s="213"/>
      <c r="Q240" s="213"/>
      <c r="R240" s="213"/>
      <c r="S240" s="210">
        <f>'Volume adjustments'!S66</f>
        <v>54.029994132566102</v>
      </c>
      <c r="T240" s="210">
        <f>'Volume adjustments'!T66</f>
        <v>7839.6449077915986</v>
      </c>
      <c r="U240" s="213"/>
      <c r="V240" s="213"/>
      <c r="W240" s="213"/>
      <c r="X240" s="213"/>
      <c r="Y240" s="213"/>
      <c r="Z240" s="213"/>
      <c r="AA240" s="213"/>
      <c r="AB240" s="213"/>
      <c r="AC240" s="213"/>
      <c r="AD240" s="213"/>
      <c r="AE240" s="213"/>
      <c r="AF240" s="213"/>
      <c r="AG240" s="213"/>
      <c r="AH240" s="213"/>
      <c r="AI240" s="213"/>
      <c r="AJ240" s="213"/>
      <c r="AK240" s="213"/>
      <c r="AL240" s="213"/>
      <c r="AM240" s="213"/>
      <c r="AN240" s="213"/>
      <c r="AO240" s="213"/>
      <c r="AP240" s="213"/>
    </row>
    <row r="241" spans="5:42" x14ac:dyDescent="0.25">
      <c r="F241" s="208" t="s">
        <v>193</v>
      </c>
      <c r="G241" t="s">
        <v>243</v>
      </c>
      <c r="J241" s="211">
        <f>'Volume adjustments'!J77</f>
        <v>0</v>
      </c>
      <c r="K241" s="211">
        <f>'Volume adjustments'!K77</f>
        <v>204289.9974625294</v>
      </c>
      <c r="L241" s="211">
        <f>'Volume adjustments'!L77</f>
        <v>0</v>
      </c>
      <c r="M241" s="211">
        <f>'Volume adjustments'!M77</f>
        <v>0</v>
      </c>
      <c r="N241" s="211">
        <f>'Volume adjustments'!N77</f>
        <v>82289.749092955753</v>
      </c>
      <c r="O241" s="211">
        <f>'Volume adjustments'!O77</f>
        <v>0</v>
      </c>
      <c r="P241" s="214"/>
      <c r="Q241" s="214"/>
      <c r="R241" s="214"/>
      <c r="S241" s="211">
        <f>'Volume adjustments'!S77</f>
        <v>136.73224650179375</v>
      </c>
      <c r="T241" s="211">
        <f>'Volume adjustments'!T77</f>
        <v>39067.558275099967</v>
      </c>
      <c r="U241" s="214"/>
      <c r="V241" s="214"/>
      <c r="W241" s="214"/>
      <c r="X241" s="214"/>
      <c r="Y241" s="214"/>
      <c r="Z241" s="214"/>
      <c r="AA241" s="214"/>
      <c r="AB241" s="214"/>
      <c r="AC241" s="214"/>
      <c r="AD241" s="214"/>
      <c r="AE241" s="214"/>
      <c r="AF241" s="214"/>
      <c r="AG241" s="214"/>
      <c r="AH241" s="214"/>
      <c r="AI241" s="214"/>
      <c r="AJ241" s="214"/>
      <c r="AK241" s="214"/>
      <c r="AL241" s="214"/>
      <c r="AM241" s="214"/>
      <c r="AN241" s="214"/>
      <c r="AO241" s="214"/>
      <c r="AP241" s="214"/>
    </row>
    <row r="242" spans="5:42" x14ac:dyDescent="0.25">
      <c r="F242" s="209" t="s">
        <v>194</v>
      </c>
      <c r="G242" s="37" t="s">
        <v>243</v>
      </c>
      <c r="H242" s="37"/>
      <c r="I242" s="37"/>
      <c r="J242" s="212">
        <f>'Volume adjustments'!J88</f>
        <v>0</v>
      </c>
      <c r="K242" s="212">
        <f>'Volume adjustments'!K88</f>
        <v>0</v>
      </c>
      <c r="L242" s="212">
        <f>'Volume adjustments'!L88</f>
        <v>0</v>
      </c>
      <c r="M242" s="212">
        <f>'Volume adjustments'!M88</f>
        <v>0</v>
      </c>
      <c r="N242" s="212">
        <f>'Volume adjustments'!N88</f>
        <v>0</v>
      </c>
      <c r="O242" s="212">
        <f>'Volume adjustments'!O88</f>
        <v>0</v>
      </c>
      <c r="P242" s="219"/>
      <c r="Q242" s="219"/>
      <c r="R242" s="219"/>
      <c r="S242" s="212">
        <f>'Volume adjustments'!S88</f>
        <v>165.30614809900308</v>
      </c>
      <c r="T242" s="212">
        <f>'Volume adjustments'!T88</f>
        <v>27199.510570379593</v>
      </c>
      <c r="U242" s="219"/>
      <c r="V242" s="219"/>
      <c r="W242" s="219"/>
      <c r="X242" s="219"/>
      <c r="Y242" s="219"/>
      <c r="Z242" s="219"/>
      <c r="AA242" s="219"/>
      <c r="AB242" s="219"/>
      <c r="AC242" s="219"/>
      <c r="AD242" s="219"/>
      <c r="AE242" s="219"/>
      <c r="AF242" s="219"/>
      <c r="AG242" s="219"/>
      <c r="AH242" s="219"/>
      <c r="AI242" s="219"/>
      <c r="AJ242" s="219"/>
      <c r="AK242" s="219"/>
      <c r="AL242" s="219"/>
      <c r="AM242" s="219"/>
      <c r="AN242" s="219"/>
      <c r="AO242" s="219"/>
      <c r="AP242" s="219"/>
    </row>
    <row r="243" spans="5:42" x14ac:dyDescent="0.25">
      <c r="F243" s="220" t="s">
        <v>101</v>
      </c>
      <c r="G243" s="111" t="s">
        <v>243</v>
      </c>
      <c r="H243" s="111"/>
      <c r="I243" s="111"/>
      <c r="J243" s="221">
        <f t="shared" ref="J243:O243" si="80">SUM(J240:J242)</f>
        <v>2359360.6618815465</v>
      </c>
      <c r="K243" s="221">
        <f t="shared" si="80"/>
        <v>445623.8949172789</v>
      </c>
      <c r="L243" s="221">
        <f t="shared" si="80"/>
        <v>423055.87757845432</v>
      </c>
      <c r="M243" s="221">
        <f t="shared" si="80"/>
        <v>837309.17840270267</v>
      </c>
      <c r="N243" s="221">
        <f t="shared" si="80"/>
        <v>234469.26872934497</v>
      </c>
      <c r="O243" s="221">
        <f t="shared" si="80"/>
        <v>28141.504302703608</v>
      </c>
      <c r="P243" s="222"/>
      <c r="Q243" s="222"/>
      <c r="R243" s="222"/>
      <c r="S243" s="221">
        <f>SUM(S240:S242)</f>
        <v>356.06838873336289</v>
      </c>
      <c r="T243" s="221">
        <f>SUM(T240:T242)</f>
        <v>74106.713753271149</v>
      </c>
      <c r="U243" s="222"/>
      <c r="V243" s="222"/>
      <c r="W243" s="222"/>
      <c r="X243" s="222"/>
      <c r="Y243" s="222"/>
      <c r="Z243" s="222"/>
      <c r="AA243" s="222"/>
      <c r="AB243" s="222"/>
      <c r="AC243" s="222"/>
      <c r="AD243" s="222"/>
      <c r="AE243" s="222"/>
      <c r="AF243" s="222"/>
      <c r="AG243" s="222"/>
      <c r="AH243" s="222"/>
      <c r="AI243" s="222"/>
      <c r="AJ243" s="222"/>
      <c r="AK243" s="222"/>
      <c r="AL243" s="222"/>
      <c r="AM243" s="222"/>
      <c r="AN243" s="222"/>
      <c r="AO243" s="222"/>
      <c r="AP243" s="222"/>
    </row>
    <row r="244" spans="5:42" x14ac:dyDescent="0.25">
      <c r="J244" s="169"/>
      <c r="K244" s="169"/>
      <c r="L244" s="169"/>
      <c r="M244" s="169"/>
      <c r="N244" s="169"/>
      <c r="O244" s="169"/>
      <c r="P244" s="169"/>
      <c r="Q244" s="169"/>
      <c r="R244" s="169"/>
      <c r="S244" s="169"/>
      <c r="T244" s="169"/>
      <c r="U244" s="169"/>
      <c r="V244" s="169"/>
      <c r="W244" s="169"/>
      <c r="X244" s="169"/>
      <c r="Y244" s="169"/>
      <c r="Z244" s="169"/>
      <c r="AA244" s="169"/>
      <c r="AB244" s="169"/>
      <c r="AC244" s="169"/>
      <c r="AD244" s="169"/>
      <c r="AE244" s="169"/>
      <c r="AF244" s="169"/>
      <c r="AG244" s="169"/>
      <c r="AH244" s="169"/>
      <c r="AI244" s="169"/>
      <c r="AJ244" s="169"/>
      <c r="AK244" s="169"/>
      <c r="AL244" s="169"/>
      <c r="AM244" s="169"/>
      <c r="AN244" s="169"/>
      <c r="AO244" s="169"/>
      <c r="AP244" s="169"/>
    </row>
    <row r="245" spans="5:42" x14ac:dyDescent="0.25">
      <c r="E245" s="32" t="s">
        <v>537</v>
      </c>
      <c r="F245" s="28"/>
      <c r="G245" s="28"/>
      <c r="J245" s="92"/>
      <c r="K245" s="92"/>
      <c r="L245" s="92"/>
      <c r="M245" s="92"/>
      <c r="N245" s="92"/>
      <c r="O245" s="92"/>
      <c r="P245" s="92"/>
      <c r="Q245" s="92"/>
      <c r="R245" s="92"/>
      <c r="S245" s="92"/>
      <c r="T245" s="92"/>
      <c r="U245" s="92"/>
      <c r="V245" s="92"/>
      <c r="W245" s="92"/>
      <c r="X245" s="92"/>
      <c r="Y245" s="92"/>
      <c r="Z245" s="92"/>
      <c r="AA245" s="92"/>
      <c r="AB245" s="92"/>
      <c r="AC245" s="92"/>
      <c r="AD245" s="92"/>
      <c r="AE245" s="92"/>
      <c r="AF245" s="92"/>
      <c r="AG245" s="92"/>
      <c r="AH245" s="92"/>
      <c r="AI245" s="92"/>
      <c r="AJ245" s="92"/>
      <c r="AK245" s="92"/>
      <c r="AL245" s="92"/>
      <c r="AM245" s="92"/>
      <c r="AN245" s="92"/>
      <c r="AO245" s="92"/>
      <c r="AP245" s="92"/>
    </row>
    <row r="246" spans="5:42" x14ac:dyDescent="0.25">
      <c r="F246" s="64" t="s">
        <v>353</v>
      </c>
      <c r="G246" s="64" t="s">
        <v>243</v>
      </c>
      <c r="H246" s="23"/>
      <c r="I246" s="23"/>
      <c r="J246" s="127">
        <f>'Pseudo-load coefficients'!J73</f>
        <v>296681.08470302133</v>
      </c>
      <c r="K246" s="127">
        <f>'Pseudo-load coefficients'!K73</f>
        <v>42013.172743605239</v>
      </c>
      <c r="L246" s="127">
        <f>'Pseudo-load coefficients'!L73</f>
        <v>10042.746850085668</v>
      </c>
      <c r="M246" s="127">
        <f>'Pseudo-load coefficients'!M73</f>
        <v>87760.406404180292</v>
      </c>
      <c r="N246" s="127">
        <f>'Pseudo-load coefficients'!N73</f>
        <v>21421.357868458257</v>
      </c>
      <c r="O246" s="127">
        <f>'Pseudo-load coefficients'!O73</f>
        <v>491.70962173556569</v>
      </c>
      <c r="P246" s="213"/>
      <c r="Q246" s="213"/>
      <c r="R246" s="213"/>
      <c r="S246" s="127">
        <f>'Pseudo-load coefficients'!S73</f>
        <v>54.029994132566102</v>
      </c>
      <c r="T246" s="127">
        <f>'Pseudo-load coefficients'!T73</f>
        <v>7839.6449077915986</v>
      </c>
      <c r="U246" s="213"/>
      <c r="V246" s="213"/>
      <c r="W246" s="213"/>
      <c r="X246" s="213"/>
      <c r="Y246" s="213"/>
      <c r="Z246" s="213"/>
      <c r="AA246" s="213"/>
      <c r="AB246" s="213"/>
      <c r="AC246" s="213"/>
      <c r="AD246" s="213"/>
      <c r="AE246" s="213"/>
      <c r="AF246" s="213"/>
      <c r="AG246" s="213"/>
      <c r="AH246" s="213"/>
      <c r="AI246" s="213"/>
      <c r="AJ246" s="213"/>
      <c r="AK246" s="213"/>
      <c r="AL246" s="213"/>
      <c r="AM246" s="213"/>
      <c r="AN246" s="213"/>
      <c r="AO246" s="213"/>
      <c r="AP246" s="213"/>
    </row>
    <row r="247" spans="5:42" x14ac:dyDescent="0.25">
      <c r="F247" s="28" t="s">
        <v>354</v>
      </c>
      <c r="G247" s="28" t="s">
        <v>243</v>
      </c>
      <c r="J247" s="123">
        <f>'Pseudo-load coefficients'!J74</f>
        <v>1153168.5162194693</v>
      </c>
      <c r="K247" s="123">
        <f>'Pseudo-load coefficients'!K74</f>
        <v>167258.38606280254</v>
      </c>
      <c r="L247" s="123">
        <f>'Pseudo-load coefficients'!L74</f>
        <v>168041.74153083598</v>
      </c>
      <c r="M247" s="123">
        <f>'Pseudo-load coefficients'!M74</f>
        <v>475782.25513228867</v>
      </c>
      <c r="N247" s="123">
        <f>'Pseudo-load coefficients'!N74</f>
        <v>106791.3063099023</v>
      </c>
      <c r="O247" s="123">
        <f>'Pseudo-load coefficients'!O74</f>
        <v>9367.9871856570353</v>
      </c>
      <c r="P247" s="214"/>
      <c r="Q247" s="214"/>
      <c r="R247" s="214"/>
      <c r="S247" s="123">
        <f>'Pseudo-load coefficients'!S74</f>
        <v>136.73224650179375</v>
      </c>
      <c r="T247" s="123">
        <f>'Pseudo-load coefficients'!T74</f>
        <v>39067.558275099967</v>
      </c>
      <c r="U247" s="214"/>
      <c r="V247" s="214"/>
      <c r="W247" s="214"/>
      <c r="X247" s="214"/>
      <c r="Y247" s="214"/>
      <c r="Z247" s="214"/>
      <c r="AA247" s="214"/>
      <c r="AB247" s="214"/>
      <c r="AC247" s="214"/>
      <c r="AD247" s="214"/>
      <c r="AE247" s="214"/>
      <c r="AF247" s="214"/>
      <c r="AG247" s="214"/>
      <c r="AH247" s="214"/>
      <c r="AI247" s="214"/>
      <c r="AJ247" s="214"/>
      <c r="AK247" s="214"/>
      <c r="AL247" s="214"/>
      <c r="AM247" s="214"/>
      <c r="AN247" s="214"/>
      <c r="AO247" s="214"/>
      <c r="AP247" s="214"/>
    </row>
    <row r="248" spans="5:42" x14ac:dyDescent="0.25">
      <c r="F248" s="67" t="s">
        <v>313</v>
      </c>
      <c r="G248" s="67" t="s">
        <v>243</v>
      </c>
      <c r="H248" s="37"/>
      <c r="I248" s="37"/>
      <c r="J248" s="128">
        <f>'Pseudo-load coefficients'!J75</f>
        <v>909511.06095905602</v>
      </c>
      <c r="K248" s="128">
        <f>'Pseudo-load coefficients'!K75</f>
        <v>236352.33611087111</v>
      </c>
      <c r="L248" s="128">
        <f>'Pseudo-load coefficients'!L75</f>
        <v>244971.38919753261</v>
      </c>
      <c r="M248" s="128">
        <f>'Pseudo-load coefficients'!M75</f>
        <v>273766.51686623367</v>
      </c>
      <c r="N248" s="128">
        <f>'Pseudo-load coefficients'!N75</f>
        <v>106256.60455098441</v>
      </c>
      <c r="O248" s="128">
        <f>'Pseudo-load coefficients'!O75</f>
        <v>18281.807495311008</v>
      </c>
      <c r="P248" s="219"/>
      <c r="Q248" s="219"/>
      <c r="R248" s="219"/>
      <c r="S248" s="128">
        <f>'Pseudo-load coefficients'!S75</f>
        <v>165.30614809900308</v>
      </c>
      <c r="T248" s="128">
        <f>'Pseudo-load coefficients'!T75</f>
        <v>27199.510570379593</v>
      </c>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row>
    <row r="249" spans="5:42" x14ac:dyDescent="0.25">
      <c r="F249" s="220" t="s">
        <v>101</v>
      </c>
      <c r="G249" s="111" t="s">
        <v>243</v>
      </c>
      <c r="H249" s="111"/>
      <c r="I249" s="111"/>
      <c r="J249" s="221">
        <f>SUM(J246:J248)</f>
        <v>2359360.6618815465</v>
      </c>
      <c r="K249" s="221">
        <f t="shared" ref="K249:O249" si="81">SUM(K246:K248)</f>
        <v>445623.8949172789</v>
      </c>
      <c r="L249" s="221">
        <f t="shared" si="81"/>
        <v>423055.87757845427</v>
      </c>
      <c r="M249" s="221">
        <f t="shared" si="81"/>
        <v>837309.17840270267</v>
      </c>
      <c r="N249" s="221">
        <f t="shared" si="81"/>
        <v>234469.26872934497</v>
      </c>
      <c r="O249" s="221">
        <f t="shared" si="81"/>
        <v>28141.504302703608</v>
      </c>
      <c r="P249" s="222"/>
      <c r="Q249" s="222"/>
      <c r="R249" s="222"/>
      <c r="S249" s="221">
        <f>SUM(S246:S248)</f>
        <v>356.06838873336289</v>
      </c>
      <c r="T249" s="221">
        <f>SUM(T246:T248)</f>
        <v>74106.713753271149</v>
      </c>
      <c r="U249" s="222"/>
      <c r="V249" s="222"/>
      <c r="W249" s="222"/>
      <c r="X249" s="222"/>
      <c r="Y249" s="222"/>
      <c r="Z249" s="222"/>
      <c r="AA249" s="222"/>
      <c r="AB249" s="222"/>
      <c r="AC249" s="222"/>
      <c r="AD249" s="222"/>
      <c r="AE249" s="222"/>
      <c r="AF249" s="222"/>
      <c r="AG249" s="222"/>
      <c r="AH249" s="222"/>
      <c r="AI249" s="222"/>
      <c r="AJ249" s="222"/>
      <c r="AK249" s="222"/>
      <c r="AL249" s="222"/>
      <c r="AM249" s="222"/>
      <c r="AN249" s="222"/>
      <c r="AO249" s="222"/>
      <c r="AP249" s="222"/>
    </row>
    <row r="250" spans="5:42" x14ac:dyDescent="0.25">
      <c r="G250" s="28"/>
      <c r="J250" s="63"/>
    </row>
    <row r="251" spans="5:42" x14ac:dyDescent="0.25">
      <c r="E251" s="32" t="s">
        <v>587</v>
      </c>
    </row>
    <row r="252" spans="5:42" x14ac:dyDescent="0.25">
      <c r="F252" s="64" t="s">
        <v>353</v>
      </c>
      <c r="G252" s="64" t="s">
        <v>203</v>
      </c>
      <c r="H252" s="23"/>
      <c r="I252" s="23"/>
      <c r="J252" s="65"/>
      <c r="K252" s="65"/>
      <c r="L252" s="65"/>
      <c r="M252" s="65"/>
      <c r="N252" s="65"/>
      <c r="O252" s="65"/>
      <c r="P252" s="65"/>
      <c r="Q252" s="65"/>
      <c r="R252" s="65"/>
      <c r="S252" s="158">
        <f>SUM(J246:L246) / SUM($J$249:$L$249)</f>
        <v>0.10803365428227264</v>
      </c>
      <c r="T252" s="65"/>
      <c r="U252" s="65"/>
      <c r="V252" s="65"/>
      <c r="W252" s="65"/>
      <c r="X252" s="65"/>
      <c r="Y252" s="65"/>
      <c r="Z252" s="65"/>
      <c r="AA252" s="65"/>
      <c r="AB252" s="65"/>
      <c r="AC252" s="65"/>
      <c r="AD252" s="65"/>
      <c r="AE252" s="65"/>
      <c r="AF252" s="65"/>
      <c r="AG252" s="65"/>
      <c r="AH252" s="65"/>
      <c r="AI252" s="65"/>
      <c r="AJ252" s="65"/>
      <c r="AK252" s="65"/>
      <c r="AL252" s="65"/>
      <c r="AM252" s="65"/>
      <c r="AN252" s="65"/>
      <c r="AO252" s="65"/>
      <c r="AP252" s="65"/>
    </row>
    <row r="253" spans="5:42" x14ac:dyDescent="0.25">
      <c r="F253" s="28" t="s">
        <v>354</v>
      </c>
      <c r="G253" s="28" t="s">
        <v>203</v>
      </c>
      <c r="J253" s="66"/>
      <c r="K253" s="66"/>
      <c r="L253" s="66"/>
      <c r="M253" s="66"/>
      <c r="N253" s="66"/>
      <c r="O253" s="66"/>
      <c r="P253" s="66"/>
      <c r="Q253" s="66"/>
      <c r="R253" s="66"/>
      <c r="S253" s="148">
        <f>SUM(J247:L247) / SUM($J$249:$L$249)</f>
        <v>0.46110594773272962</v>
      </c>
      <c r="T253" s="66"/>
      <c r="U253" s="66"/>
      <c r="V253" s="66"/>
      <c r="W253" s="66"/>
      <c r="X253" s="66"/>
      <c r="Y253" s="66"/>
      <c r="Z253" s="66"/>
      <c r="AA253" s="66"/>
      <c r="AB253" s="66"/>
      <c r="AC253" s="66"/>
      <c r="AD253" s="66"/>
      <c r="AE253" s="66"/>
      <c r="AF253" s="66"/>
      <c r="AG253" s="66"/>
      <c r="AH253" s="66"/>
      <c r="AI253" s="66"/>
      <c r="AJ253" s="66"/>
      <c r="AK253" s="66"/>
      <c r="AL253" s="66"/>
      <c r="AM253" s="66"/>
      <c r="AN253" s="66"/>
      <c r="AO253" s="66"/>
      <c r="AP253" s="66"/>
    </row>
    <row r="254" spans="5:42" x14ac:dyDescent="0.25">
      <c r="F254" s="67" t="s">
        <v>313</v>
      </c>
      <c r="G254" s="67" t="s">
        <v>203</v>
      </c>
      <c r="H254" s="37"/>
      <c r="I254" s="37"/>
      <c r="J254" s="68"/>
      <c r="K254" s="68"/>
      <c r="L254" s="68"/>
      <c r="M254" s="68"/>
      <c r="N254" s="68"/>
      <c r="O254" s="68"/>
      <c r="P254" s="68"/>
      <c r="Q254" s="68"/>
      <c r="R254" s="68"/>
      <c r="S254" s="159">
        <f>SUM(J248:L248) / SUM($J$249:$L$249)</f>
        <v>0.4308603979849977</v>
      </c>
      <c r="T254" s="68"/>
      <c r="U254" s="68"/>
      <c r="V254" s="68"/>
      <c r="W254" s="68"/>
      <c r="X254" s="68"/>
      <c r="Y254" s="68"/>
      <c r="Z254" s="68"/>
      <c r="AA254" s="68"/>
      <c r="AB254" s="68"/>
      <c r="AC254" s="68"/>
      <c r="AD254" s="68"/>
      <c r="AE254" s="68"/>
      <c r="AF254" s="68"/>
      <c r="AG254" s="68"/>
      <c r="AH254" s="68"/>
      <c r="AI254" s="68"/>
      <c r="AJ254" s="68"/>
      <c r="AK254" s="68"/>
      <c r="AL254" s="68"/>
      <c r="AM254" s="68"/>
      <c r="AN254" s="68"/>
      <c r="AO254" s="68"/>
      <c r="AP254" s="68"/>
    </row>
    <row r="255" spans="5:42" x14ac:dyDescent="0.25">
      <c r="G255" s="28"/>
      <c r="J255" s="63"/>
    </row>
    <row r="256" spans="5:42" x14ac:dyDescent="0.25">
      <c r="E256" s="32" t="s">
        <v>589</v>
      </c>
    </row>
    <row r="257" spans="4:42" x14ac:dyDescent="0.25">
      <c r="F257" s="64" t="s">
        <v>353</v>
      </c>
      <c r="G257" s="64" t="s">
        <v>203</v>
      </c>
      <c r="H257" s="23"/>
      <c r="I257" s="23"/>
      <c r="J257" s="65"/>
      <c r="K257" s="65"/>
      <c r="L257" s="65"/>
      <c r="M257" s="65"/>
      <c r="N257" s="65"/>
      <c r="O257" s="65"/>
      <c r="P257" s="65"/>
      <c r="Q257" s="65"/>
      <c r="R257" s="65"/>
      <c r="S257" s="65"/>
      <c r="T257" s="158">
        <f>SUM(M246:O246) / SUM($M$249:$O$249)</f>
        <v>9.9710414154515953E-2</v>
      </c>
      <c r="U257" s="65"/>
      <c r="V257" s="65"/>
      <c r="W257" s="65"/>
      <c r="X257" s="65"/>
      <c r="Y257" s="65"/>
      <c r="Z257" s="65"/>
      <c r="AA257" s="65"/>
      <c r="AB257" s="65"/>
      <c r="AC257" s="65"/>
      <c r="AD257" s="65"/>
      <c r="AE257" s="65"/>
      <c r="AF257" s="65"/>
      <c r="AG257" s="65"/>
      <c r="AH257" s="65"/>
      <c r="AI257" s="65"/>
      <c r="AJ257" s="65"/>
      <c r="AK257" s="65"/>
      <c r="AL257" s="65"/>
      <c r="AM257" s="65"/>
      <c r="AN257" s="65"/>
      <c r="AO257" s="65"/>
      <c r="AP257" s="65"/>
    </row>
    <row r="258" spans="4:42" x14ac:dyDescent="0.25">
      <c r="F258" s="28" t="s">
        <v>354</v>
      </c>
      <c r="G258" s="28" t="s">
        <v>203</v>
      </c>
      <c r="J258" s="66"/>
      <c r="K258" s="66"/>
      <c r="L258" s="66"/>
      <c r="M258" s="66"/>
      <c r="N258" s="66"/>
      <c r="O258" s="66"/>
      <c r="P258" s="66"/>
      <c r="Q258" s="66"/>
      <c r="R258" s="66"/>
      <c r="S258" s="66"/>
      <c r="T258" s="148">
        <f>SUM(M247:O247) / SUM($M$249:$O$249)</f>
        <v>0.53816784381055283</v>
      </c>
      <c r="U258" s="66"/>
      <c r="V258" s="66"/>
      <c r="W258" s="66"/>
      <c r="X258" s="66"/>
      <c r="Y258" s="66"/>
      <c r="Z258" s="66"/>
      <c r="AA258" s="66"/>
      <c r="AB258" s="66"/>
      <c r="AC258" s="66"/>
      <c r="AD258" s="66"/>
      <c r="AE258" s="66"/>
      <c r="AF258" s="66"/>
      <c r="AG258" s="66"/>
      <c r="AH258" s="66"/>
      <c r="AI258" s="66"/>
      <c r="AJ258" s="66"/>
      <c r="AK258" s="66"/>
      <c r="AL258" s="66"/>
      <c r="AM258" s="66"/>
      <c r="AN258" s="66"/>
      <c r="AO258" s="66"/>
      <c r="AP258" s="66"/>
    </row>
    <row r="259" spans="4:42" x14ac:dyDescent="0.25">
      <c r="F259" s="67" t="s">
        <v>313</v>
      </c>
      <c r="G259" s="67" t="s">
        <v>203</v>
      </c>
      <c r="H259" s="37"/>
      <c r="I259" s="37"/>
      <c r="J259" s="68"/>
      <c r="K259" s="68"/>
      <c r="L259" s="68"/>
      <c r="M259" s="68"/>
      <c r="N259" s="68"/>
      <c r="O259" s="68"/>
      <c r="P259" s="68"/>
      <c r="Q259" s="68"/>
      <c r="R259" s="68"/>
      <c r="S259" s="68"/>
      <c r="T259" s="159">
        <f>SUM(M248:O248) / SUM($M$249:$O$249)</f>
        <v>0.36212174203493125</v>
      </c>
      <c r="U259" s="68"/>
      <c r="V259" s="68"/>
      <c r="W259" s="68"/>
      <c r="X259" s="68"/>
      <c r="Y259" s="68"/>
      <c r="Z259" s="68"/>
      <c r="AA259" s="68"/>
      <c r="AB259" s="68"/>
      <c r="AC259" s="68"/>
      <c r="AD259" s="68"/>
      <c r="AE259" s="68"/>
      <c r="AF259" s="68"/>
      <c r="AG259" s="68"/>
      <c r="AH259" s="68"/>
      <c r="AI259" s="68"/>
      <c r="AJ259" s="68"/>
      <c r="AK259" s="68"/>
      <c r="AL259" s="68"/>
      <c r="AM259" s="68"/>
      <c r="AN259" s="68"/>
      <c r="AO259" s="68"/>
      <c r="AP259" s="68"/>
    </row>
    <row r="260" spans="4:42" x14ac:dyDescent="0.25">
      <c r="G260" s="28"/>
      <c r="J260" s="63"/>
    </row>
    <row r="261" spans="4:42" x14ac:dyDescent="0.25">
      <c r="E261" s="91" t="s">
        <v>744</v>
      </c>
      <c r="J261" s="14"/>
      <c r="K261" s="14"/>
      <c r="L261" s="14"/>
      <c r="M261" s="14"/>
      <c r="N261" s="14"/>
      <c r="O261" s="14"/>
      <c r="P261" s="14"/>
      <c r="Q261" s="14"/>
      <c r="R261" s="14"/>
      <c r="S261" s="14"/>
      <c r="T261" s="14"/>
      <c r="U261" s="14"/>
      <c r="V261" s="14"/>
      <c r="W261" s="14"/>
      <c r="X261" s="14"/>
      <c r="Y261" s="14"/>
      <c r="Z261" s="14"/>
      <c r="AA261" s="14"/>
      <c r="AB261" s="14"/>
      <c r="AC261" s="14"/>
      <c r="AD261" s="14"/>
      <c r="AE261" s="14"/>
      <c r="AF261" s="14"/>
      <c r="AG261" s="14"/>
      <c r="AH261" s="14"/>
      <c r="AI261" s="14"/>
      <c r="AJ261" s="14"/>
      <c r="AK261" s="14"/>
      <c r="AL261" s="14"/>
      <c r="AM261" s="14"/>
      <c r="AN261" s="14"/>
      <c r="AO261" s="14"/>
      <c r="AP261" s="14"/>
    </row>
    <row r="262" spans="4:42" x14ac:dyDescent="0.25">
      <c r="F262" s="218" t="s">
        <v>192</v>
      </c>
      <c r="G262" s="23" t="s">
        <v>243</v>
      </c>
      <c r="H262" s="23"/>
      <c r="I262" s="23"/>
      <c r="J262" s="213"/>
      <c r="K262" s="213"/>
      <c r="L262" s="213"/>
      <c r="M262" s="213"/>
      <c r="N262" s="213"/>
      <c r="O262" s="213"/>
      <c r="P262" s="213"/>
      <c r="Q262" s="213"/>
      <c r="R262" s="213"/>
      <c r="S262" s="223">
        <f t="shared" ref="S262:T264" si="82">(S252 + S257) * S$243</f>
        <v>38.467369209265989</v>
      </c>
      <c r="T262" s="223">
        <f t="shared" si="82"/>
        <v>7389.2111199688297</v>
      </c>
      <c r="U262" s="213"/>
      <c r="V262" s="213"/>
      <c r="W262" s="213"/>
      <c r="X262" s="213"/>
      <c r="Y262" s="213"/>
      <c r="Z262" s="213"/>
      <c r="AA262" s="213"/>
      <c r="AB262" s="213"/>
      <c r="AC262" s="213"/>
      <c r="AD262" s="213"/>
      <c r="AE262" s="213"/>
      <c r="AF262" s="213"/>
      <c r="AG262" s="213"/>
      <c r="AH262" s="213"/>
      <c r="AI262" s="213"/>
      <c r="AJ262" s="213"/>
      <c r="AK262" s="213"/>
      <c r="AL262" s="213"/>
      <c r="AM262" s="213"/>
      <c r="AN262" s="213"/>
      <c r="AO262" s="213"/>
      <c r="AP262" s="213"/>
    </row>
    <row r="263" spans="4:42" x14ac:dyDescent="0.25">
      <c r="F263" s="208" t="s">
        <v>193</v>
      </c>
      <c r="G263" t="s">
        <v>243</v>
      </c>
      <c r="J263" s="214"/>
      <c r="K263" s="214"/>
      <c r="L263" s="214"/>
      <c r="M263" s="214"/>
      <c r="N263" s="214"/>
      <c r="O263" s="214"/>
      <c r="P263" s="214"/>
      <c r="Q263" s="214"/>
      <c r="R263" s="214"/>
      <c r="S263" s="169">
        <f t="shared" si="82"/>
        <v>164.18525184456328</v>
      </c>
      <c r="T263" s="169">
        <f t="shared" si="82"/>
        <v>39881.850352483772</v>
      </c>
      <c r="U263" s="214"/>
      <c r="V263" s="214"/>
      <c r="W263" s="214"/>
      <c r="X263" s="214"/>
      <c r="Y263" s="214"/>
      <c r="Z263" s="214"/>
      <c r="AA263" s="214"/>
      <c r="AB263" s="214"/>
      <c r="AC263" s="214"/>
      <c r="AD263" s="214"/>
      <c r="AE263" s="214"/>
      <c r="AF263" s="214"/>
      <c r="AG263" s="214"/>
      <c r="AH263" s="214"/>
      <c r="AI263" s="214"/>
      <c r="AJ263" s="214"/>
      <c r="AK263" s="214"/>
      <c r="AL263" s="214"/>
      <c r="AM263" s="214"/>
      <c r="AN263" s="214"/>
      <c r="AO263" s="214"/>
      <c r="AP263" s="214"/>
    </row>
    <row r="264" spans="4:42" x14ac:dyDescent="0.25">
      <c r="F264" s="209" t="s">
        <v>194</v>
      </c>
      <c r="G264" s="37" t="s">
        <v>243</v>
      </c>
      <c r="H264" s="37"/>
      <c r="I264" s="37"/>
      <c r="J264" s="219"/>
      <c r="K264" s="219"/>
      <c r="L264" s="219"/>
      <c r="M264" s="219"/>
      <c r="N264" s="219"/>
      <c r="O264" s="219"/>
      <c r="P264" s="219"/>
      <c r="Q264" s="219"/>
      <c r="R264" s="219"/>
      <c r="S264" s="224">
        <f t="shared" si="82"/>
        <v>153.41576767953362</v>
      </c>
      <c r="T264" s="224">
        <f t="shared" si="82"/>
        <v>26835.652280818547</v>
      </c>
      <c r="U264" s="219"/>
      <c r="V264" s="219"/>
      <c r="W264" s="219"/>
      <c r="X264" s="219"/>
      <c r="Y264" s="219"/>
      <c r="Z264" s="219"/>
      <c r="AA264" s="219"/>
      <c r="AB264" s="219"/>
      <c r="AC264" s="219"/>
      <c r="AD264" s="219"/>
      <c r="AE264" s="219"/>
      <c r="AF264" s="219"/>
      <c r="AG264" s="219"/>
      <c r="AH264" s="219"/>
      <c r="AI264" s="219"/>
      <c r="AJ264" s="219"/>
      <c r="AK264" s="219"/>
      <c r="AL264" s="219"/>
      <c r="AM264" s="219"/>
      <c r="AN264" s="219"/>
      <c r="AO264" s="219"/>
      <c r="AP264" s="219"/>
    </row>
    <row r="265" spans="4:42" x14ac:dyDescent="0.25">
      <c r="J265" s="169"/>
      <c r="K265" s="169"/>
      <c r="L265" s="169"/>
      <c r="M265" s="169"/>
      <c r="N265" s="169"/>
      <c r="O265" s="169"/>
      <c r="P265" s="169"/>
      <c r="Q265" s="169"/>
      <c r="R265" s="169"/>
      <c r="S265" s="169"/>
      <c r="T265" s="169"/>
      <c r="U265" s="169"/>
      <c r="V265" s="169"/>
      <c r="W265" s="169"/>
      <c r="X265" s="169"/>
      <c r="Y265" s="169"/>
      <c r="Z265" s="169"/>
      <c r="AA265" s="169"/>
      <c r="AB265" s="169"/>
      <c r="AC265" s="169"/>
      <c r="AD265" s="169"/>
      <c r="AE265" s="169"/>
      <c r="AF265" s="169"/>
      <c r="AG265" s="169"/>
      <c r="AH265" s="169"/>
      <c r="AI265" s="169"/>
      <c r="AJ265" s="169"/>
      <c r="AK265" s="169"/>
      <c r="AL265" s="169"/>
      <c r="AM265" s="169"/>
      <c r="AN265" s="169"/>
      <c r="AO265" s="169"/>
      <c r="AP265" s="169"/>
    </row>
    <row r="266" spans="4:42" x14ac:dyDescent="0.25">
      <c r="E266" s="32" t="s">
        <v>745</v>
      </c>
      <c r="J266" s="169"/>
      <c r="K266" s="169"/>
      <c r="L266" s="169"/>
      <c r="M266" s="169"/>
      <c r="N266" s="169"/>
      <c r="O266" s="169"/>
      <c r="P266" s="169"/>
      <c r="Q266" s="169"/>
      <c r="R266" s="169"/>
      <c r="S266" s="169"/>
      <c r="T266" s="169"/>
      <c r="U266" s="169"/>
      <c r="V266" s="169"/>
      <c r="W266" s="169"/>
      <c r="X266" s="169"/>
      <c r="Y266" s="169"/>
      <c r="Z266" s="169"/>
      <c r="AA266" s="169"/>
      <c r="AB266" s="169"/>
      <c r="AC266" s="169"/>
      <c r="AD266" s="169"/>
      <c r="AE266" s="169"/>
      <c r="AF266" s="169"/>
      <c r="AG266" s="169"/>
      <c r="AH266" s="169"/>
      <c r="AI266" s="169"/>
      <c r="AJ266" s="169"/>
      <c r="AK266" s="169"/>
      <c r="AL266" s="169"/>
      <c r="AM266" s="169"/>
      <c r="AN266" s="169"/>
      <c r="AO266" s="169"/>
      <c r="AP266" s="169"/>
    </row>
    <row r="267" spans="4:42" x14ac:dyDescent="0.25">
      <c r="F267" s="218" t="s">
        <v>192</v>
      </c>
      <c r="G267" s="23" t="s">
        <v>243</v>
      </c>
      <c r="H267" s="23"/>
      <c r="I267" s="23"/>
      <c r="J267" s="223">
        <f t="shared" ref="J267:O269" si="83">IF( J262, J262, J240)</f>
        <v>2359360.6618815465</v>
      </c>
      <c r="K267" s="223">
        <f t="shared" si="83"/>
        <v>241333.8974547495</v>
      </c>
      <c r="L267" s="223">
        <f t="shared" si="83"/>
        <v>423055.87757845432</v>
      </c>
      <c r="M267" s="223">
        <f t="shared" si="83"/>
        <v>837309.17840270267</v>
      </c>
      <c r="N267" s="223">
        <f t="shared" si="83"/>
        <v>152179.51963638922</v>
      </c>
      <c r="O267" s="223">
        <f t="shared" si="83"/>
        <v>28141.504302703608</v>
      </c>
      <c r="P267" s="213"/>
      <c r="Q267" s="213"/>
      <c r="R267" s="213"/>
      <c r="S267" s="223">
        <f t="shared" ref="S267:T269" si="84">IF( S262, S262, S240)</f>
        <v>38.467369209265989</v>
      </c>
      <c r="T267" s="223">
        <f t="shared" si="84"/>
        <v>7389.2111199688297</v>
      </c>
      <c r="U267" s="213"/>
      <c r="V267" s="213"/>
      <c r="W267" s="213"/>
      <c r="X267" s="213"/>
      <c r="Y267" s="213"/>
      <c r="Z267" s="213"/>
      <c r="AA267" s="213"/>
      <c r="AB267" s="213"/>
      <c r="AC267" s="213"/>
      <c r="AD267" s="213"/>
      <c r="AE267" s="213"/>
      <c r="AF267" s="213"/>
      <c r="AG267" s="213"/>
      <c r="AH267" s="213"/>
      <c r="AI267" s="213"/>
      <c r="AJ267" s="213"/>
      <c r="AK267" s="213"/>
      <c r="AL267" s="213"/>
      <c r="AM267" s="213"/>
      <c r="AN267" s="213"/>
      <c r="AO267" s="213"/>
      <c r="AP267" s="213"/>
    </row>
    <row r="268" spans="4:42" x14ac:dyDescent="0.25">
      <c r="F268" s="208" t="s">
        <v>193</v>
      </c>
      <c r="G268" t="s">
        <v>243</v>
      </c>
      <c r="J268" s="169">
        <f t="shared" si="83"/>
        <v>0</v>
      </c>
      <c r="K268" s="169">
        <f t="shared" si="83"/>
        <v>204289.9974625294</v>
      </c>
      <c r="L268" s="169">
        <f t="shared" si="83"/>
        <v>0</v>
      </c>
      <c r="M268" s="169">
        <f t="shared" si="83"/>
        <v>0</v>
      </c>
      <c r="N268" s="169">
        <f t="shared" si="83"/>
        <v>82289.749092955753</v>
      </c>
      <c r="O268" s="169">
        <f t="shared" si="83"/>
        <v>0</v>
      </c>
      <c r="P268" s="214"/>
      <c r="Q268" s="214"/>
      <c r="R268" s="214"/>
      <c r="S268" s="169">
        <f t="shared" si="84"/>
        <v>164.18525184456328</v>
      </c>
      <c r="T268" s="169">
        <f t="shared" si="84"/>
        <v>39881.850352483772</v>
      </c>
      <c r="U268" s="214"/>
      <c r="V268" s="214"/>
      <c r="W268" s="214"/>
      <c r="X268" s="214"/>
      <c r="Y268" s="214"/>
      <c r="Z268" s="214"/>
      <c r="AA268" s="214"/>
      <c r="AB268" s="214"/>
      <c r="AC268" s="214"/>
      <c r="AD268" s="214"/>
      <c r="AE268" s="214"/>
      <c r="AF268" s="214"/>
      <c r="AG268" s="214"/>
      <c r="AH268" s="214"/>
      <c r="AI268" s="214"/>
      <c r="AJ268" s="214"/>
      <c r="AK268" s="214"/>
      <c r="AL268" s="214"/>
      <c r="AM268" s="214"/>
      <c r="AN268" s="214"/>
      <c r="AO268" s="214"/>
      <c r="AP268" s="214"/>
    </row>
    <row r="269" spans="4:42" x14ac:dyDescent="0.25">
      <c r="F269" s="209" t="s">
        <v>194</v>
      </c>
      <c r="G269" s="37" t="s">
        <v>243</v>
      </c>
      <c r="H269" s="37"/>
      <c r="I269" s="37"/>
      <c r="J269" s="224">
        <f t="shared" si="83"/>
        <v>0</v>
      </c>
      <c r="K269" s="224">
        <f t="shared" si="83"/>
        <v>0</v>
      </c>
      <c r="L269" s="224">
        <f t="shared" si="83"/>
        <v>0</v>
      </c>
      <c r="M269" s="224">
        <f t="shared" si="83"/>
        <v>0</v>
      </c>
      <c r="N269" s="224">
        <f t="shared" si="83"/>
        <v>0</v>
      </c>
      <c r="O269" s="224">
        <f t="shared" si="83"/>
        <v>0</v>
      </c>
      <c r="P269" s="219"/>
      <c r="Q269" s="219"/>
      <c r="R269" s="219"/>
      <c r="S269" s="224">
        <f t="shared" si="84"/>
        <v>153.41576767953362</v>
      </c>
      <c r="T269" s="224">
        <f t="shared" si="84"/>
        <v>26835.652280818547</v>
      </c>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row>
    <row r="270" spans="4:42" x14ac:dyDescent="0.25">
      <c r="F270" s="220" t="s">
        <v>101</v>
      </c>
      <c r="G270" s="111" t="s">
        <v>243</v>
      </c>
      <c r="H270" s="111"/>
      <c r="I270" s="111"/>
      <c r="J270" s="221">
        <f t="shared" ref="J270:O270" si="85">SUM(J267:J269)</f>
        <v>2359360.6618815465</v>
      </c>
      <c r="K270" s="221">
        <f t="shared" si="85"/>
        <v>445623.8949172789</v>
      </c>
      <c r="L270" s="221">
        <f t="shared" si="85"/>
        <v>423055.87757845432</v>
      </c>
      <c r="M270" s="221">
        <f t="shared" si="85"/>
        <v>837309.17840270267</v>
      </c>
      <c r="N270" s="221">
        <f t="shared" si="85"/>
        <v>234469.26872934497</v>
      </c>
      <c r="O270" s="221">
        <f t="shared" si="85"/>
        <v>28141.504302703608</v>
      </c>
      <c r="P270" s="222"/>
      <c r="Q270" s="222"/>
      <c r="R270" s="222"/>
      <c r="S270" s="221">
        <f>SUM(S267:S269)</f>
        <v>356.06838873336289</v>
      </c>
      <c r="T270" s="221">
        <f>SUM(T267:T269)</f>
        <v>74106.713753271149</v>
      </c>
      <c r="U270" s="222"/>
      <c r="V270" s="222"/>
      <c r="W270" s="222"/>
      <c r="X270" s="222"/>
      <c r="Y270" s="222"/>
      <c r="Z270" s="222"/>
      <c r="AA270" s="222"/>
      <c r="AB270" s="222"/>
      <c r="AC270" s="222"/>
      <c r="AD270" s="222"/>
      <c r="AE270" s="222"/>
      <c r="AF270" s="222"/>
      <c r="AG270" s="222"/>
      <c r="AH270" s="222"/>
      <c r="AI270" s="222"/>
      <c r="AJ270" s="222"/>
      <c r="AK270" s="222"/>
      <c r="AL270" s="222"/>
      <c r="AM270" s="222"/>
      <c r="AN270" s="222"/>
      <c r="AO270" s="222"/>
      <c r="AP270" s="222"/>
    </row>
    <row r="271" spans="4:42" x14ac:dyDescent="0.25">
      <c r="J271" s="169"/>
      <c r="K271" s="169"/>
      <c r="L271" s="169"/>
      <c r="M271" s="169"/>
      <c r="N271" s="169"/>
      <c r="O271" s="169"/>
      <c r="P271" s="169"/>
      <c r="Q271" s="169"/>
      <c r="R271" s="169"/>
      <c r="S271" s="169"/>
      <c r="T271" s="169"/>
      <c r="U271" s="169"/>
      <c r="V271" s="169"/>
      <c r="W271" s="169"/>
      <c r="X271" s="169"/>
      <c r="Y271" s="169"/>
      <c r="Z271" s="169"/>
      <c r="AA271" s="169"/>
      <c r="AB271" s="169"/>
      <c r="AC271" s="169"/>
      <c r="AD271" s="169"/>
      <c r="AE271" s="169"/>
      <c r="AF271" s="169"/>
      <c r="AG271" s="169"/>
      <c r="AH271" s="169"/>
      <c r="AI271" s="169"/>
      <c r="AJ271" s="169"/>
      <c r="AK271" s="169"/>
      <c r="AL271" s="169"/>
      <c r="AM271" s="169"/>
      <c r="AN271" s="169"/>
      <c r="AO271" s="169"/>
      <c r="AP271" s="169"/>
    </row>
    <row r="272" spans="4:42" x14ac:dyDescent="0.25">
      <c r="D272" s="32"/>
      <c r="E272" s="32" t="s">
        <v>746</v>
      </c>
      <c r="F272" s="32"/>
      <c r="J272" s="169"/>
      <c r="K272" s="169"/>
      <c r="L272" s="169"/>
      <c r="M272" s="169"/>
      <c r="N272" s="169"/>
      <c r="O272" s="169"/>
      <c r="P272" s="169"/>
      <c r="Q272" s="169"/>
      <c r="R272" s="169"/>
      <c r="S272" s="169"/>
      <c r="T272" s="169"/>
      <c r="U272" s="169"/>
      <c r="V272" s="169"/>
      <c r="W272" s="169"/>
      <c r="X272" s="169"/>
      <c r="Y272" s="169"/>
      <c r="Z272" s="169"/>
      <c r="AA272" s="169"/>
      <c r="AB272" s="169"/>
      <c r="AC272" s="169"/>
      <c r="AD272" s="169"/>
      <c r="AE272" s="169"/>
      <c r="AF272" s="169"/>
      <c r="AG272" s="169"/>
      <c r="AH272" s="169"/>
      <c r="AI272" s="169"/>
      <c r="AJ272" s="169"/>
      <c r="AK272" s="169"/>
      <c r="AL272" s="169"/>
      <c r="AM272" s="169"/>
      <c r="AN272" s="169"/>
      <c r="AO272" s="169"/>
      <c r="AP272" s="169"/>
    </row>
    <row r="273" spans="3:42" x14ac:dyDescent="0.25">
      <c r="D273" s="32"/>
      <c r="E273" s="32"/>
      <c r="F273" s="23" t="s">
        <v>192</v>
      </c>
      <c r="G273" s="23" t="s">
        <v>335</v>
      </c>
      <c r="H273" s="23"/>
      <c r="I273" s="23"/>
      <c r="J273" s="223">
        <f t="shared" ref="J273:O273" si="86">J267 * SUM(J152:J173)</f>
        <v>5887080.0954125607</v>
      </c>
      <c r="K273" s="223">
        <f t="shared" si="86"/>
        <v>697264.06193548301</v>
      </c>
      <c r="L273" s="223">
        <f t="shared" si="86"/>
        <v>415890.00374498928</v>
      </c>
      <c r="M273" s="223">
        <f t="shared" si="86"/>
        <v>2146080.6390714962</v>
      </c>
      <c r="N273" s="223">
        <f t="shared" si="86"/>
        <v>424002.70958181057</v>
      </c>
      <c r="O273" s="223">
        <f t="shared" si="86"/>
        <v>25075.552583184101</v>
      </c>
      <c r="P273" s="213"/>
      <c r="Q273" s="213"/>
      <c r="R273" s="213"/>
      <c r="S273" s="223">
        <f>S267 * SUM(S152:S173)</f>
        <v>407.55625400722801</v>
      </c>
      <c r="T273" s="223">
        <f>T267 * SUM(T152:T173)</f>
        <v>85553.1126305457</v>
      </c>
      <c r="U273" s="213"/>
      <c r="V273" s="213"/>
      <c r="W273" s="213"/>
      <c r="X273" s="213"/>
      <c r="Y273" s="213"/>
      <c r="Z273" s="213"/>
      <c r="AA273" s="213"/>
      <c r="AB273" s="213"/>
      <c r="AC273" s="213"/>
      <c r="AD273" s="213"/>
      <c r="AE273" s="213"/>
      <c r="AF273" s="213"/>
      <c r="AG273" s="213"/>
      <c r="AH273" s="213"/>
      <c r="AI273" s="213"/>
      <c r="AJ273" s="213"/>
      <c r="AK273" s="213"/>
      <c r="AL273" s="213"/>
      <c r="AM273" s="213"/>
      <c r="AN273" s="213"/>
      <c r="AO273" s="213"/>
      <c r="AP273" s="213"/>
    </row>
    <row r="274" spans="3:42" x14ac:dyDescent="0.25">
      <c r="D274" s="32"/>
      <c r="E274" s="32"/>
      <c r="F274" t="s">
        <v>193</v>
      </c>
      <c r="G274" t="s">
        <v>335</v>
      </c>
      <c r="J274" s="169">
        <f t="shared" ref="J274:O274" si="87">J268 * SUM(J181:J202)</f>
        <v>0</v>
      </c>
      <c r="K274" s="169">
        <f t="shared" si="87"/>
        <v>204872.47710367726</v>
      </c>
      <c r="L274" s="169">
        <f t="shared" si="87"/>
        <v>0</v>
      </c>
      <c r="M274" s="169">
        <f t="shared" si="87"/>
        <v>0</v>
      </c>
      <c r="N274" s="169">
        <f t="shared" si="87"/>
        <v>70248.831319046265</v>
      </c>
      <c r="O274" s="169">
        <f t="shared" si="87"/>
        <v>0</v>
      </c>
      <c r="P274" s="214"/>
      <c r="Q274" s="214"/>
      <c r="R274" s="214"/>
      <c r="S274" s="169">
        <f>S268 * SUM(S181:S202)</f>
        <v>269.31088949997945</v>
      </c>
      <c r="T274" s="169">
        <f>T268 * SUM(T181:T202)</f>
        <v>71491.467832154405</v>
      </c>
      <c r="U274" s="214"/>
      <c r="V274" s="214"/>
      <c r="W274" s="214"/>
      <c r="X274" s="214"/>
      <c r="Y274" s="214"/>
      <c r="Z274" s="214"/>
      <c r="AA274" s="214"/>
      <c r="AB274" s="214"/>
      <c r="AC274" s="214"/>
      <c r="AD274" s="214"/>
      <c r="AE274" s="214"/>
      <c r="AF274" s="214"/>
      <c r="AG274" s="214"/>
      <c r="AH274" s="214"/>
      <c r="AI274" s="214"/>
      <c r="AJ274" s="214"/>
      <c r="AK274" s="214"/>
      <c r="AL274" s="214"/>
      <c r="AM274" s="214"/>
      <c r="AN274" s="214"/>
      <c r="AO274" s="214"/>
      <c r="AP274" s="214"/>
    </row>
    <row r="275" spans="3:42" x14ac:dyDescent="0.25">
      <c r="D275" s="32"/>
      <c r="E275" s="32"/>
      <c r="F275" t="s">
        <v>194</v>
      </c>
      <c r="G275" t="s">
        <v>335</v>
      </c>
      <c r="J275" s="169">
        <f t="shared" ref="J275:O275" si="88">J269 * SUM(J210:J231)</f>
        <v>0</v>
      </c>
      <c r="K275" s="169">
        <f t="shared" si="88"/>
        <v>0</v>
      </c>
      <c r="L275" s="169">
        <f t="shared" si="88"/>
        <v>0</v>
      </c>
      <c r="M275" s="169">
        <f t="shared" si="88"/>
        <v>0</v>
      </c>
      <c r="N275" s="169">
        <f t="shared" si="88"/>
        <v>0</v>
      </c>
      <c r="O275" s="169">
        <f t="shared" si="88"/>
        <v>0</v>
      </c>
      <c r="P275" s="219"/>
      <c r="Q275" s="219"/>
      <c r="R275" s="219"/>
      <c r="S275" s="169">
        <f>S269 * SUM(S210:S231)</f>
        <v>117.89077959472917</v>
      </c>
      <c r="T275" s="169">
        <f>T269 * SUM(T210:T231)</f>
        <v>22536.313232877255</v>
      </c>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row>
    <row r="276" spans="3:42" x14ac:dyDescent="0.25">
      <c r="D276" s="32"/>
      <c r="E276" s="32"/>
      <c r="F276" s="111" t="s">
        <v>101</v>
      </c>
      <c r="G276" s="111" t="s">
        <v>335</v>
      </c>
      <c r="H276" s="111"/>
      <c r="I276" s="111"/>
      <c r="J276" s="221">
        <f>SUM(J273:J275)</f>
        <v>5887080.0954125607</v>
      </c>
      <c r="K276" s="221">
        <f t="shared" ref="K276" si="89">SUM(K273:K275)</f>
        <v>902136.53903916024</v>
      </c>
      <c r="L276" s="221">
        <f t="shared" ref="L276" si="90">SUM(L273:L275)</f>
        <v>415890.00374498928</v>
      </c>
      <c r="M276" s="221">
        <f t="shared" ref="M276" si="91">SUM(M273:M275)</f>
        <v>2146080.6390714962</v>
      </c>
      <c r="N276" s="221">
        <f t="shared" ref="N276" si="92">SUM(N273:N275)</f>
        <v>494251.54090085684</v>
      </c>
      <c r="O276" s="221">
        <f t="shared" ref="O276" si="93">SUM(O273:O275)</f>
        <v>25075.552583184101</v>
      </c>
      <c r="P276" s="222"/>
      <c r="Q276" s="222"/>
      <c r="R276" s="222"/>
      <c r="S276" s="221">
        <f t="shared" ref="S276" si="94">SUM(S273:S275)</f>
        <v>794.75792310193651</v>
      </c>
      <c r="T276" s="221">
        <f t="shared" ref="T276" si="95">SUM(T273:T275)</f>
        <v>179580.89369557737</v>
      </c>
      <c r="U276" s="222"/>
      <c r="V276" s="222"/>
      <c r="W276" s="222"/>
      <c r="X276" s="222"/>
      <c r="Y276" s="222"/>
      <c r="Z276" s="222"/>
      <c r="AA276" s="222"/>
      <c r="AB276" s="222"/>
      <c r="AC276" s="222"/>
      <c r="AD276" s="222"/>
      <c r="AE276" s="222"/>
      <c r="AF276" s="222"/>
      <c r="AG276" s="222"/>
      <c r="AH276" s="222"/>
      <c r="AI276" s="222"/>
      <c r="AJ276" s="222"/>
      <c r="AK276" s="222"/>
      <c r="AL276" s="222"/>
      <c r="AM276" s="222"/>
      <c r="AN276" s="222"/>
      <c r="AO276" s="222"/>
      <c r="AP276" s="222"/>
    </row>
    <row r="277" spans="3:42" x14ac:dyDescent="0.25">
      <c r="D277" s="32"/>
      <c r="E277" s="32"/>
      <c r="F277" s="32"/>
      <c r="J277" s="173"/>
      <c r="K277" s="173"/>
      <c r="L277" s="173"/>
      <c r="M277" s="173"/>
      <c r="N277" s="173"/>
      <c r="O277" s="173"/>
      <c r="P277" s="173"/>
      <c r="Q277" s="173"/>
      <c r="R277" s="173"/>
      <c r="S277" s="173"/>
      <c r="T277" s="14"/>
      <c r="U277" s="14"/>
      <c r="V277" s="14"/>
      <c r="W277" s="14"/>
      <c r="X277" s="14"/>
      <c r="Y277" s="14"/>
      <c r="Z277" s="14"/>
      <c r="AA277" s="14"/>
      <c r="AB277" s="14"/>
      <c r="AC277" s="14"/>
      <c r="AD277" s="14"/>
      <c r="AE277" s="14"/>
      <c r="AF277" s="14"/>
      <c r="AG277" s="14"/>
      <c r="AH277" s="14"/>
      <c r="AI277" s="14"/>
      <c r="AJ277" s="14"/>
      <c r="AK277" s="14"/>
      <c r="AL277" s="14"/>
      <c r="AM277" s="14"/>
      <c r="AN277" s="14"/>
      <c r="AO277" s="14"/>
      <c r="AP277" s="14"/>
    </row>
    <row r="278" spans="3:42" x14ac:dyDescent="0.25">
      <c r="D278" s="32"/>
      <c r="E278" s="32" t="s">
        <v>747</v>
      </c>
      <c r="F278" s="32"/>
      <c r="J278" s="173"/>
      <c r="K278" s="173"/>
      <c r="L278" s="173"/>
      <c r="M278" s="173"/>
      <c r="N278" s="173"/>
      <c r="O278" s="173"/>
      <c r="P278" s="173"/>
      <c r="Q278" s="173"/>
      <c r="R278" s="173"/>
      <c r="S278" s="173"/>
      <c r="T278" s="14"/>
      <c r="U278" s="14"/>
      <c r="V278" s="14"/>
      <c r="W278" s="14"/>
      <c r="X278" s="14"/>
      <c r="Y278" s="14"/>
      <c r="Z278" s="14"/>
      <c r="AA278" s="14"/>
      <c r="AB278" s="14"/>
      <c r="AC278" s="14"/>
      <c r="AD278" s="14"/>
      <c r="AE278" s="14"/>
      <c r="AF278" s="14"/>
      <c r="AG278" s="14"/>
      <c r="AH278" s="14"/>
      <c r="AI278" s="14"/>
      <c r="AJ278" s="14"/>
      <c r="AK278" s="14"/>
      <c r="AL278" s="14"/>
      <c r="AM278" s="14"/>
      <c r="AN278" s="14"/>
      <c r="AO278" s="14"/>
      <c r="AP278" s="14"/>
    </row>
    <row r="279" spans="3:42" x14ac:dyDescent="0.25">
      <c r="D279" s="32"/>
      <c r="E279" s="32"/>
      <c r="F279" s="23" t="s">
        <v>748</v>
      </c>
      <c r="G279" s="23" t="s">
        <v>749</v>
      </c>
      <c r="H279" s="223">
        <f>IF(SUM(J270:L270) &lt;&gt; 0, SUM(J276:L276) / SUM(J270:L270), 0)</f>
        <v>2.232037294658809</v>
      </c>
      <c r="J279" s="173"/>
      <c r="K279" s="173"/>
      <c r="L279" s="173"/>
      <c r="M279" s="173"/>
      <c r="N279" s="173"/>
      <c r="O279" s="173"/>
      <c r="P279" s="173"/>
      <c r="Q279" s="173"/>
      <c r="R279" s="173"/>
      <c r="S279" s="173"/>
      <c r="T279" s="14"/>
      <c r="U279" s="14"/>
      <c r="V279" s="14"/>
      <c r="W279" s="14"/>
      <c r="X279" s="14"/>
      <c r="Y279" s="14"/>
      <c r="Z279" s="14"/>
      <c r="AA279" s="14"/>
      <c r="AB279" s="14"/>
      <c r="AC279" s="14"/>
      <c r="AD279" s="14"/>
      <c r="AE279" s="14"/>
      <c r="AF279" s="14"/>
      <c r="AG279" s="14"/>
      <c r="AH279" s="14"/>
      <c r="AI279" s="14"/>
      <c r="AJ279" s="14"/>
      <c r="AK279" s="14"/>
      <c r="AL279" s="14"/>
      <c r="AM279" s="14"/>
      <c r="AN279" s="14"/>
      <c r="AO279" s="14"/>
      <c r="AP279" s="14"/>
    </row>
    <row r="280" spans="3:42" x14ac:dyDescent="0.25">
      <c r="D280" s="32"/>
      <c r="E280" s="32"/>
      <c r="F280" t="s">
        <v>157</v>
      </c>
      <c r="G280" t="s">
        <v>749</v>
      </c>
      <c r="H280" s="169">
        <f>IF(S270 &lt;&gt; 0, S276 / S270, 0)</f>
        <v>2.232037294658809</v>
      </c>
      <c r="J280" s="173"/>
      <c r="K280" s="173"/>
      <c r="L280" s="173"/>
      <c r="M280" s="173"/>
      <c r="N280" s="173"/>
      <c r="O280" s="173"/>
      <c r="P280" s="173"/>
      <c r="Q280" s="173"/>
      <c r="R280" s="173"/>
      <c r="S280" s="173"/>
      <c r="T280" s="14"/>
      <c r="U280" s="14"/>
      <c r="V280" s="14"/>
      <c r="W280" s="14"/>
      <c r="X280" s="14"/>
      <c r="Y280" s="14"/>
      <c r="Z280" s="14"/>
      <c r="AA280" s="14"/>
      <c r="AB280" s="14"/>
      <c r="AC280" s="14"/>
      <c r="AD280" s="14"/>
      <c r="AE280" s="14"/>
      <c r="AF280" s="14"/>
      <c r="AG280" s="14"/>
      <c r="AH280" s="14"/>
      <c r="AI280" s="14"/>
      <c r="AJ280" s="14"/>
      <c r="AK280" s="14"/>
      <c r="AL280" s="14"/>
      <c r="AM280" s="14"/>
      <c r="AN280" s="14"/>
      <c r="AO280" s="14"/>
      <c r="AP280" s="14"/>
    </row>
    <row r="281" spans="3:42" x14ac:dyDescent="0.25">
      <c r="D281" s="32"/>
      <c r="E281" s="32"/>
      <c r="F281" s="111" t="s">
        <v>750</v>
      </c>
      <c r="G281" s="111" t="s">
        <v>56</v>
      </c>
      <c r="H281" s="225">
        <f>IFERROR(IF(ABS(H279 - H280) &lt; 10^-check_decimals, 0, 1), 1)</f>
        <v>0</v>
      </c>
      <c r="J281" s="173"/>
      <c r="K281" s="173"/>
      <c r="L281" s="173"/>
      <c r="M281" s="173"/>
      <c r="N281" s="173"/>
      <c r="O281" s="173"/>
      <c r="P281" s="173"/>
      <c r="Q281" s="173"/>
      <c r="R281" s="173"/>
      <c r="S281" s="173"/>
      <c r="T281" s="14"/>
      <c r="U281" s="14"/>
      <c r="V281" s="14"/>
      <c r="W281" s="14"/>
      <c r="X281" s="14"/>
      <c r="Y281" s="14"/>
      <c r="Z281" s="14"/>
      <c r="AA281" s="14"/>
      <c r="AB281" s="14"/>
      <c r="AC281" s="14"/>
      <c r="AD281" s="14"/>
      <c r="AE281" s="14"/>
      <c r="AF281" s="14"/>
      <c r="AG281" s="14"/>
      <c r="AH281" s="14"/>
      <c r="AI281" s="14"/>
      <c r="AJ281" s="14"/>
      <c r="AK281" s="14"/>
      <c r="AL281" s="14"/>
      <c r="AM281" s="14"/>
      <c r="AN281" s="14"/>
      <c r="AO281" s="14"/>
      <c r="AP281" s="14"/>
    </row>
    <row r="282" spans="3:42" x14ac:dyDescent="0.25">
      <c r="D282" s="32"/>
      <c r="E282" s="32"/>
      <c r="H282" s="173"/>
      <c r="J282" s="173"/>
      <c r="K282" s="173"/>
      <c r="L282" s="173"/>
      <c r="M282" s="173"/>
      <c r="N282" s="173"/>
      <c r="O282" s="173"/>
      <c r="P282" s="173"/>
      <c r="Q282" s="173"/>
      <c r="R282" s="173"/>
      <c r="S282" s="173"/>
      <c r="T282" s="14"/>
      <c r="U282" s="14"/>
      <c r="V282" s="14"/>
      <c r="W282" s="14"/>
      <c r="X282" s="14"/>
      <c r="Y282" s="14"/>
      <c r="Z282" s="14"/>
      <c r="AA282" s="14"/>
      <c r="AB282" s="14"/>
      <c r="AC282" s="14"/>
      <c r="AD282" s="14"/>
      <c r="AE282" s="14"/>
      <c r="AF282" s="14"/>
      <c r="AG282" s="14"/>
      <c r="AH282" s="14"/>
      <c r="AI282" s="14"/>
      <c r="AJ282" s="14"/>
      <c r="AK282" s="14"/>
      <c r="AL282" s="14"/>
      <c r="AM282" s="14"/>
      <c r="AN282" s="14"/>
      <c r="AO282" s="14"/>
      <c r="AP282" s="14"/>
    </row>
    <row r="283" spans="3:42" x14ac:dyDescent="0.25">
      <c r="D283" s="32"/>
      <c r="E283" s="32" t="s">
        <v>751</v>
      </c>
      <c r="H283" s="173"/>
      <c r="J283" s="173"/>
      <c r="K283" s="173"/>
      <c r="L283" s="173"/>
      <c r="M283" s="173"/>
      <c r="N283" s="173"/>
      <c r="O283" s="173"/>
      <c r="P283" s="173"/>
      <c r="Q283" s="173"/>
      <c r="R283" s="173"/>
      <c r="S283" s="173"/>
      <c r="T283" s="14"/>
      <c r="U283" s="14"/>
      <c r="V283" s="14"/>
      <c r="W283" s="14"/>
      <c r="X283" s="14"/>
      <c r="Y283" s="14"/>
      <c r="Z283" s="14"/>
      <c r="AA283" s="14"/>
      <c r="AB283" s="14"/>
      <c r="AC283" s="14"/>
      <c r="AD283" s="14"/>
      <c r="AE283" s="14"/>
      <c r="AF283" s="14"/>
      <c r="AG283" s="14"/>
      <c r="AH283" s="14"/>
      <c r="AI283" s="14"/>
      <c r="AJ283" s="14"/>
      <c r="AK283" s="14"/>
      <c r="AL283" s="14"/>
      <c r="AM283" s="14"/>
      <c r="AN283" s="14"/>
      <c r="AO283" s="14"/>
      <c r="AP283" s="14"/>
    </row>
    <row r="284" spans="3:42" x14ac:dyDescent="0.25">
      <c r="D284" s="32"/>
      <c r="E284" s="32"/>
      <c r="F284" s="23" t="s">
        <v>752</v>
      </c>
      <c r="G284" s="23" t="s">
        <v>749</v>
      </c>
      <c r="H284" s="223">
        <f>IF(SUM(M270:O270) &lt;&gt; 0, SUM(M276:O276) / SUM(M270:O270), 0)</f>
        <v>2.4232742838046906</v>
      </c>
      <c r="J284" s="173"/>
      <c r="K284" s="173"/>
      <c r="L284" s="173"/>
      <c r="M284" s="173"/>
      <c r="N284" s="173"/>
      <c r="O284" s="173"/>
      <c r="P284" s="173"/>
      <c r="Q284" s="173"/>
      <c r="R284" s="173"/>
      <c r="S284" s="173"/>
      <c r="T284" s="14"/>
      <c r="U284" s="14"/>
      <c r="V284" s="14"/>
      <c r="W284" s="14"/>
      <c r="X284" s="14"/>
      <c r="Y284" s="14"/>
      <c r="Z284" s="14"/>
      <c r="AA284" s="14"/>
      <c r="AB284" s="14"/>
      <c r="AC284" s="14"/>
      <c r="AD284" s="14"/>
      <c r="AE284" s="14"/>
      <c r="AF284" s="14"/>
      <c r="AG284" s="14"/>
      <c r="AH284" s="14"/>
      <c r="AI284" s="14"/>
      <c r="AJ284" s="14"/>
      <c r="AK284" s="14"/>
      <c r="AL284" s="14"/>
      <c r="AM284" s="14"/>
      <c r="AN284" s="14"/>
      <c r="AO284" s="14"/>
      <c r="AP284" s="14"/>
    </row>
    <row r="285" spans="3:42" x14ac:dyDescent="0.25">
      <c r="D285" s="32"/>
      <c r="E285" s="32"/>
      <c r="F285" s="37" t="s">
        <v>158</v>
      </c>
      <c r="G285" s="37" t="s">
        <v>749</v>
      </c>
      <c r="H285" s="224">
        <f>IF(T270 &lt;&gt; 0, T276 / T270, 0)</f>
        <v>2.4232742838046906</v>
      </c>
      <c r="J285" s="173"/>
      <c r="K285" s="173"/>
      <c r="L285" s="173"/>
      <c r="M285" s="173"/>
      <c r="N285" s="173"/>
      <c r="O285" s="173"/>
      <c r="P285" s="173"/>
      <c r="Q285" s="173"/>
      <c r="R285" s="173"/>
      <c r="S285" s="173"/>
      <c r="T285" s="14"/>
      <c r="U285" s="14"/>
      <c r="V285" s="14"/>
      <c r="W285" s="14"/>
      <c r="X285" s="14"/>
      <c r="Y285" s="14"/>
      <c r="Z285" s="14"/>
      <c r="AA285" s="14"/>
      <c r="AB285" s="14"/>
      <c r="AC285" s="14"/>
      <c r="AD285" s="14"/>
      <c r="AE285" s="14"/>
      <c r="AF285" s="14"/>
      <c r="AG285" s="14"/>
      <c r="AH285" s="14"/>
      <c r="AI285" s="14"/>
      <c r="AJ285" s="14"/>
      <c r="AK285" s="14"/>
      <c r="AL285" s="14"/>
      <c r="AM285" s="14"/>
      <c r="AN285" s="14"/>
      <c r="AO285" s="14"/>
      <c r="AP285" s="14"/>
    </row>
    <row r="286" spans="3:42" x14ac:dyDescent="0.25">
      <c r="D286" s="32"/>
      <c r="E286" s="32"/>
      <c r="F286" s="37" t="s">
        <v>753</v>
      </c>
      <c r="G286" s="37" t="s">
        <v>56</v>
      </c>
      <c r="H286" s="225">
        <f>IFERROR(IF(ABS(H284 - H285) &lt; 10^-check_decimals, 0, 1), 1)</f>
        <v>0</v>
      </c>
      <c r="J286" s="173"/>
      <c r="K286" s="173"/>
      <c r="L286" s="173"/>
      <c r="M286" s="173"/>
      <c r="N286" s="173"/>
      <c r="O286" s="173"/>
      <c r="P286" s="173"/>
      <c r="Q286" s="173"/>
      <c r="R286" s="173"/>
      <c r="S286" s="173"/>
      <c r="T286" s="14"/>
      <c r="U286" s="14"/>
      <c r="V286" s="14"/>
      <c r="W286" s="14"/>
      <c r="X286" s="14"/>
      <c r="Y286" s="14"/>
      <c r="Z286" s="14"/>
      <c r="AA286" s="14"/>
      <c r="AB286" s="14"/>
      <c r="AC286" s="14"/>
      <c r="AD286" s="14"/>
      <c r="AE286" s="14"/>
      <c r="AF286" s="14"/>
      <c r="AG286" s="14"/>
      <c r="AH286" s="14"/>
      <c r="AI286" s="14"/>
      <c r="AJ286" s="14"/>
      <c r="AK286" s="14"/>
      <c r="AL286" s="14"/>
      <c r="AM286" s="14"/>
      <c r="AN286" s="14"/>
      <c r="AO286" s="14"/>
      <c r="AP286" s="14"/>
    </row>
    <row r="287" spans="3:42" x14ac:dyDescent="0.25">
      <c r="C287" s="32"/>
      <c r="D287" s="32"/>
      <c r="E287" s="32"/>
      <c r="J287" s="173"/>
      <c r="K287" s="173"/>
      <c r="L287" s="173"/>
      <c r="M287" s="173"/>
      <c r="N287" s="173"/>
      <c r="O287" s="173"/>
      <c r="P287" s="173"/>
      <c r="Q287" s="173"/>
      <c r="R287" s="173"/>
      <c r="S287" s="173"/>
      <c r="T287" s="14"/>
      <c r="U287" s="14"/>
      <c r="V287" s="14"/>
      <c r="W287" s="14"/>
      <c r="X287" s="14"/>
      <c r="Y287" s="14"/>
      <c r="Z287" s="14"/>
      <c r="AA287" s="14"/>
      <c r="AB287" s="14"/>
      <c r="AC287" s="14"/>
      <c r="AD287" s="14"/>
      <c r="AE287" s="14"/>
      <c r="AF287" s="14"/>
      <c r="AG287" s="14"/>
      <c r="AH287" s="14"/>
      <c r="AI287" s="14"/>
      <c r="AJ287" s="14"/>
      <c r="AK287" s="14"/>
      <c r="AL287" s="14"/>
      <c r="AM287" s="14"/>
      <c r="AN287" s="14"/>
      <c r="AO287" s="14"/>
      <c r="AP287" s="14"/>
    </row>
    <row r="288" spans="3:42" x14ac:dyDescent="0.25">
      <c r="D288" s="32" t="s">
        <v>754</v>
      </c>
      <c r="E288" s="32"/>
      <c r="J288" s="173"/>
      <c r="K288" s="173"/>
      <c r="L288" s="173"/>
      <c r="M288" s="173"/>
      <c r="N288" s="173"/>
      <c r="O288" s="173"/>
      <c r="P288" s="173"/>
      <c r="Q288" s="173"/>
      <c r="R288" s="173"/>
      <c r="S288" s="173"/>
      <c r="T288" s="14"/>
      <c r="U288" s="14"/>
      <c r="V288" s="14"/>
      <c r="W288" s="14"/>
      <c r="X288" s="14"/>
      <c r="Y288" s="14"/>
      <c r="Z288" s="14"/>
      <c r="AA288" s="14"/>
      <c r="AB288" s="14"/>
      <c r="AC288" s="14"/>
      <c r="AD288" s="14"/>
      <c r="AE288" s="14"/>
      <c r="AF288" s="14"/>
      <c r="AG288" s="14"/>
      <c r="AH288" s="14"/>
      <c r="AI288" s="14"/>
      <c r="AJ288" s="14"/>
      <c r="AK288" s="14"/>
      <c r="AL288" s="14"/>
      <c r="AM288" s="14"/>
      <c r="AN288" s="14"/>
      <c r="AO288" s="14"/>
      <c r="AP288" s="14"/>
    </row>
    <row r="289" spans="2:44" x14ac:dyDescent="0.25">
      <c r="C289" s="32"/>
      <c r="D289" s="32"/>
      <c r="E289" s="32"/>
      <c r="J289" s="173"/>
      <c r="K289" s="173"/>
      <c r="L289" s="173"/>
      <c r="M289" s="173"/>
      <c r="N289" s="173"/>
      <c r="O289" s="173"/>
      <c r="P289" s="173"/>
      <c r="Q289" s="173"/>
      <c r="R289" s="173"/>
      <c r="S289" s="173"/>
      <c r="T289" s="14"/>
      <c r="U289" s="14"/>
      <c r="V289" s="14"/>
      <c r="W289" s="14"/>
      <c r="X289" s="14"/>
      <c r="Y289" s="14"/>
      <c r="Z289" s="14"/>
      <c r="AA289" s="14"/>
      <c r="AB289" s="14"/>
      <c r="AC289" s="14"/>
      <c r="AD289" s="14"/>
      <c r="AE289" s="14"/>
      <c r="AF289" s="14"/>
      <c r="AG289" s="14"/>
      <c r="AH289" s="14"/>
      <c r="AI289" s="14"/>
      <c r="AJ289" s="14"/>
      <c r="AK289" s="14"/>
      <c r="AL289" s="14"/>
      <c r="AM289" s="14"/>
      <c r="AN289" s="14"/>
      <c r="AO289" s="14"/>
      <c r="AP289" s="14"/>
    </row>
    <row r="290" spans="2:44" x14ac:dyDescent="0.25">
      <c r="C290" s="32"/>
      <c r="D290" s="32"/>
      <c r="E290" t="s">
        <v>281</v>
      </c>
      <c r="G290" s="6" t="s">
        <v>56</v>
      </c>
      <c r="H290" s="226">
        <f t="array" ref="H290">SUM(IF(ISERROR(H18:AP231), 1))</f>
        <v>0</v>
      </c>
      <c r="J290" s="63"/>
      <c r="K290" s="63"/>
      <c r="L290" s="63"/>
      <c r="M290" s="63"/>
      <c r="N290" s="63"/>
      <c r="O290" s="63"/>
      <c r="P290" s="63"/>
      <c r="Q290" s="63"/>
      <c r="R290" s="63"/>
      <c r="S290" s="63"/>
      <c r="T290" s="63"/>
      <c r="U290" s="63"/>
      <c r="V290" s="63"/>
      <c r="W290" s="63"/>
      <c r="X290" s="63"/>
      <c r="Y290" s="63"/>
      <c r="Z290" s="63"/>
      <c r="AA290" s="63"/>
      <c r="AB290" s="63"/>
      <c r="AC290" s="63"/>
      <c r="AD290" s="63"/>
      <c r="AE290" s="63"/>
      <c r="AF290" s="63"/>
      <c r="AG290" s="63"/>
      <c r="AH290" s="63"/>
      <c r="AI290" s="63"/>
      <c r="AJ290" s="63"/>
      <c r="AK290" s="63"/>
      <c r="AL290" s="63"/>
      <c r="AM290" s="63"/>
      <c r="AN290" s="63"/>
      <c r="AO290" s="63"/>
      <c r="AP290" s="63"/>
    </row>
    <row r="291" spans="2:44" x14ac:dyDescent="0.25">
      <c r="C291" s="32"/>
      <c r="D291" s="32"/>
      <c r="E291" s="32"/>
      <c r="J291" s="63"/>
      <c r="K291" s="63"/>
      <c r="L291" s="63"/>
      <c r="M291" s="63"/>
      <c r="N291" s="63"/>
      <c r="O291" s="63"/>
      <c r="P291" s="63"/>
      <c r="Q291" s="63"/>
      <c r="R291" s="63"/>
      <c r="S291" s="63"/>
    </row>
    <row r="292" spans="2:44" x14ac:dyDescent="0.25">
      <c r="C292" s="32"/>
      <c r="D292" s="32"/>
      <c r="E292" t="s">
        <v>755</v>
      </c>
      <c r="G292" s="6" t="s">
        <v>56</v>
      </c>
      <c r="H292" s="226">
        <f>SUM(J292:AP292)</f>
        <v>0</v>
      </c>
      <c r="I292" s="227"/>
      <c r="J292" s="226">
        <f t="shared" ref="J292:AP292" si="96">IF(ABS(IFERROR(SUM(J152:J231), 1)) &gt; 0, 0, 1)</f>
        <v>0</v>
      </c>
      <c r="K292" s="226">
        <f t="shared" si="96"/>
        <v>0</v>
      </c>
      <c r="L292" s="226">
        <f t="shared" si="96"/>
        <v>0</v>
      </c>
      <c r="M292" s="226">
        <f t="shared" si="96"/>
        <v>0</v>
      </c>
      <c r="N292" s="226">
        <f t="shared" si="96"/>
        <v>0</v>
      </c>
      <c r="O292" s="226">
        <f t="shared" si="96"/>
        <v>0</v>
      </c>
      <c r="P292" s="226">
        <f t="shared" si="96"/>
        <v>0</v>
      </c>
      <c r="Q292" s="226">
        <f t="shared" si="96"/>
        <v>0</v>
      </c>
      <c r="R292" s="226">
        <f t="shared" si="96"/>
        <v>0</v>
      </c>
      <c r="S292" s="226">
        <f t="shared" si="96"/>
        <v>0</v>
      </c>
      <c r="T292" s="226">
        <f t="shared" si="96"/>
        <v>0</v>
      </c>
      <c r="U292" s="226">
        <f t="shared" si="96"/>
        <v>0</v>
      </c>
      <c r="V292" s="226">
        <f t="shared" si="96"/>
        <v>0</v>
      </c>
      <c r="W292" s="226">
        <f t="shared" si="96"/>
        <v>0</v>
      </c>
      <c r="X292" s="226">
        <f t="shared" si="96"/>
        <v>0</v>
      </c>
      <c r="Y292" s="226">
        <f t="shared" si="96"/>
        <v>0</v>
      </c>
      <c r="Z292" s="226">
        <f t="shared" si="96"/>
        <v>0</v>
      </c>
      <c r="AA292" s="226">
        <f t="shared" si="96"/>
        <v>0</v>
      </c>
      <c r="AB292" s="226">
        <f t="shared" si="96"/>
        <v>0</v>
      </c>
      <c r="AC292" s="226">
        <f t="shared" si="96"/>
        <v>0</v>
      </c>
      <c r="AD292" s="226">
        <f t="shared" si="96"/>
        <v>0</v>
      </c>
      <c r="AE292" s="226">
        <f t="shared" si="96"/>
        <v>0</v>
      </c>
      <c r="AF292" s="226">
        <f t="shared" si="96"/>
        <v>0</v>
      </c>
      <c r="AG292" s="226">
        <f t="shared" si="96"/>
        <v>0</v>
      </c>
      <c r="AH292" s="226">
        <f t="shared" si="96"/>
        <v>0</v>
      </c>
      <c r="AI292" s="226">
        <f t="shared" si="96"/>
        <v>0</v>
      </c>
      <c r="AJ292" s="226">
        <f t="shared" si="96"/>
        <v>0</v>
      </c>
      <c r="AK292" s="226">
        <f t="shared" si="96"/>
        <v>0</v>
      </c>
      <c r="AL292" s="226">
        <f t="shared" si="96"/>
        <v>0</v>
      </c>
      <c r="AM292" s="226">
        <f t="shared" si="96"/>
        <v>0</v>
      </c>
      <c r="AN292" s="226">
        <f t="shared" si="96"/>
        <v>0</v>
      </c>
      <c r="AO292" s="226">
        <f t="shared" si="96"/>
        <v>0</v>
      </c>
      <c r="AP292" s="226">
        <f t="shared" si="96"/>
        <v>0</v>
      </c>
    </row>
    <row r="293" spans="2:44" x14ac:dyDescent="0.25">
      <c r="C293" s="32"/>
      <c r="D293" s="32"/>
      <c r="E293" s="32"/>
      <c r="J293" s="173"/>
      <c r="K293" s="173"/>
      <c r="L293" s="173"/>
      <c r="M293" s="173"/>
      <c r="N293" s="173"/>
      <c r="O293" s="173"/>
      <c r="P293" s="173"/>
      <c r="Q293" s="173"/>
      <c r="R293" s="173"/>
      <c r="S293" s="173"/>
      <c r="T293" s="14"/>
      <c r="U293" s="14"/>
      <c r="V293" s="14"/>
      <c r="W293" s="14"/>
      <c r="X293" s="14"/>
      <c r="Y293" s="14"/>
      <c r="Z293" s="14"/>
      <c r="AA293" s="14"/>
      <c r="AB293" s="14"/>
      <c r="AC293" s="14"/>
      <c r="AD293" s="14"/>
      <c r="AE293" s="14"/>
      <c r="AF293" s="14"/>
      <c r="AG293" s="14"/>
      <c r="AH293" s="14"/>
      <c r="AI293" s="14"/>
      <c r="AJ293" s="14"/>
      <c r="AK293" s="14"/>
      <c r="AL293" s="14"/>
      <c r="AM293" s="14"/>
      <c r="AN293" s="14"/>
      <c r="AO293" s="14"/>
      <c r="AP293" s="14"/>
    </row>
    <row r="294" spans="2:44" x14ac:dyDescent="0.25">
      <c r="C294" s="32"/>
      <c r="D294" s="32"/>
      <c r="E294" t="s">
        <v>756</v>
      </c>
      <c r="G294" s="6" t="s">
        <v>56</v>
      </c>
      <c r="H294" s="26">
        <f>SUM(H281, H286, H292, H290)</f>
        <v>0</v>
      </c>
      <c r="J294" s="173"/>
      <c r="K294" s="173"/>
      <c r="L294" s="173"/>
      <c r="M294" s="173"/>
      <c r="N294" s="173"/>
      <c r="O294" s="173"/>
      <c r="P294" s="173"/>
      <c r="Q294" s="173"/>
      <c r="R294" s="173"/>
      <c r="S294" s="173"/>
      <c r="T294" s="14"/>
      <c r="U294" s="14"/>
      <c r="V294" s="14"/>
      <c r="W294" s="14"/>
      <c r="X294" s="14"/>
      <c r="Y294" s="14"/>
      <c r="Z294" s="14"/>
      <c r="AA294" s="14"/>
      <c r="AB294" s="14"/>
      <c r="AC294" s="14"/>
      <c r="AD294" s="14"/>
      <c r="AE294" s="14"/>
      <c r="AF294" s="14"/>
      <c r="AG294" s="14"/>
      <c r="AH294" s="14"/>
      <c r="AI294" s="14"/>
      <c r="AJ294" s="14"/>
      <c r="AK294" s="14"/>
      <c r="AL294" s="14"/>
      <c r="AM294" s="14"/>
      <c r="AN294" s="14"/>
      <c r="AO294" s="14"/>
      <c r="AP294" s="14"/>
    </row>
    <row r="295" spans="2:44" x14ac:dyDescent="0.25">
      <c r="C295" s="32"/>
      <c r="D295" s="32"/>
      <c r="E295" s="32"/>
      <c r="J295" s="63"/>
      <c r="K295" s="63"/>
      <c r="L295" s="63"/>
      <c r="M295" s="63"/>
      <c r="N295" s="63"/>
      <c r="O295" s="63"/>
      <c r="P295" s="63"/>
      <c r="Q295" s="63"/>
      <c r="R295" s="63"/>
      <c r="S295" s="63"/>
    </row>
    <row r="296" spans="2:44" x14ac:dyDescent="0.25">
      <c r="B296" s="30" t="s">
        <v>107</v>
      </c>
      <c r="C296" s="30"/>
      <c r="D296" s="30"/>
      <c r="E296" s="30"/>
      <c r="F296" s="30"/>
      <c r="G296" s="30"/>
      <c r="H296" s="30"/>
      <c r="I296" s="30"/>
      <c r="J296" s="30"/>
      <c r="K296" s="30"/>
      <c r="L296" s="30"/>
      <c r="M296" s="30"/>
      <c r="N296" s="30"/>
      <c r="O296" s="30"/>
      <c r="P296" s="30"/>
      <c r="Q296" s="30"/>
      <c r="R296" s="30"/>
      <c r="S296" s="30"/>
      <c r="T296" s="30"/>
      <c r="U296" s="30"/>
      <c r="V296" s="30"/>
      <c r="W296" s="30"/>
      <c r="X296" s="30"/>
      <c r="Y296" s="30"/>
      <c r="Z296" s="30"/>
      <c r="AA296" s="30"/>
      <c r="AB296" s="30"/>
      <c r="AC296" s="30"/>
      <c r="AD296" s="30"/>
      <c r="AE296" s="30"/>
      <c r="AF296" s="30"/>
      <c r="AG296" s="30"/>
      <c r="AH296" s="30"/>
      <c r="AI296" s="30"/>
      <c r="AJ296" s="30"/>
      <c r="AK296" s="30"/>
      <c r="AL296" s="30"/>
      <c r="AM296" s="30"/>
      <c r="AN296" s="30"/>
      <c r="AO296" s="30"/>
      <c r="AP296" s="30"/>
      <c r="AQ296" s="30"/>
      <c r="AR296" s="30"/>
    </row>
  </sheetData>
  <sheetProtection sheet="1" objects="1" formatCells="0" formatColumns="0" formatRows="0" sort="0" autoFilter="0"/>
  <conditionalFormatting sqref="H281">
    <cfRule type="cellIs" dxfId="32" priority="7" operator="greaterThan">
      <formula>0</formula>
    </cfRule>
  </conditionalFormatting>
  <conditionalFormatting sqref="H286">
    <cfRule type="cellIs" dxfId="31" priority="6" operator="greaterThan">
      <formula>0</formula>
    </cfRule>
  </conditionalFormatting>
  <conditionalFormatting sqref="H292:H294">
    <cfRule type="cellIs" dxfId="30" priority="5" operator="greaterThan">
      <formula>0</formula>
    </cfRule>
  </conditionalFormatting>
  <conditionalFormatting sqref="J292:AP294">
    <cfRule type="cellIs" dxfId="29" priority="4" operator="greaterThan">
      <formula>0</formula>
    </cfRule>
  </conditionalFormatting>
  <conditionalFormatting sqref="H290">
    <cfRule type="cellIs" dxfId="28" priority="3" operator="greaterThan">
      <formula>0</formula>
    </cfRule>
  </conditionalFormatting>
  <conditionalFormatting sqref="H294">
    <cfRule type="cellIs" dxfId="27" priority="2" operator="greaterThan">
      <formula>0</formula>
    </cfRule>
  </conditionalFormatting>
  <conditionalFormatting sqref="A4:XFD4">
    <cfRule type="expression" dxfId="26" priority="1">
      <formula>LEFT($A$4,1) &lt;&gt; "0"</formula>
    </cfRule>
  </conditionalFormatting>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tabColor theme="4" tint="0.59999389629810485"/>
    <pageSetUpPr fitToPage="1"/>
  </sheetPr>
  <dimension ref="A1:KJ50"/>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Service model charges</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H48 &amp; IF(H48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757</v>
      </c>
      <c r="D9"/>
      <c r="F9" s="29"/>
    </row>
    <row r="10" spans="1:44" x14ac:dyDescent="0.25">
      <c r="C10" s="29" t="s">
        <v>758</v>
      </c>
      <c r="D10"/>
      <c r="E10"/>
      <c r="F10" s="29"/>
    </row>
    <row r="11" spans="1:44" x14ac:dyDescent="0.25">
      <c r="C11" s="29" t="s">
        <v>759</v>
      </c>
    </row>
    <row r="13" spans="1:44" x14ac:dyDescent="0.25">
      <c r="B13" s="30" t="s">
        <v>760</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4" spans="1:44" x14ac:dyDescent="0.25">
      <c r="C14" s="91"/>
    </row>
    <row r="15" spans="1:44" x14ac:dyDescent="0.25">
      <c r="B15" s="2"/>
      <c r="C15" s="29" t="s">
        <v>761</v>
      </c>
    </row>
    <row r="16" spans="1:44" x14ac:dyDescent="0.25">
      <c r="C16" s="91"/>
    </row>
    <row r="17" spans="2:44" x14ac:dyDescent="0.25">
      <c r="C17" s="31" t="str">
        <f ca="1">INDEX('Version control'!$H$34:$H$56,MATCH($A$1,'Version control'!$F$34:$F$56,0),1)&amp;"-A: Inputs to service model charge calculation"</f>
        <v>Section 110-A: Inputs to service model charge calculation</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2:44" x14ac:dyDescent="0.25">
      <c r="C18" s="91"/>
    </row>
    <row r="19" spans="2:44" x14ac:dyDescent="0.25">
      <c r="D19"/>
      <c r="E19" s="28" t="s">
        <v>680</v>
      </c>
      <c r="F19" s="28"/>
      <c r="G19" s="28" t="s">
        <v>203</v>
      </c>
      <c r="H19" s="196">
        <f>'Unit costs'!$H$121</f>
        <v>4.8955586267809562E-2</v>
      </c>
      <c r="I19" s="3"/>
      <c r="K19" s="3"/>
      <c r="L19" s="3"/>
      <c r="M19" s="3"/>
      <c r="N19" s="3"/>
      <c r="O19" s="3"/>
      <c r="P19" s="3"/>
      <c r="Q19" s="3"/>
      <c r="R19" s="3"/>
      <c r="S19" s="3"/>
      <c r="T19" s="3"/>
      <c r="U19" s="3"/>
      <c r="W19" s="3"/>
    </row>
    <row r="20" spans="2:44" x14ac:dyDescent="0.25">
      <c r="C20" s="91"/>
      <c r="E20" t="s">
        <v>710</v>
      </c>
      <c r="G20" t="s">
        <v>417</v>
      </c>
      <c r="H20" s="123">
        <f>'Unit costs'!$H$122</f>
        <v>88381209.444313332</v>
      </c>
    </row>
    <row r="21" spans="2:44" x14ac:dyDescent="0.25">
      <c r="C21" s="91"/>
      <c r="E21" t="s">
        <v>762</v>
      </c>
      <c r="G21" t="s">
        <v>417</v>
      </c>
      <c r="H21" s="123">
        <f>'Unit costs'!$H$123</f>
        <v>2320396313.1949339</v>
      </c>
    </row>
    <row r="22" spans="2:44" x14ac:dyDescent="0.25">
      <c r="D22" s="91"/>
      <c r="E22"/>
    </row>
    <row r="23" spans="2:44" x14ac:dyDescent="0.25">
      <c r="D23"/>
      <c r="E23" s="32" t="s">
        <v>763</v>
      </c>
      <c r="H23" s="63"/>
      <c r="L23" s="63"/>
      <c r="M23" s="63"/>
      <c r="N23" s="63"/>
      <c r="O23" s="63"/>
      <c r="P23" s="63"/>
      <c r="Q23" s="63"/>
      <c r="R23" s="63"/>
      <c r="S23" s="63"/>
      <c r="T23" s="63"/>
      <c r="U23" s="63"/>
    </row>
    <row r="24" spans="2:44" x14ac:dyDescent="0.25">
      <c r="D24"/>
      <c r="E24" s="29" t="s">
        <v>764</v>
      </c>
      <c r="H24" s="63"/>
    </row>
    <row r="25" spans="2:44" x14ac:dyDescent="0.25">
      <c r="E25" s="91"/>
      <c r="F25" s="23" t="s">
        <v>436</v>
      </c>
      <c r="G25" s="23" t="s">
        <v>319</v>
      </c>
      <c r="H25" s="191"/>
      <c r="I25" s="23"/>
      <c r="J25" s="127">
        <f>'Inputs by customer type'!J71</f>
        <v>323.42983412755331</v>
      </c>
      <c r="K25" s="127">
        <f>'Inputs by customer type'!K71</f>
        <v>323.42983412755331</v>
      </c>
      <c r="L25" s="127">
        <f>'Inputs by customer type'!L71</f>
        <v>0</v>
      </c>
      <c r="M25" s="127">
        <f>'Inputs by customer type'!M71</f>
        <v>589.23</v>
      </c>
      <c r="N25" s="127">
        <f>'Inputs by customer type'!N71</f>
        <v>589.23</v>
      </c>
      <c r="O25" s="127">
        <f>'Inputs by customer type'!O71</f>
        <v>0</v>
      </c>
      <c r="P25" s="127">
        <f>'Inputs by customer type'!P71</f>
        <v>2305.65</v>
      </c>
      <c r="Q25" s="127">
        <f>'Inputs by customer type'!Q71</f>
        <v>4884.76</v>
      </c>
      <c r="R25" s="127">
        <f>'Inputs by customer type'!R71</f>
        <v>0</v>
      </c>
      <c r="S25" s="127">
        <f>'Inputs by customer type'!S71</f>
        <v>323.42983412755331</v>
      </c>
      <c r="T25" s="127">
        <f>'Inputs by customer type'!T71</f>
        <v>589.23</v>
      </c>
      <c r="U25" s="127">
        <f>'Inputs by customer type'!U71</f>
        <v>2573.337</v>
      </c>
      <c r="V25" s="127">
        <f>'Inputs by customer type'!V71</f>
        <v>4884.76</v>
      </c>
      <c r="W25" s="127">
        <f>'Inputs by customer type'!W71</f>
        <v>0</v>
      </c>
      <c r="X25" s="83"/>
      <c r="Y25" s="83"/>
      <c r="Z25" s="83"/>
      <c r="AA25" s="83"/>
      <c r="AB25" s="83"/>
      <c r="AC25" s="127">
        <f>'Inputs by customer type'!AC71</f>
        <v>0</v>
      </c>
      <c r="AD25" s="127">
        <f>'Inputs by customer type'!AD71</f>
        <v>0</v>
      </c>
      <c r="AE25" s="127">
        <f>'Inputs by customer type'!AE71</f>
        <v>0</v>
      </c>
      <c r="AF25" s="127">
        <f>'Inputs by customer type'!AF71</f>
        <v>0</v>
      </c>
      <c r="AG25" s="127">
        <f>'Inputs by customer type'!AG71</f>
        <v>0</v>
      </c>
      <c r="AH25" s="127">
        <f>'Inputs by customer type'!AH71</f>
        <v>0</v>
      </c>
      <c r="AI25" s="127">
        <f>'Inputs by customer type'!AI71</f>
        <v>0</v>
      </c>
      <c r="AJ25" s="127">
        <f>'Inputs by customer type'!AJ71</f>
        <v>0</v>
      </c>
      <c r="AK25" s="127">
        <f>'Inputs by customer type'!AK71</f>
        <v>0</v>
      </c>
      <c r="AL25" s="127">
        <f>'Inputs by customer type'!AL71</f>
        <v>0</v>
      </c>
      <c r="AM25" s="127">
        <f>'Inputs by customer type'!AM71</f>
        <v>0</v>
      </c>
      <c r="AN25" s="127">
        <f>'Inputs by customer type'!AN71</f>
        <v>0</v>
      </c>
      <c r="AO25" s="127">
        <f>'Inputs by customer type'!AO71</f>
        <v>0</v>
      </c>
      <c r="AP25" s="127">
        <f>'Inputs by customer type'!AP71</f>
        <v>0</v>
      </c>
    </row>
    <row r="26" spans="2:44" x14ac:dyDescent="0.25">
      <c r="E26" s="91"/>
      <c r="F26" t="s">
        <v>437</v>
      </c>
      <c r="G26" t="s">
        <v>319</v>
      </c>
      <c r="H26" s="51"/>
      <c r="J26" s="123">
        <f>'Inputs by customer type'!J72</f>
        <v>0</v>
      </c>
      <c r="K26" s="123">
        <f>'Inputs by customer type'!K72</f>
        <v>0</v>
      </c>
      <c r="L26" s="123">
        <f>'Inputs by customer type'!L72</f>
        <v>0</v>
      </c>
      <c r="M26" s="123">
        <f>'Inputs by customer type'!M72</f>
        <v>0</v>
      </c>
      <c r="N26" s="123">
        <f>'Inputs by customer type'!N72</f>
        <v>0</v>
      </c>
      <c r="O26" s="123">
        <f>'Inputs by customer type'!O72</f>
        <v>0</v>
      </c>
      <c r="P26" s="123">
        <f>'Inputs by customer type'!P72</f>
        <v>0</v>
      </c>
      <c r="Q26" s="123">
        <f>'Inputs by customer type'!Q72</f>
        <v>0</v>
      </c>
      <c r="R26" s="123">
        <f>'Inputs by customer type'!R72</f>
        <v>28627.97</v>
      </c>
      <c r="S26" s="123">
        <f>'Inputs by customer type'!S72</f>
        <v>0</v>
      </c>
      <c r="T26" s="123">
        <f>'Inputs by customer type'!T72</f>
        <v>0</v>
      </c>
      <c r="U26" s="123">
        <f>'Inputs by customer type'!U72</f>
        <v>0</v>
      </c>
      <c r="V26" s="123">
        <f>'Inputs by customer type'!V72</f>
        <v>0</v>
      </c>
      <c r="W26" s="123">
        <f>'Inputs by customer type'!W72</f>
        <v>28627.97</v>
      </c>
      <c r="X26" s="79"/>
      <c r="Y26" s="79"/>
      <c r="Z26" s="79"/>
      <c r="AA26" s="79"/>
      <c r="AB26" s="79"/>
      <c r="AC26" s="123">
        <f>'Inputs by customer type'!AC72</f>
        <v>0</v>
      </c>
      <c r="AD26" s="123">
        <f>'Inputs by customer type'!AD72</f>
        <v>0</v>
      </c>
      <c r="AE26" s="123">
        <f>'Inputs by customer type'!AE72</f>
        <v>0</v>
      </c>
      <c r="AF26" s="123">
        <f>'Inputs by customer type'!AF72</f>
        <v>0</v>
      </c>
      <c r="AG26" s="123">
        <f>'Inputs by customer type'!AG72</f>
        <v>0</v>
      </c>
      <c r="AH26" s="123">
        <f>'Inputs by customer type'!AH72</f>
        <v>0</v>
      </c>
      <c r="AI26" s="123">
        <f>'Inputs by customer type'!AI72</f>
        <v>0</v>
      </c>
      <c r="AJ26" s="123">
        <f>'Inputs by customer type'!AJ72</f>
        <v>0</v>
      </c>
      <c r="AK26" s="123">
        <f>'Inputs by customer type'!AK72</f>
        <v>0</v>
      </c>
      <c r="AL26" s="123">
        <f>'Inputs by customer type'!AL72</f>
        <v>0</v>
      </c>
      <c r="AM26" s="123">
        <f>'Inputs by customer type'!AM72</f>
        <v>39729.17</v>
      </c>
      <c r="AN26" s="123">
        <f>'Inputs by customer type'!AN72</f>
        <v>39729.17</v>
      </c>
      <c r="AO26" s="123">
        <f>'Inputs by customer type'!AO72</f>
        <v>39729.17</v>
      </c>
      <c r="AP26" s="123">
        <f>'Inputs by customer type'!AP72</f>
        <v>39729.17</v>
      </c>
    </row>
    <row r="27" spans="2:44" x14ac:dyDescent="0.25">
      <c r="E27" s="91"/>
      <c r="F27" s="37" t="s">
        <v>665</v>
      </c>
      <c r="G27" s="37" t="s">
        <v>322</v>
      </c>
      <c r="H27" s="37"/>
      <c r="I27" s="37"/>
      <c r="J27" s="81"/>
      <c r="K27" s="81"/>
      <c r="L27" s="81"/>
      <c r="M27" s="81"/>
      <c r="N27" s="81"/>
      <c r="O27" s="81"/>
      <c r="P27" s="81"/>
      <c r="Q27" s="81"/>
      <c r="R27" s="81"/>
      <c r="S27" s="81"/>
      <c r="T27" s="81"/>
      <c r="U27" s="81"/>
      <c r="V27" s="81"/>
      <c r="W27" s="81"/>
      <c r="X27" s="128">
        <f>'Inputs by customer type'!X74</f>
        <v>487.69514999999996</v>
      </c>
      <c r="Y27" s="128">
        <f>'Inputs by customer type'!Y74</f>
        <v>487.69514999999996</v>
      </c>
      <c r="Z27" s="128">
        <f>'Inputs by customer type'!Z74</f>
        <v>487.69514999999996</v>
      </c>
      <c r="AA27" s="128">
        <f>'Inputs by customer type'!AA74</f>
        <v>487.69514999999996</v>
      </c>
      <c r="AB27" s="128">
        <f>'Inputs by customer type'!AB74</f>
        <v>487.69514999999996</v>
      </c>
      <c r="AC27" s="81"/>
      <c r="AD27" s="81"/>
      <c r="AE27" s="81"/>
      <c r="AF27" s="81"/>
      <c r="AG27" s="81"/>
      <c r="AH27" s="81"/>
      <c r="AI27" s="81"/>
      <c r="AJ27" s="81"/>
      <c r="AK27" s="81"/>
      <c r="AL27" s="81"/>
      <c r="AM27" s="81"/>
      <c r="AN27" s="81"/>
      <c r="AO27" s="81"/>
      <c r="AP27" s="81"/>
    </row>
    <row r="28" spans="2:44" x14ac:dyDescent="0.25">
      <c r="D28" s="91"/>
      <c r="E28"/>
    </row>
    <row r="29" spans="2:44" x14ac:dyDescent="0.25">
      <c r="B29" s="30" t="s">
        <v>765</v>
      </c>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c r="AG29" s="30"/>
      <c r="AH29" s="30"/>
      <c r="AI29" s="30"/>
      <c r="AJ29" s="30"/>
      <c r="AK29" s="30"/>
      <c r="AL29" s="30"/>
      <c r="AM29" s="30"/>
      <c r="AN29" s="30"/>
      <c r="AO29" s="30"/>
      <c r="AP29" s="30"/>
      <c r="AQ29" s="30"/>
      <c r="AR29" s="30"/>
    </row>
    <row r="30" spans="2:44" x14ac:dyDescent="0.25">
      <c r="C30" s="91"/>
    </row>
    <row r="31" spans="2:44" x14ac:dyDescent="0.25">
      <c r="C31" s="29" t="s">
        <v>766</v>
      </c>
    </row>
    <row r="32" spans="2:44" x14ac:dyDescent="0.25">
      <c r="C32" s="91"/>
    </row>
    <row r="33" spans="2:44" x14ac:dyDescent="0.25">
      <c r="C33" s="31" t="str">
        <f ca="1">INDEX('Version control'!$H$34:$H$56,MATCH($A$1,'Version control'!$F$34:$F$56,0),1)&amp;"-B: Calculation of other operating expenditure per £ of notional asset value"</f>
        <v>Section 110-B: Calculation of other operating expenditure per £ of notional asset value</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4" spans="2:44" x14ac:dyDescent="0.25">
      <c r="C34" s="91"/>
    </row>
    <row r="35" spans="2:44" x14ac:dyDescent="0.25">
      <c r="D35"/>
      <c r="E35" t="s">
        <v>767</v>
      </c>
      <c r="G35" t="s">
        <v>335</v>
      </c>
      <c r="H35" s="101">
        <f>IF(H21 &lt;&gt; 0, H20  /H21, 0)</f>
        <v>3.808884238512774E-2</v>
      </c>
      <c r="I35" t="s">
        <v>190</v>
      </c>
      <c r="J35" s="63"/>
      <c r="K35" s="63"/>
      <c r="L35" s="63"/>
      <c r="M35" s="63"/>
      <c r="N35" s="63"/>
      <c r="O35" s="63"/>
      <c r="P35" s="63"/>
      <c r="Q35" s="63"/>
      <c r="R35" s="63"/>
      <c r="S35" s="63"/>
      <c r="T35" s="63"/>
      <c r="U35" s="63"/>
      <c r="V35" s="63"/>
      <c r="W35" s="63"/>
      <c r="X35" s="63"/>
      <c r="Y35" s="63"/>
      <c r="Z35" s="63"/>
      <c r="AA35" s="63"/>
      <c r="AB35" s="63"/>
      <c r="AC35" s="63"/>
      <c r="AD35" s="63"/>
      <c r="AE35" s="63"/>
      <c r="AF35" s="63"/>
      <c r="AG35" s="63"/>
      <c r="AH35" s="63"/>
      <c r="AI35" s="63"/>
      <c r="AJ35" s="63"/>
      <c r="AK35" s="63"/>
      <c r="AL35" s="63"/>
      <c r="AM35" s="63"/>
      <c r="AN35" s="63"/>
      <c r="AO35" s="63"/>
      <c r="AP35" s="63"/>
      <c r="AR35" t="s">
        <v>768</v>
      </c>
    </row>
    <row r="36" spans="2:44" x14ac:dyDescent="0.25">
      <c r="D36" s="91"/>
      <c r="E36"/>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44" x14ac:dyDescent="0.25">
      <c r="C37" s="31" t="str">
        <f ca="1">INDEX('Version control'!$H$34:$H$56,MATCH($A$1,'Version control'!$F$34:$F$56,0),1)&amp;"-C: Calculation of service model charges"</f>
        <v>Section 110-C: Calculation of service model charges</v>
      </c>
      <c r="D37" s="31"/>
      <c r="E37" s="31"/>
      <c r="F37" s="31"/>
      <c r="G37" s="31"/>
      <c r="H37" s="31"/>
      <c r="I37" s="31"/>
      <c r="J37" s="31"/>
      <c r="K37" s="31"/>
      <c r="L37" s="31"/>
      <c r="M37" s="31"/>
      <c r="N37" s="31"/>
      <c r="O37" s="31"/>
      <c r="P37" s="31"/>
      <c r="Q37" s="31"/>
      <c r="R37" s="31"/>
      <c r="S37" s="31"/>
      <c r="T37" s="31"/>
      <c r="U37" s="31"/>
      <c r="V37" s="31"/>
      <c r="W37" s="31"/>
      <c r="X37" s="31"/>
      <c r="Y37" s="31"/>
      <c r="Z37" s="31"/>
      <c r="AA37" s="31"/>
      <c r="AB37" s="31"/>
      <c r="AC37" s="31"/>
      <c r="AD37" s="31"/>
      <c r="AE37" s="31"/>
      <c r="AF37" s="31"/>
      <c r="AG37" s="31"/>
      <c r="AH37" s="31"/>
      <c r="AI37" s="31"/>
      <c r="AJ37" s="31"/>
      <c r="AK37" s="31"/>
      <c r="AL37" s="31"/>
      <c r="AM37" s="31"/>
      <c r="AN37" s="31"/>
      <c r="AO37" s="31"/>
      <c r="AP37" s="31"/>
      <c r="AQ37" s="31"/>
      <c r="AR37" s="31"/>
    </row>
    <row r="38" spans="2:44" x14ac:dyDescent="0.25">
      <c r="C38" s="91"/>
    </row>
    <row r="39" spans="2:44" x14ac:dyDescent="0.25">
      <c r="D39"/>
      <c r="E39" s="29" t="s">
        <v>769</v>
      </c>
      <c r="H39" s="63"/>
      <c r="J39" s="63"/>
      <c r="K39" s="63"/>
      <c r="L39" s="63"/>
      <c r="M39" s="63"/>
      <c r="N39" s="63"/>
      <c r="O39" s="63"/>
      <c r="P39" s="63"/>
      <c r="Q39" s="63"/>
      <c r="R39" s="63"/>
      <c r="S39" s="63"/>
      <c r="T39" s="63"/>
      <c r="U39" s="63"/>
      <c r="V39" s="63"/>
      <c r="W39" s="63"/>
      <c r="X39" s="63"/>
      <c r="Y39" s="63"/>
      <c r="Z39" s="63"/>
      <c r="AA39" s="63"/>
      <c r="AB39" s="63"/>
      <c r="AC39" s="63"/>
      <c r="AD39" s="63"/>
      <c r="AE39" s="63"/>
      <c r="AF39" s="63"/>
      <c r="AG39" s="63"/>
      <c r="AH39" s="63"/>
      <c r="AI39" s="63"/>
      <c r="AJ39" s="63"/>
      <c r="AK39" s="63"/>
      <c r="AL39" s="63"/>
      <c r="AM39" s="63"/>
      <c r="AN39" s="63"/>
      <c r="AO39" s="63"/>
      <c r="AP39" s="63"/>
    </row>
    <row r="40" spans="2:44" x14ac:dyDescent="0.25">
      <c r="D40"/>
      <c r="E40" s="29"/>
      <c r="H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44" x14ac:dyDescent="0.25">
      <c r="D41"/>
      <c r="E41" s="32" t="s">
        <v>770</v>
      </c>
      <c r="H41" s="63"/>
      <c r="I41" t="s">
        <v>190</v>
      </c>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c r="AR41" t="s">
        <v>771</v>
      </c>
    </row>
    <row r="42" spans="2:44" x14ac:dyDescent="0.25">
      <c r="D42"/>
      <c r="E42" s="91"/>
      <c r="F42" s="23" t="s">
        <v>436</v>
      </c>
      <c r="G42" s="23" t="s">
        <v>328</v>
      </c>
      <c r="H42" s="191"/>
      <c r="I42" s="23"/>
      <c r="J42" s="104">
        <f t="shared" ref="J42:AP42" si="0">J25 * $H$35 / days_in_year * hundred</f>
        <v>3.3750871163650373</v>
      </c>
      <c r="K42" s="104">
        <f t="shared" si="0"/>
        <v>3.3750871163650373</v>
      </c>
      <c r="L42" s="104">
        <f t="shared" si="0"/>
        <v>0</v>
      </c>
      <c r="M42" s="104">
        <f t="shared" si="0"/>
        <v>6.1487913968736496</v>
      </c>
      <c r="N42" s="104">
        <f t="shared" si="0"/>
        <v>6.1487913968736496</v>
      </c>
      <c r="O42" s="104">
        <f t="shared" si="0"/>
        <v>0</v>
      </c>
      <c r="P42" s="104">
        <f t="shared" si="0"/>
        <v>24.060147793224598</v>
      </c>
      <c r="Q42" s="104">
        <f t="shared" si="0"/>
        <v>50.973932528541532</v>
      </c>
      <c r="R42" s="104">
        <f t="shared" si="0"/>
        <v>0</v>
      </c>
      <c r="S42" s="104">
        <f t="shared" si="0"/>
        <v>3.3750871163650373</v>
      </c>
      <c r="T42" s="104">
        <f t="shared" si="0"/>
        <v>6.1487913968736496</v>
      </c>
      <c r="U42" s="104">
        <f t="shared" si="0"/>
        <v>26.853541752552729</v>
      </c>
      <c r="V42" s="104">
        <f t="shared" si="0"/>
        <v>50.973932528541532</v>
      </c>
      <c r="W42" s="104">
        <f t="shared" si="0"/>
        <v>0</v>
      </c>
      <c r="X42" s="104">
        <f t="shared" si="0"/>
        <v>0</v>
      </c>
      <c r="Y42" s="104">
        <f t="shared" si="0"/>
        <v>0</v>
      </c>
      <c r="Z42" s="104">
        <f t="shared" si="0"/>
        <v>0</v>
      </c>
      <c r="AA42" s="104">
        <f t="shared" si="0"/>
        <v>0</v>
      </c>
      <c r="AB42" s="104">
        <f t="shared" si="0"/>
        <v>0</v>
      </c>
      <c r="AC42" s="104">
        <f t="shared" si="0"/>
        <v>0</v>
      </c>
      <c r="AD42" s="104">
        <f t="shared" si="0"/>
        <v>0</v>
      </c>
      <c r="AE42" s="104">
        <f t="shared" si="0"/>
        <v>0</v>
      </c>
      <c r="AF42" s="104">
        <f t="shared" si="0"/>
        <v>0</v>
      </c>
      <c r="AG42" s="104">
        <f t="shared" si="0"/>
        <v>0</v>
      </c>
      <c r="AH42" s="104">
        <f t="shared" si="0"/>
        <v>0</v>
      </c>
      <c r="AI42" s="104">
        <f t="shared" si="0"/>
        <v>0</v>
      </c>
      <c r="AJ42" s="104">
        <f t="shared" si="0"/>
        <v>0</v>
      </c>
      <c r="AK42" s="104">
        <f t="shared" si="0"/>
        <v>0</v>
      </c>
      <c r="AL42" s="104">
        <f t="shared" si="0"/>
        <v>0</v>
      </c>
      <c r="AM42" s="104">
        <f t="shared" si="0"/>
        <v>0</v>
      </c>
      <c r="AN42" s="104">
        <f t="shared" si="0"/>
        <v>0</v>
      </c>
      <c r="AO42" s="104">
        <f t="shared" si="0"/>
        <v>0</v>
      </c>
      <c r="AP42" s="104">
        <f t="shared" si="0"/>
        <v>0</v>
      </c>
    </row>
    <row r="43" spans="2:44" x14ac:dyDescent="0.25">
      <c r="D43"/>
      <c r="E43" s="91"/>
      <c r="F43" t="s">
        <v>437</v>
      </c>
      <c r="G43" t="s">
        <v>328</v>
      </c>
      <c r="H43" s="51"/>
      <c r="J43" s="124">
        <f t="shared" ref="J43:AP43" si="1">J26 * $H$35 / days_in_year * hundred</f>
        <v>0</v>
      </c>
      <c r="K43" s="124">
        <f t="shared" si="1"/>
        <v>0</v>
      </c>
      <c r="L43" s="124">
        <f t="shared" si="1"/>
        <v>0</v>
      </c>
      <c r="M43" s="124">
        <f t="shared" si="1"/>
        <v>0</v>
      </c>
      <c r="N43" s="124">
        <f t="shared" si="1"/>
        <v>0</v>
      </c>
      <c r="O43" s="124">
        <f t="shared" si="1"/>
        <v>0</v>
      </c>
      <c r="P43" s="124">
        <f t="shared" si="1"/>
        <v>0</v>
      </c>
      <c r="Q43" s="124">
        <f t="shared" si="1"/>
        <v>0</v>
      </c>
      <c r="R43" s="124">
        <f t="shared" si="1"/>
        <v>298.7414348318261</v>
      </c>
      <c r="S43" s="124">
        <f t="shared" si="1"/>
        <v>0</v>
      </c>
      <c r="T43" s="124">
        <f t="shared" si="1"/>
        <v>0</v>
      </c>
      <c r="U43" s="124">
        <f t="shared" si="1"/>
        <v>0</v>
      </c>
      <c r="V43" s="124">
        <f t="shared" si="1"/>
        <v>0</v>
      </c>
      <c r="W43" s="124">
        <f t="shared" si="1"/>
        <v>298.7414348318261</v>
      </c>
      <c r="X43" s="124">
        <f t="shared" si="1"/>
        <v>0</v>
      </c>
      <c r="Y43" s="124">
        <f t="shared" si="1"/>
        <v>0</v>
      </c>
      <c r="Z43" s="124">
        <f t="shared" si="1"/>
        <v>0</v>
      </c>
      <c r="AA43" s="124">
        <f t="shared" si="1"/>
        <v>0</v>
      </c>
      <c r="AB43" s="124">
        <f t="shared" si="1"/>
        <v>0</v>
      </c>
      <c r="AC43" s="124">
        <f t="shared" si="1"/>
        <v>0</v>
      </c>
      <c r="AD43" s="124">
        <f t="shared" si="1"/>
        <v>0</v>
      </c>
      <c r="AE43" s="124">
        <f t="shared" si="1"/>
        <v>0</v>
      </c>
      <c r="AF43" s="124">
        <f t="shared" si="1"/>
        <v>0</v>
      </c>
      <c r="AG43" s="124">
        <f t="shared" si="1"/>
        <v>0</v>
      </c>
      <c r="AH43" s="124">
        <f t="shared" si="1"/>
        <v>0</v>
      </c>
      <c r="AI43" s="124">
        <f t="shared" si="1"/>
        <v>0</v>
      </c>
      <c r="AJ43" s="124">
        <f t="shared" si="1"/>
        <v>0</v>
      </c>
      <c r="AK43" s="124">
        <f t="shared" si="1"/>
        <v>0</v>
      </c>
      <c r="AL43" s="124">
        <f t="shared" si="1"/>
        <v>0</v>
      </c>
      <c r="AM43" s="124">
        <f t="shared" si="1"/>
        <v>414.58577923888919</v>
      </c>
      <c r="AN43" s="124">
        <f t="shared" si="1"/>
        <v>414.58577923888919</v>
      </c>
      <c r="AO43" s="124">
        <f t="shared" si="1"/>
        <v>414.58577923888919</v>
      </c>
      <c r="AP43" s="124">
        <f t="shared" si="1"/>
        <v>414.58577923888919</v>
      </c>
    </row>
    <row r="44" spans="2:44" x14ac:dyDescent="0.25">
      <c r="D44"/>
      <c r="E44" s="91"/>
      <c r="F44" s="37" t="s">
        <v>665</v>
      </c>
      <c r="G44" s="37" t="s">
        <v>327</v>
      </c>
      <c r="H44" s="308"/>
      <c r="I44" s="308"/>
      <c r="J44" s="309"/>
      <c r="K44" s="309"/>
      <c r="L44" s="309"/>
      <c r="M44" s="309"/>
      <c r="N44" s="309"/>
      <c r="O44" s="309"/>
      <c r="P44" s="309"/>
      <c r="Q44" s="309"/>
      <c r="R44" s="309"/>
      <c r="S44" s="309"/>
      <c r="T44" s="309"/>
      <c r="U44" s="309"/>
      <c r="V44" s="309"/>
      <c r="W44" s="309"/>
      <c r="X44" s="317">
        <f>X27*$H$35/ten</f>
        <v>1.8575743700341227</v>
      </c>
      <c r="Y44" s="317">
        <f>Y27*$H$35/ten</f>
        <v>1.8575743700341227</v>
      </c>
      <c r="Z44" s="317">
        <f>Z27*$H$35/ten</f>
        <v>1.8575743700341227</v>
      </c>
      <c r="AA44" s="317">
        <f>AA27*$H$35/ten</f>
        <v>1.8575743700341227</v>
      </c>
      <c r="AB44" s="317">
        <f>AB27*$H$35/ten</f>
        <v>1.8575743700341227</v>
      </c>
      <c r="AC44" s="309"/>
      <c r="AD44" s="309"/>
      <c r="AE44" s="309"/>
      <c r="AF44" s="309"/>
      <c r="AG44" s="309"/>
      <c r="AH44" s="309"/>
      <c r="AI44" s="309"/>
      <c r="AJ44" s="309"/>
      <c r="AK44" s="309"/>
      <c r="AL44" s="309"/>
      <c r="AM44" s="309"/>
      <c r="AN44" s="309"/>
      <c r="AO44" s="309"/>
      <c r="AP44" s="309"/>
      <c r="AQ44" s="304"/>
      <c r="AR44" s="304"/>
    </row>
    <row r="45" spans="2:44" x14ac:dyDescent="0.25">
      <c r="D45" s="91"/>
      <c r="E45"/>
    </row>
    <row r="46" spans="2:44" x14ac:dyDescent="0.25">
      <c r="B46" s="30" t="s">
        <v>280</v>
      </c>
      <c r="C46" s="30"/>
      <c r="D46" s="30"/>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row>
    <row r="48" spans="2:44" x14ac:dyDescent="0.25">
      <c r="E48" t="s">
        <v>281</v>
      </c>
      <c r="G48" s="6" t="s">
        <v>56</v>
      </c>
      <c r="H48" s="26">
        <f t="array" ref="H48">SUM(IF(ISERROR(H19:AP45), 1))</f>
        <v>0</v>
      </c>
    </row>
    <row r="50" spans="2:44" x14ac:dyDescent="0.25">
      <c r="B50" s="107" t="s">
        <v>107</v>
      </c>
      <c r="C50" s="107"/>
      <c r="D50" s="115"/>
      <c r="E50" s="115"/>
      <c r="F50" s="107"/>
      <c r="G50" s="107"/>
      <c r="H50" s="107"/>
      <c r="I50" s="107"/>
      <c r="J50" s="107"/>
      <c r="K50" s="107"/>
      <c r="L50" s="107"/>
      <c r="M50" s="107"/>
      <c r="N50" s="107"/>
      <c r="O50" s="107"/>
      <c r="P50" s="107"/>
      <c r="Q50" s="107"/>
      <c r="R50" s="107"/>
      <c r="S50" s="107"/>
      <c r="T50" s="107"/>
      <c r="U50" s="107"/>
      <c r="V50" s="107"/>
      <c r="W50" s="107"/>
      <c r="X50" s="107"/>
      <c r="Y50" s="107"/>
      <c r="Z50" s="107"/>
      <c r="AA50" s="107"/>
      <c r="AB50" s="107"/>
      <c r="AC50" s="107"/>
      <c r="AD50" s="107"/>
      <c r="AE50" s="107"/>
      <c r="AF50" s="107"/>
      <c r="AG50" s="107"/>
      <c r="AH50" s="107"/>
      <c r="AI50" s="107"/>
      <c r="AJ50" s="107"/>
      <c r="AK50" s="107"/>
      <c r="AL50" s="107"/>
      <c r="AM50" s="107"/>
      <c r="AN50" s="107"/>
      <c r="AO50" s="107"/>
      <c r="AP50" s="107"/>
      <c r="AQ50" s="108"/>
      <c r="AR50" s="108"/>
    </row>
  </sheetData>
  <sheetProtection sheet="1" objects="1" formatCells="0" formatColumns="0" formatRows="0" sort="0" autoFilter="0"/>
  <conditionalFormatting sqref="H48">
    <cfRule type="cellIs" dxfId="25" priority="2" operator="greaterThan">
      <formula>0</formula>
    </cfRule>
  </conditionalFormatting>
  <conditionalFormatting sqref="A4:XFD4">
    <cfRule type="expression" dxfId="24"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6" tint="0.39997558519241921"/>
  </sheetPr>
  <dimension ref="A1:M74"/>
  <sheetViews>
    <sheetView showGridLines="0" zoomScale="80" zoomScaleNormal="80" workbookViewId="0">
      <pane ySplit="3" topLeftCell="A4" activePane="bottomLeft" state="frozen"/>
      <selection pane="bottomLeft" activeCell="A4" sqref="A4"/>
    </sheetView>
  </sheetViews>
  <sheetFormatPr defaultColWidth="0" defaultRowHeight="15" x14ac:dyDescent="0.25"/>
  <cols>
    <col min="1" max="5" width="2.7109375" style="6" customWidth="1"/>
    <col min="6" max="6" width="20.7109375" style="6" customWidth="1"/>
    <col min="7" max="7" width="22.7109375" style="6" customWidth="1"/>
    <col min="8" max="8" width="24.28515625" style="6" customWidth="1"/>
    <col min="9" max="9" width="30.7109375" style="6" customWidth="1"/>
    <col min="10" max="10" width="19.42578125" style="6" bestFit="1" customWidth="1"/>
    <col min="11" max="11" width="10.5703125" style="6" customWidth="1"/>
    <col min="12" max="12" width="82.5703125" style="6" customWidth="1"/>
    <col min="13" max="13" width="2.5703125" style="6" customWidth="1"/>
    <col min="14" max="16384" width="9.140625" style="6" hidden="1"/>
  </cols>
  <sheetData>
    <row r="1" spans="1:13" s="1" customFormat="1" x14ac:dyDescent="0.25">
      <c r="A1" s="1" t="str">
        <f ca="1">MID(CELL("filename",A1),FIND("]",CELL("filename",A1))+1,255)</f>
        <v>Version control</v>
      </c>
    </row>
    <row r="2" spans="1:13" s="1" customFormat="1" x14ac:dyDescent="0.25">
      <c r="A2" s="1" t="str">
        <f>Cover!D21&amp;" - "&amp;Cover!D23</f>
        <v>SHEPD  - Final</v>
      </c>
    </row>
    <row r="3" spans="1:13" s="5" customFormat="1" x14ac:dyDescent="0.25">
      <c r="A3" s="5" t="str">
        <f>Cover!D2&amp;" - "&amp;Cover!D8&amp;" v"&amp;Cover!D10&amp;" - "&amp;Cover!D19</f>
        <v>CDCM charging model - Release for charge setting v3 - 2020/21</v>
      </c>
    </row>
    <row r="4" spans="1:13" customFormat="1" x14ac:dyDescent="0.25">
      <c r="A4" s="12" t="str">
        <f>J57 &amp; IF(J57 = 1, " issue", " issues") &amp;" identified in checks on this sheet"</f>
        <v>0 issues identified in checks on this sheet</v>
      </c>
      <c r="B4" s="13"/>
      <c r="C4" s="13"/>
      <c r="D4" s="13"/>
      <c r="E4" s="13"/>
      <c r="F4" s="13"/>
      <c r="G4" s="13"/>
      <c r="H4" s="14"/>
      <c r="I4" s="14"/>
      <c r="J4" s="13"/>
    </row>
    <row r="5" spans="1:13" x14ac:dyDescent="0.25">
      <c r="A5" s="40"/>
      <c r="B5" s="41" t="s">
        <v>33</v>
      </c>
      <c r="C5" s="41"/>
      <c r="D5" s="41"/>
      <c r="E5" s="41"/>
      <c r="F5" s="41"/>
      <c r="G5" s="42"/>
      <c r="H5" s="42"/>
      <c r="I5" s="42"/>
      <c r="J5" s="42"/>
      <c r="K5" s="42"/>
      <c r="L5" s="41"/>
    </row>
    <row r="6" spans="1:13" x14ac:dyDescent="0.25">
      <c r="A6" s="40"/>
      <c r="B6" s="40"/>
      <c r="C6" s="40"/>
      <c r="D6" s="40"/>
      <c r="E6" s="40"/>
      <c r="F6" s="40"/>
      <c r="G6" s="43"/>
      <c r="H6" s="43"/>
      <c r="I6" s="43"/>
      <c r="J6" s="43"/>
      <c r="K6" s="43"/>
      <c r="L6" s="40"/>
    </row>
    <row r="7" spans="1:13" x14ac:dyDescent="0.25">
      <c r="A7" s="40"/>
      <c r="B7" s="40"/>
      <c r="C7" s="40"/>
      <c r="D7" s="40"/>
      <c r="F7" s="40" t="s">
        <v>34</v>
      </c>
      <c r="H7" s="10">
        <f>LOOKUP(2,1/(F20:F30&lt;&gt;""),F20:F30)</f>
        <v>43389</v>
      </c>
      <c r="I7" s="44"/>
      <c r="J7" s="44"/>
      <c r="K7" s="40"/>
      <c r="L7" s="40"/>
    </row>
    <row r="8" spans="1:13" x14ac:dyDescent="0.25">
      <c r="A8" s="40"/>
      <c r="B8" s="40"/>
      <c r="C8" s="40"/>
      <c r="D8" s="40"/>
      <c r="F8" s="40"/>
      <c r="H8" s="40"/>
      <c r="I8" s="43"/>
      <c r="J8" s="43"/>
      <c r="K8" s="40"/>
      <c r="L8" s="40"/>
    </row>
    <row r="9" spans="1:13" x14ac:dyDescent="0.25">
      <c r="A9" s="40"/>
      <c r="B9" s="40"/>
      <c r="C9" s="40"/>
      <c r="D9" s="40"/>
      <c r="F9" s="40" t="s">
        <v>35</v>
      </c>
      <c r="H9" s="45" t="str">
        <f>LOOKUP(2,1/(G20:G30&lt;&gt;""),G20:G30)</f>
        <v>Release for charge setting</v>
      </c>
      <c r="I9" s="46"/>
      <c r="J9" s="46"/>
      <c r="K9" s="40"/>
      <c r="L9" s="40"/>
    </row>
    <row r="10" spans="1:13" x14ac:dyDescent="0.25">
      <c r="A10" s="40"/>
      <c r="B10" s="40"/>
      <c r="C10" s="40"/>
      <c r="D10" s="40"/>
      <c r="F10" s="40"/>
      <c r="H10" s="40"/>
      <c r="I10" s="40"/>
      <c r="J10" s="40"/>
      <c r="K10" s="40"/>
      <c r="L10" s="40"/>
    </row>
    <row r="11" spans="1:13" x14ac:dyDescent="0.25">
      <c r="A11" s="40"/>
      <c r="B11" s="40"/>
      <c r="C11" s="40"/>
      <c r="D11" s="40"/>
      <c r="F11" s="342" t="s">
        <v>1120</v>
      </c>
      <c r="H11" s="45">
        <f>LOOKUP(2,1/(H20:H30&lt;&gt;""),H20:H30)</f>
        <v>3</v>
      </c>
      <c r="I11" s="46"/>
      <c r="J11" s="46"/>
      <c r="K11" s="40"/>
      <c r="L11" s="40"/>
    </row>
    <row r="12" spans="1:13" x14ac:dyDescent="0.25">
      <c r="A12" s="40"/>
      <c r="B12" s="40"/>
      <c r="C12" s="40"/>
      <c r="D12" s="40"/>
      <c r="F12" s="40"/>
      <c r="H12" s="40"/>
      <c r="I12" s="43"/>
      <c r="J12" s="43"/>
      <c r="K12" s="40"/>
      <c r="L12" s="40"/>
    </row>
    <row r="13" spans="1:13" customFormat="1" x14ac:dyDescent="0.25">
      <c r="A13" s="9"/>
      <c r="B13" s="9"/>
      <c r="C13" s="9"/>
      <c r="D13" s="9"/>
      <c r="E13" s="6"/>
      <c r="F13" s="40" t="s">
        <v>36</v>
      </c>
      <c r="H13" s="10" t="str">
        <f>LOOKUP(2,1/(I20:I30&lt;&gt;""),I20:I30)</f>
        <v>01 April 2020 DCUSA Charging Methodologies Pre-Release (released 09/10/2018)</v>
      </c>
      <c r="I13" s="11"/>
      <c r="J13" s="11"/>
      <c r="K13" s="11"/>
      <c r="L13" s="9"/>
      <c r="M13" s="9"/>
    </row>
    <row r="14" spans="1:13" customFormat="1" x14ac:dyDescent="0.25">
      <c r="A14" s="9"/>
      <c r="B14" s="9"/>
      <c r="C14" s="9"/>
      <c r="D14" s="9"/>
      <c r="E14" s="6"/>
      <c r="F14" s="9"/>
      <c r="I14" s="11"/>
      <c r="J14" s="11"/>
      <c r="K14" s="11"/>
      <c r="L14" s="9"/>
      <c r="M14" s="9"/>
    </row>
    <row r="15" spans="1:13" x14ac:dyDescent="0.25">
      <c r="A15" s="40"/>
      <c r="B15" s="40"/>
      <c r="C15" s="40"/>
      <c r="D15" s="40"/>
      <c r="F15" s="40" t="s">
        <v>37</v>
      </c>
      <c r="H15" s="45" t="str">
        <f>LOOKUP(2,1/(J20:J30&lt;&gt;""),J20:J30)</f>
        <v>Schedule 16</v>
      </c>
      <c r="I15" s="43"/>
      <c r="J15" s="43"/>
      <c r="K15" s="40"/>
      <c r="L15" s="40"/>
    </row>
    <row r="16" spans="1:13" x14ac:dyDescent="0.25">
      <c r="A16" s="40"/>
      <c r="B16" s="40"/>
      <c r="C16" s="40"/>
      <c r="D16" s="40"/>
      <c r="E16" s="40"/>
      <c r="F16" s="40"/>
      <c r="H16" s="43"/>
      <c r="I16" s="43"/>
      <c r="J16" s="43"/>
      <c r="K16" s="40"/>
      <c r="L16" s="40"/>
    </row>
    <row r="17" spans="1:12" x14ac:dyDescent="0.25">
      <c r="A17" s="40"/>
      <c r="B17" s="41" t="s">
        <v>38</v>
      </c>
      <c r="C17" s="41"/>
      <c r="D17" s="41"/>
      <c r="E17" s="41"/>
      <c r="F17" s="41"/>
      <c r="G17" s="42"/>
      <c r="H17" s="42"/>
      <c r="I17" s="42"/>
      <c r="J17" s="42"/>
      <c r="K17" s="42"/>
      <c r="L17" s="41"/>
    </row>
    <row r="18" spans="1:12" x14ac:dyDescent="0.25">
      <c r="A18" s="40"/>
      <c r="B18" s="40"/>
      <c r="C18" s="40"/>
      <c r="D18" s="40"/>
      <c r="E18" s="40"/>
      <c r="F18" s="40"/>
      <c r="G18" s="43"/>
      <c r="H18" s="40"/>
      <c r="I18" s="40"/>
      <c r="J18" s="40"/>
      <c r="K18" s="40"/>
      <c r="L18" s="40"/>
    </row>
    <row r="19" spans="1:12" x14ac:dyDescent="0.25">
      <c r="A19" s="40"/>
      <c r="B19" s="40"/>
      <c r="C19" s="40"/>
      <c r="D19" s="40"/>
      <c r="E19" s="40"/>
      <c r="F19" s="47" t="s">
        <v>39</v>
      </c>
      <c r="G19" s="48" t="s">
        <v>40</v>
      </c>
      <c r="H19" s="47" t="s">
        <v>1115</v>
      </c>
      <c r="I19" s="48" t="s">
        <v>41</v>
      </c>
      <c r="J19" s="48" t="s">
        <v>42</v>
      </c>
      <c r="K19" s="48" t="s">
        <v>43</v>
      </c>
      <c r="L19" s="48" t="s">
        <v>44</v>
      </c>
    </row>
    <row r="20" spans="1:12" ht="30" x14ac:dyDescent="0.25">
      <c r="A20" s="40"/>
      <c r="B20" s="40"/>
      <c r="C20" s="40"/>
      <c r="D20" s="40"/>
      <c r="E20" s="40"/>
      <c r="F20" s="280">
        <v>43250</v>
      </c>
      <c r="G20" s="276" t="s">
        <v>45</v>
      </c>
      <c r="H20" s="276">
        <v>1</v>
      </c>
      <c r="I20" s="276" t="s">
        <v>46</v>
      </c>
      <c r="J20" s="276" t="s">
        <v>47</v>
      </c>
      <c r="K20" s="276" t="s">
        <v>48</v>
      </c>
      <c r="L20" s="276" t="s">
        <v>49</v>
      </c>
    </row>
    <row r="21" spans="1:12" ht="30" x14ac:dyDescent="0.25">
      <c r="A21" s="40"/>
      <c r="B21" s="40"/>
      <c r="C21" s="40"/>
      <c r="D21" s="40"/>
      <c r="E21" s="40"/>
      <c r="F21" s="280">
        <v>43301</v>
      </c>
      <c r="G21" s="276" t="s">
        <v>45</v>
      </c>
      <c r="H21" s="276">
        <v>2</v>
      </c>
      <c r="I21" s="276" t="s">
        <v>50</v>
      </c>
      <c r="J21" s="276" t="s">
        <v>47</v>
      </c>
      <c r="K21" s="276" t="s">
        <v>48</v>
      </c>
      <c r="L21" s="276" t="s">
        <v>51</v>
      </c>
    </row>
    <row r="22" spans="1:12" ht="45" x14ac:dyDescent="0.25">
      <c r="A22" s="40"/>
      <c r="B22" s="40"/>
      <c r="C22" s="40"/>
      <c r="D22" s="40"/>
      <c r="E22" s="40"/>
      <c r="F22" s="280">
        <v>43389</v>
      </c>
      <c r="G22" s="276" t="s">
        <v>1116</v>
      </c>
      <c r="H22" s="276">
        <v>3</v>
      </c>
      <c r="I22" s="340" t="s">
        <v>1117</v>
      </c>
      <c r="J22" s="340" t="s">
        <v>47</v>
      </c>
      <c r="K22" s="340" t="s">
        <v>48</v>
      </c>
      <c r="L22" s="340" t="s">
        <v>1121</v>
      </c>
    </row>
    <row r="23" spans="1:12" x14ac:dyDescent="0.25">
      <c r="A23" s="40"/>
      <c r="B23" s="40"/>
      <c r="C23" s="40"/>
      <c r="D23" s="40"/>
      <c r="E23" s="40"/>
      <c r="F23" s="280"/>
      <c r="G23" s="276"/>
      <c r="H23" s="276"/>
      <c r="I23" s="276"/>
      <c r="J23" s="276"/>
      <c r="K23" s="276"/>
      <c r="L23" s="276"/>
    </row>
    <row r="24" spans="1:12" x14ac:dyDescent="0.25">
      <c r="A24" s="40"/>
      <c r="B24" s="40"/>
      <c r="C24" s="40"/>
      <c r="D24" s="40"/>
      <c r="E24" s="40"/>
      <c r="F24" s="280"/>
      <c r="G24" s="276"/>
      <c r="H24" s="276"/>
      <c r="I24" s="276"/>
      <c r="J24" s="276"/>
      <c r="K24" s="276"/>
      <c r="L24" s="276"/>
    </row>
    <row r="25" spans="1:12" x14ac:dyDescent="0.25">
      <c r="A25" s="40"/>
      <c r="B25" s="40"/>
      <c r="C25" s="40"/>
      <c r="D25" s="40"/>
      <c r="E25" s="40"/>
      <c r="F25" s="280"/>
      <c r="G25" s="276"/>
      <c r="H25" s="276"/>
      <c r="I25" s="276"/>
      <c r="J25" s="276"/>
      <c r="K25" s="276"/>
      <c r="L25" s="276"/>
    </row>
    <row r="26" spans="1:12" x14ac:dyDescent="0.25">
      <c r="A26" s="40"/>
      <c r="B26" s="40"/>
      <c r="C26" s="40"/>
      <c r="D26" s="40"/>
      <c r="E26" s="40"/>
      <c r="F26" s="280"/>
      <c r="G26" s="276"/>
      <c r="H26" s="276"/>
      <c r="I26" s="276"/>
      <c r="J26" s="276"/>
      <c r="K26" s="276"/>
      <c r="L26" s="276"/>
    </row>
    <row r="27" spans="1:12" x14ac:dyDescent="0.25">
      <c r="A27" s="40"/>
      <c r="B27" s="40"/>
      <c r="C27" s="40"/>
      <c r="D27" s="40"/>
      <c r="E27" s="40"/>
      <c r="F27" s="280"/>
      <c r="G27" s="276"/>
      <c r="H27" s="276"/>
      <c r="I27" s="276"/>
      <c r="J27" s="276"/>
      <c r="K27" s="276"/>
      <c r="L27" s="276"/>
    </row>
    <row r="28" spans="1:12" x14ac:dyDescent="0.25">
      <c r="A28" s="40"/>
      <c r="B28" s="40"/>
      <c r="C28" s="40"/>
      <c r="D28" s="40"/>
      <c r="E28" s="40"/>
      <c r="F28" s="280"/>
      <c r="G28" s="276"/>
      <c r="H28" s="276"/>
      <c r="I28" s="276"/>
      <c r="J28" s="276"/>
      <c r="K28" s="276"/>
      <c r="L28" s="276"/>
    </row>
    <row r="29" spans="1:12" x14ac:dyDescent="0.25">
      <c r="A29" s="40"/>
      <c r="B29" s="40"/>
      <c r="C29" s="40"/>
      <c r="D29" s="40"/>
      <c r="E29" s="40"/>
      <c r="F29" s="280"/>
      <c r="G29" s="276"/>
      <c r="H29" s="276"/>
      <c r="I29" s="276"/>
      <c r="J29" s="276"/>
      <c r="K29" s="276"/>
      <c r="L29" s="276"/>
    </row>
    <row r="31" spans="1:12" x14ac:dyDescent="0.25">
      <c r="B31" s="41" t="s">
        <v>52</v>
      </c>
      <c r="C31" s="41"/>
      <c r="D31" s="41"/>
      <c r="E31" s="41"/>
      <c r="F31" s="41"/>
      <c r="G31" s="42"/>
      <c r="H31" s="42"/>
      <c r="I31" s="42"/>
      <c r="J31" s="42"/>
      <c r="K31" s="42"/>
      <c r="L31" s="41"/>
    </row>
    <row r="33" spans="5:10" x14ac:dyDescent="0.25">
      <c r="E33" s="32" t="s">
        <v>53</v>
      </c>
      <c r="F33" s="49"/>
      <c r="G33" s="50"/>
      <c r="H33" s="50"/>
      <c r="I33" s="50"/>
      <c r="J33" s="50"/>
    </row>
    <row r="34" spans="5:10" x14ac:dyDescent="0.25">
      <c r="F34" s="6" t="s">
        <v>54</v>
      </c>
      <c r="H34" s="278" t="s">
        <v>55</v>
      </c>
      <c r="I34" s="6" t="s">
        <v>56</v>
      </c>
      <c r="J34" s="51">
        <f>'Fixed inputs'!H174</f>
        <v>0</v>
      </c>
    </row>
    <row r="35" spans="5:10" x14ac:dyDescent="0.25">
      <c r="F35" s="6" t="s">
        <v>57</v>
      </c>
      <c r="H35" s="278" t="s">
        <v>58</v>
      </c>
      <c r="I35" s="6" t="s">
        <v>56</v>
      </c>
      <c r="J35" s="51">
        <f>'Inputs by customer type'!H107</f>
        <v>0</v>
      </c>
    </row>
    <row r="36" spans="5:10" x14ac:dyDescent="0.25">
      <c r="F36" s="6" t="s">
        <v>59</v>
      </c>
      <c r="H36" s="278" t="s">
        <v>60</v>
      </c>
      <c r="I36" s="6" t="s">
        <v>56</v>
      </c>
      <c r="J36" s="52">
        <f>'Inputs by network level'!H56</f>
        <v>0</v>
      </c>
    </row>
    <row r="37" spans="5:10" x14ac:dyDescent="0.25">
      <c r="F37" s="6" t="s">
        <v>61</v>
      </c>
      <c r="H37" s="278" t="s">
        <v>62</v>
      </c>
      <c r="I37" s="6" t="s">
        <v>56</v>
      </c>
      <c r="J37" s="51">
        <f>'General inputs'!H112</f>
        <v>0</v>
      </c>
    </row>
    <row r="38" spans="5:10" x14ac:dyDescent="0.25">
      <c r="F38" s="6" t="s">
        <v>63</v>
      </c>
      <c r="H38" s="278" t="s">
        <v>64</v>
      </c>
      <c r="I38" s="6" t="s">
        <v>56</v>
      </c>
      <c r="J38" s="52">
        <f>'Standing charge factors'!H58</f>
        <v>0</v>
      </c>
    </row>
    <row r="39" spans="5:10" x14ac:dyDescent="0.25">
      <c r="F39" s="6" t="s">
        <v>65</v>
      </c>
      <c r="H39" s="278" t="s">
        <v>66</v>
      </c>
      <c r="I39" s="6" t="s">
        <v>56</v>
      </c>
      <c r="J39" s="52">
        <f>'Load &amp; loss characteristics'!H302</f>
        <v>0</v>
      </c>
    </row>
    <row r="40" spans="5:10" x14ac:dyDescent="0.25">
      <c r="F40" s="6" t="s">
        <v>67</v>
      </c>
      <c r="H40" s="278" t="s">
        <v>68</v>
      </c>
      <c r="I40" s="6" t="s">
        <v>56</v>
      </c>
      <c r="J40" s="52">
        <f>'Customer contributions'!H104</f>
        <v>0</v>
      </c>
    </row>
    <row r="41" spans="5:10" x14ac:dyDescent="0.25">
      <c r="F41" s="6" t="s">
        <v>69</v>
      </c>
      <c r="H41" s="278" t="s">
        <v>70</v>
      </c>
      <c r="I41" s="6" t="s">
        <v>56</v>
      </c>
      <c r="J41" s="52">
        <f>'Volume adjustments'!H140</f>
        <v>0</v>
      </c>
    </row>
    <row r="42" spans="5:10" x14ac:dyDescent="0.25">
      <c r="F42" s="6" t="s">
        <v>71</v>
      </c>
      <c r="H42" s="278" t="s">
        <v>72</v>
      </c>
      <c r="I42" s="6" t="s">
        <v>56</v>
      </c>
      <c r="J42" s="52">
        <f>'Pseudo-load coefficients'!H543</f>
        <v>0</v>
      </c>
    </row>
    <row r="43" spans="5:10" x14ac:dyDescent="0.25">
      <c r="F43" s="6" t="s">
        <v>73</v>
      </c>
      <c r="H43" s="278" t="s">
        <v>74</v>
      </c>
      <c r="I43" s="6" t="s">
        <v>56</v>
      </c>
      <c r="J43" s="52">
        <f>'System peak demand'!H281</f>
        <v>0</v>
      </c>
    </row>
    <row r="44" spans="5:10" x14ac:dyDescent="0.25">
      <c r="F44" s="6" t="s">
        <v>75</v>
      </c>
      <c r="H44" s="278" t="s">
        <v>76</v>
      </c>
      <c r="I44" s="6" t="s">
        <v>56</v>
      </c>
      <c r="J44" s="52">
        <f>'Service model assets'!H38</f>
        <v>0</v>
      </c>
    </row>
    <row r="45" spans="5:10" x14ac:dyDescent="0.25">
      <c r="F45" s="6" t="s">
        <v>77</v>
      </c>
      <c r="H45" s="278" t="s">
        <v>78</v>
      </c>
      <c r="I45" s="6" t="s">
        <v>56</v>
      </c>
      <c r="J45" s="52">
        <f>'Unit costs'!H131</f>
        <v>0</v>
      </c>
    </row>
    <row r="46" spans="5:10" x14ac:dyDescent="0.25">
      <c r="F46" s="6" t="s">
        <v>79</v>
      </c>
      <c r="H46" s="278" t="s">
        <v>80</v>
      </c>
      <c r="I46" s="6" t="s">
        <v>56</v>
      </c>
      <c r="J46" s="52">
        <f>'Initial unit rates'!H294</f>
        <v>0</v>
      </c>
    </row>
    <row r="47" spans="5:10" x14ac:dyDescent="0.25">
      <c r="F47" s="6" t="s">
        <v>81</v>
      </c>
      <c r="H47" s="278" t="s">
        <v>82</v>
      </c>
      <c r="I47" s="6" t="s">
        <v>56</v>
      </c>
      <c r="J47" s="52">
        <f>'Service model charges'!H48</f>
        <v>0</v>
      </c>
    </row>
    <row r="48" spans="5:10" x14ac:dyDescent="0.25">
      <c r="F48" s="6" t="s">
        <v>83</v>
      </c>
      <c r="H48" s="278" t="s">
        <v>84</v>
      </c>
      <c r="I48" s="6" t="s">
        <v>56</v>
      </c>
      <c r="J48" s="52">
        <f>'Unit rate charges'!H223</f>
        <v>0</v>
      </c>
    </row>
    <row r="49" spans="2:12" x14ac:dyDescent="0.25">
      <c r="F49" s="6" t="s">
        <v>85</v>
      </c>
      <c r="H49" s="278" t="s">
        <v>86</v>
      </c>
      <c r="I49" s="6" t="s">
        <v>56</v>
      </c>
      <c r="J49" s="52">
        <f>'Reactive power charges'!H254</f>
        <v>0</v>
      </c>
    </row>
    <row r="50" spans="2:12" x14ac:dyDescent="0.25">
      <c r="F50" s="6" t="s">
        <v>87</v>
      </c>
      <c r="H50" s="278" t="s">
        <v>88</v>
      </c>
      <c r="I50" s="6" t="s">
        <v>56</v>
      </c>
      <c r="J50" s="52">
        <f>'Capacity charges'!H295</f>
        <v>0</v>
      </c>
    </row>
    <row r="51" spans="2:12" x14ac:dyDescent="0.25">
      <c r="F51" s="6" t="s">
        <v>89</v>
      </c>
      <c r="H51" s="278" t="s">
        <v>90</v>
      </c>
      <c r="I51" s="6" t="s">
        <v>56</v>
      </c>
      <c r="J51" s="52">
        <f>'Fixed charges'!H165</f>
        <v>0</v>
      </c>
    </row>
    <row r="52" spans="2:12" x14ac:dyDescent="0.25">
      <c r="F52" s="6" t="s">
        <v>91</v>
      </c>
      <c r="H52" s="278" t="s">
        <v>92</v>
      </c>
      <c r="I52" s="6" t="s">
        <v>56</v>
      </c>
      <c r="J52" s="52">
        <f>'Revenue matching'!H156</f>
        <v>0</v>
      </c>
    </row>
    <row r="53" spans="2:12" x14ac:dyDescent="0.25">
      <c r="F53" s="6" t="s">
        <v>93</v>
      </c>
      <c r="H53" s="278" t="s">
        <v>94</v>
      </c>
      <c r="I53" s="6" t="s">
        <v>56</v>
      </c>
      <c r="J53" s="52">
        <f>Rounding!H117</f>
        <v>0</v>
      </c>
    </row>
    <row r="54" spans="2:12" x14ac:dyDescent="0.25">
      <c r="F54" s="6" t="s">
        <v>95</v>
      </c>
      <c r="H54" s="278" t="s">
        <v>96</v>
      </c>
      <c r="I54" s="6" t="s">
        <v>56</v>
      </c>
      <c r="J54" s="51">
        <f>'Net revenue summary'!$H$195</f>
        <v>0</v>
      </c>
    </row>
    <row r="55" spans="2:12" x14ac:dyDescent="0.25">
      <c r="F55" s="6" t="s">
        <v>97</v>
      </c>
      <c r="H55" s="278" t="s">
        <v>98</v>
      </c>
      <c r="I55" s="6" t="s">
        <v>56</v>
      </c>
      <c r="J55" s="52">
        <f>'Tariff summary'!$H$122</f>
        <v>0</v>
      </c>
    </row>
    <row r="56" spans="2:12" x14ac:dyDescent="0.25">
      <c r="F56" s="6" t="s">
        <v>99</v>
      </c>
      <c r="H56" s="278" t="s">
        <v>100</v>
      </c>
      <c r="I56" s="6" t="s">
        <v>56</v>
      </c>
      <c r="J56" s="51">
        <f>'Output to other models'!H73</f>
        <v>0</v>
      </c>
    </row>
    <row r="57" spans="2:12" x14ac:dyDescent="0.25">
      <c r="F57" s="53" t="s">
        <v>101</v>
      </c>
      <c r="G57" s="53"/>
      <c r="H57" s="53"/>
      <c r="I57" s="53" t="s">
        <v>56</v>
      </c>
      <c r="J57" s="54">
        <f>IFERROR(SUM(J34:J56), 1)</f>
        <v>0</v>
      </c>
    </row>
    <row r="59" spans="2:12" x14ac:dyDescent="0.25">
      <c r="B59" s="41" t="s">
        <v>102</v>
      </c>
      <c r="C59" s="41"/>
      <c r="D59" s="41"/>
      <c r="E59" s="41"/>
      <c r="F59" s="41"/>
      <c r="G59" s="42"/>
      <c r="H59" s="42"/>
      <c r="I59" s="42"/>
      <c r="J59" s="42"/>
      <c r="K59" s="42"/>
      <c r="L59" s="41"/>
    </row>
    <row r="61" spans="2:12" x14ac:dyDescent="0.25">
      <c r="F61" s="48" t="s">
        <v>103</v>
      </c>
    </row>
    <row r="62" spans="2:12" x14ac:dyDescent="0.25">
      <c r="F62" s="278" t="s">
        <v>104</v>
      </c>
    </row>
    <row r="63" spans="2:12" x14ac:dyDescent="0.25">
      <c r="F63" s="278" t="s">
        <v>105</v>
      </c>
    </row>
    <row r="64" spans="2:12" x14ac:dyDescent="0.25">
      <c r="F64" s="278" t="s">
        <v>45</v>
      </c>
    </row>
    <row r="65" spans="2:12" ht="30" x14ac:dyDescent="0.25">
      <c r="F65" s="341" t="s">
        <v>1116</v>
      </c>
    </row>
    <row r="66" spans="2:12" x14ac:dyDescent="0.25">
      <c r="F66" s="278"/>
    </row>
    <row r="67" spans="2:12" x14ac:dyDescent="0.25">
      <c r="F67" s="278"/>
    </row>
    <row r="68" spans="2:12" x14ac:dyDescent="0.25">
      <c r="F68" s="278"/>
    </row>
    <row r="69" spans="2:12" x14ac:dyDescent="0.25">
      <c r="F69" s="278"/>
    </row>
    <row r="70" spans="2:12" x14ac:dyDescent="0.25">
      <c r="F70" s="278"/>
    </row>
    <row r="71" spans="2:12" x14ac:dyDescent="0.25">
      <c r="F71" s="278"/>
    </row>
    <row r="72" spans="2:12" x14ac:dyDescent="0.25">
      <c r="F72" s="278" t="s">
        <v>106</v>
      </c>
    </row>
    <row r="74" spans="2:12" x14ac:dyDescent="0.25">
      <c r="B74" s="41" t="s">
        <v>107</v>
      </c>
      <c r="C74" s="41"/>
      <c r="D74" s="41"/>
      <c r="E74" s="41"/>
      <c r="F74" s="41"/>
      <c r="G74" s="42"/>
      <c r="H74" s="42"/>
      <c r="I74" s="42"/>
      <c r="J74" s="42"/>
      <c r="K74" s="42"/>
      <c r="L74" s="41"/>
    </row>
  </sheetData>
  <sheetProtection sheet="1" objects="1" formatCells="0" formatColumns="0" formatRows="0" sort="0" autoFilter="0"/>
  <dataConsolidate/>
  <conditionalFormatting sqref="J34:J57">
    <cfRule type="cellIs" dxfId="99" priority="2" operator="greaterThan">
      <formula>0</formula>
    </cfRule>
  </conditionalFormatting>
  <conditionalFormatting sqref="A4:XFD4">
    <cfRule type="expression" dxfId="98" priority="1">
      <formula>LEFT($A$4,1) &lt;&gt; "0"</formula>
    </cfRule>
  </conditionalFormatting>
  <dataValidations disablePrompts="1" count="3">
    <dataValidation type="whole" operator="greaterThan" allowBlank="1" showInputMessage="1" showErrorMessage="1" errorTitle="Stage model version" error="A positive integer value has not been selected" promptTitle="Stage model version" prompt="Input must be an integer. The value should return to 1 when a new development stage is reached." sqref="H20:H29">
      <formula1>0</formula1>
    </dataValidation>
    <dataValidation type="date" operator="greaterThan" allowBlank="1" showInputMessage="1" showErrorMessage="1" promptTitle="Model date" prompt="Input a date" sqref="F20:F29">
      <formula1>43028</formula1>
    </dataValidation>
    <dataValidation type="list" allowBlank="1" showInputMessage="1" showErrorMessage="1" errorTitle="Development stage" error="Selection is not consistent with the list of options specified below" promptTitle="Development stage" prompt="Select from the list of options" sqref="G20:G29">
      <formula1>$F$62:$F$72</formula1>
    </dataValidation>
  </dataValidations>
  <hyperlinks>
    <hyperlink ref="I62" location="'Cover'!A1" display="Cover"/>
    <hyperlink ref="I63" location="'Version control'!A1" display="Version control"/>
    <hyperlink ref="I72" location="'Model map'!A1" display="Model map"/>
    <hyperlink ref="I73" location="'Inputs &gt;&gt;'!A1" display="Inputs &gt;&gt;"/>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tabColor theme="4" tint="0.59999389629810485"/>
    <pageSetUpPr fitToPage="1"/>
  </sheetPr>
  <dimension ref="A1:KJ261"/>
  <sheetViews>
    <sheetView showGridLines="0" zoomScale="80" zoomScaleNormal="80" workbookViewId="0">
      <pane xSplit="9" ySplit="5" topLeftCell="J6" activePane="bottomRight" state="frozen"/>
      <selection pane="topRight" activeCell="AR1" sqref="AR1:AR1048576"/>
      <selection pane="bottomLeft" activeCell="AR1" sqref="AR1:AR1048576"/>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Unit rate charges</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H223 &amp; IF(H223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772</v>
      </c>
      <c r="D9"/>
    </row>
    <row r="10" spans="1:44" x14ac:dyDescent="0.25">
      <c r="C10" s="29" t="s">
        <v>773</v>
      </c>
      <c r="D10"/>
      <c r="E10"/>
    </row>
    <row r="11" spans="1:44" x14ac:dyDescent="0.25">
      <c r="C11" s="29" t="s">
        <v>774</v>
      </c>
      <c r="D11"/>
      <c r="E11"/>
    </row>
    <row r="12" spans="1:44" x14ac:dyDescent="0.25">
      <c r="C12" s="29" t="s">
        <v>775</v>
      </c>
    </row>
    <row r="13" spans="1:44" x14ac:dyDescent="0.25">
      <c r="C13" s="29" t="s">
        <v>776</v>
      </c>
      <c r="D13"/>
    </row>
    <row r="15" spans="1:44" x14ac:dyDescent="0.25">
      <c r="B15" s="30" t="s">
        <v>777</v>
      </c>
      <c r="C15" s="30"/>
      <c r="D15" s="30"/>
      <c r="E15" s="30"/>
      <c r="F15" s="30"/>
      <c r="G15" s="30"/>
      <c r="H15" s="30"/>
      <c r="I15" s="30"/>
      <c r="J15" s="30"/>
      <c r="K15" s="30"/>
      <c r="L15" s="30"/>
      <c r="M15" s="30"/>
      <c r="N15" s="30"/>
      <c r="O15" s="30"/>
      <c r="P15" s="30"/>
      <c r="Q15" s="30"/>
      <c r="R15" s="30"/>
      <c r="S15" s="30"/>
      <c r="T15" s="30"/>
      <c r="U15" s="30"/>
      <c r="V15" s="30"/>
      <c r="W15" s="30"/>
      <c r="X15" s="30"/>
      <c r="Y15" s="30"/>
      <c r="Z15" s="30"/>
      <c r="AA15" s="30"/>
      <c r="AB15" s="30"/>
      <c r="AC15" s="30"/>
      <c r="AD15" s="30"/>
      <c r="AE15" s="30"/>
      <c r="AF15" s="30"/>
      <c r="AG15" s="30"/>
      <c r="AH15" s="30"/>
      <c r="AI15" s="30"/>
      <c r="AJ15" s="30"/>
      <c r="AK15" s="30"/>
      <c r="AL15" s="30"/>
      <c r="AM15" s="30"/>
      <c r="AN15" s="30"/>
      <c r="AO15" s="30"/>
      <c r="AP15" s="30"/>
      <c r="AQ15" s="30"/>
      <c r="AR15" s="30"/>
    </row>
    <row r="17" spans="3:44" x14ac:dyDescent="0.25">
      <c r="C17" s="29" t="s">
        <v>778</v>
      </c>
    </row>
    <row r="19" spans="3:44" x14ac:dyDescent="0.25">
      <c r="C19" s="31" t="str">
        <f ca="1">INDEX('Version control'!$H$34:$H$56,MATCH($A$1,'Version control'!$F$34:$F$56,0),1)&amp;"-A: Initial unit rate 1"</f>
        <v>Section 111-A: Initial unit rate 1</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0" spans="3:44" x14ac:dyDescent="0.25">
      <c r="C20" s="32"/>
      <c r="D20"/>
      <c r="E20" s="32"/>
    </row>
    <row r="21" spans="3:44" x14ac:dyDescent="0.25">
      <c r="D21"/>
      <c r="E21" s="32" t="s">
        <v>733</v>
      </c>
    </row>
    <row r="22" spans="3:44" x14ac:dyDescent="0.25">
      <c r="D22"/>
      <c r="F22" s="23" t="s">
        <v>225</v>
      </c>
      <c r="G22" s="23" t="s">
        <v>327</v>
      </c>
      <c r="H22" s="302"/>
      <c r="I22" s="302"/>
      <c r="J22" s="318">
        <f>'Initial unit rates'!J152</f>
        <v>0</v>
      </c>
      <c r="K22" s="318">
        <f>'Initial unit rates'!K152</f>
        <v>0</v>
      </c>
      <c r="L22" s="318">
        <f>'Initial unit rates'!L152</f>
        <v>0</v>
      </c>
      <c r="M22" s="318">
        <f>'Initial unit rates'!M152</f>
        <v>0</v>
      </c>
      <c r="N22" s="318">
        <f>'Initial unit rates'!N152</f>
        <v>0</v>
      </c>
      <c r="O22" s="318">
        <f>'Initial unit rates'!O152</f>
        <v>0</v>
      </c>
      <c r="P22" s="318">
        <f>'Initial unit rates'!P152</f>
        <v>0</v>
      </c>
      <c r="Q22" s="318">
        <f>'Initial unit rates'!Q152</f>
        <v>0</v>
      </c>
      <c r="R22" s="318">
        <f>'Initial unit rates'!R152</f>
        <v>0</v>
      </c>
      <c r="S22" s="318">
        <f>'Initial unit rates'!S152</f>
        <v>0</v>
      </c>
      <c r="T22" s="318">
        <f>'Initial unit rates'!T152</f>
        <v>0</v>
      </c>
      <c r="U22" s="318">
        <f>'Initial unit rates'!U152</f>
        <v>0</v>
      </c>
      <c r="V22" s="318">
        <f>'Initial unit rates'!V152</f>
        <v>0</v>
      </c>
      <c r="W22" s="318">
        <f>'Initial unit rates'!W152</f>
        <v>0</v>
      </c>
      <c r="X22" s="318">
        <f>'Initial unit rates'!X152</f>
        <v>0</v>
      </c>
      <c r="Y22" s="318">
        <f>'Initial unit rates'!Y152</f>
        <v>0</v>
      </c>
      <c r="Z22" s="318">
        <f>'Initial unit rates'!Z152</f>
        <v>0</v>
      </c>
      <c r="AA22" s="318">
        <f>'Initial unit rates'!AA152</f>
        <v>0</v>
      </c>
      <c r="AB22" s="318">
        <f>'Initial unit rates'!AB152</f>
        <v>0</v>
      </c>
      <c r="AC22" s="318">
        <f>'Initial unit rates'!AC152</f>
        <v>0</v>
      </c>
      <c r="AD22" s="318">
        <f>'Initial unit rates'!AD152</f>
        <v>0</v>
      </c>
      <c r="AE22" s="318">
        <f>'Initial unit rates'!AE152</f>
        <v>0</v>
      </c>
      <c r="AF22" s="318">
        <f>'Initial unit rates'!AF152</f>
        <v>0</v>
      </c>
      <c r="AG22" s="318">
        <f>'Initial unit rates'!AG152</f>
        <v>0</v>
      </c>
      <c r="AH22" s="318">
        <f>'Initial unit rates'!AH152</f>
        <v>0</v>
      </c>
      <c r="AI22" s="318">
        <f>'Initial unit rates'!AI152</f>
        <v>0</v>
      </c>
      <c r="AJ22" s="318">
        <f>'Initial unit rates'!AJ152</f>
        <v>0</v>
      </c>
      <c r="AK22" s="318">
        <f>'Initial unit rates'!AK152</f>
        <v>0</v>
      </c>
      <c r="AL22" s="318">
        <f>'Initial unit rates'!AL152</f>
        <v>0</v>
      </c>
      <c r="AM22" s="318">
        <f>'Initial unit rates'!AM152</f>
        <v>0</v>
      </c>
      <c r="AN22" s="318">
        <f>'Initial unit rates'!AN152</f>
        <v>0</v>
      </c>
      <c r="AO22" s="318">
        <f>'Initial unit rates'!AO152</f>
        <v>0</v>
      </c>
      <c r="AP22" s="318">
        <f>'Initial unit rates'!AP152</f>
        <v>0</v>
      </c>
      <c r="AQ22" s="304"/>
      <c r="AR22" s="304"/>
    </row>
    <row r="23" spans="3:44" x14ac:dyDescent="0.25">
      <c r="D23"/>
      <c r="F23" t="s">
        <v>227</v>
      </c>
      <c r="G23" t="s">
        <v>327</v>
      </c>
      <c r="H23" s="304"/>
      <c r="I23" s="304"/>
      <c r="J23" s="319">
        <f>'Initial unit rates'!J153</f>
        <v>0</v>
      </c>
      <c r="K23" s="319">
        <f>'Initial unit rates'!K153</f>
        <v>0</v>
      </c>
      <c r="L23" s="319">
        <f>'Initial unit rates'!L153</f>
        <v>0</v>
      </c>
      <c r="M23" s="319">
        <f>'Initial unit rates'!M153</f>
        <v>0</v>
      </c>
      <c r="N23" s="319">
        <f>'Initial unit rates'!N153</f>
        <v>0</v>
      </c>
      <c r="O23" s="319">
        <f>'Initial unit rates'!O153</f>
        <v>0</v>
      </c>
      <c r="P23" s="319">
        <f>'Initial unit rates'!P153</f>
        <v>0</v>
      </c>
      <c r="Q23" s="319">
        <f>'Initial unit rates'!Q153</f>
        <v>0</v>
      </c>
      <c r="R23" s="319">
        <f>'Initial unit rates'!R153</f>
        <v>0</v>
      </c>
      <c r="S23" s="319">
        <f>'Initial unit rates'!S153</f>
        <v>0</v>
      </c>
      <c r="T23" s="319">
        <f>'Initial unit rates'!T153</f>
        <v>0</v>
      </c>
      <c r="U23" s="319">
        <f>'Initial unit rates'!U153</f>
        <v>0</v>
      </c>
      <c r="V23" s="319">
        <f>'Initial unit rates'!V153</f>
        <v>0</v>
      </c>
      <c r="W23" s="319">
        <f>'Initial unit rates'!W153</f>
        <v>0</v>
      </c>
      <c r="X23" s="319">
        <f>'Initial unit rates'!X153</f>
        <v>0</v>
      </c>
      <c r="Y23" s="319">
        <f>'Initial unit rates'!Y153</f>
        <v>0</v>
      </c>
      <c r="Z23" s="319">
        <f>'Initial unit rates'!Z153</f>
        <v>0</v>
      </c>
      <c r="AA23" s="319">
        <f>'Initial unit rates'!AA153</f>
        <v>0</v>
      </c>
      <c r="AB23" s="319">
        <f>'Initial unit rates'!AB153</f>
        <v>0</v>
      </c>
      <c r="AC23" s="319">
        <f>'Initial unit rates'!AC153</f>
        <v>0</v>
      </c>
      <c r="AD23" s="319">
        <f>'Initial unit rates'!AD153</f>
        <v>0</v>
      </c>
      <c r="AE23" s="319">
        <f>'Initial unit rates'!AE153</f>
        <v>0</v>
      </c>
      <c r="AF23" s="319">
        <f>'Initial unit rates'!AF153</f>
        <v>0</v>
      </c>
      <c r="AG23" s="319">
        <f>'Initial unit rates'!AG153</f>
        <v>0</v>
      </c>
      <c r="AH23" s="319">
        <f>'Initial unit rates'!AH153</f>
        <v>0</v>
      </c>
      <c r="AI23" s="319">
        <f>'Initial unit rates'!AI153</f>
        <v>0</v>
      </c>
      <c r="AJ23" s="319">
        <f>'Initial unit rates'!AJ153</f>
        <v>0</v>
      </c>
      <c r="AK23" s="319">
        <f>'Initial unit rates'!AK153</f>
        <v>0</v>
      </c>
      <c r="AL23" s="319">
        <f>'Initial unit rates'!AL153</f>
        <v>0</v>
      </c>
      <c r="AM23" s="319">
        <f>'Initial unit rates'!AM153</f>
        <v>0</v>
      </c>
      <c r="AN23" s="319">
        <f>'Initial unit rates'!AN153</f>
        <v>0</v>
      </c>
      <c r="AO23" s="319">
        <f>'Initial unit rates'!AO153</f>
        <v>0</v>
      </c>
      <c r="AP23" s="319">
        <f>'Initial unit rates'!AP153</f>
        <v>0</v>
      </c>
      <c r="AQ23" s="304"/>
      <c r="AR23" s="304"/>
    </row>
    <row r="24" spans="3:44" x14ac:dyDescent="0.25">
      <c r="D24"/>
      <c r="F24" t="s">
        <v>228</v>
      </c>
      <c r="G24" t="s">
        <v>327</v>
      </c>
      <c r="H24" s="304"/>
      <c r="I24" s="304"/>
      <c r="J24" s="319">
        <f>'Initial unit rates'!J154</f>
        <v>0</v>
      </c>
      <c r="K24" s="319">
        <f>'Initial unit rates'!K154</f>
        <v>0</v>
      </c>
      <c r="L24" s="319">
        <f>'Initial unit rates'!L154</f>
        <v>0</v>
      </c>
      <c r="M24" s="319">
        <f>'Initial unit rates'!M154</f>
        <v>0</v>
      </c>
      <c r="N24" s="319">
        <f>'Initial unit rates'!N154</f>
        <v>0</v>
      </c>
      <c r="O24" s="319">
        <f>'Initial unit rates'!O154</f>
        <v>0</v>
      </c>
      <c r="P24" s="319">
        <f>'Initial unit rates'!P154</f>
        <v>0</v>
      </c>
      <c r="Q24" s="319">
        <f>'Initial unit rates'!Q154</f>
        <v>0</v>
      </c>
      <c r="R24" s="319">
        <f>'Initial unit rates'!R154</f>
        <v>0</v>
      </c>
      <c r="S24" s="319">
        <f>'Initial unit rates'!S154</f>
        <v>0</v>
      </c>
      <c r="T24" s="319">
        <f>'Initial unit rates'!T154</f>
        <v>0</v>
      </c>
      <c r="U24" s="319">
        <f>'Initial unit rates'!U154</f>
        <v>0</v>
      </c>
      <c r="V24" s="319">
        <f>'Initial unit rates'!V154</f>
        <v>0</v>
      </c>
      <c r="W24" s="319">
        <f>'Initial unit rates'!W154</f>
        <v>0</v>
      </c>
      <c r="X24" s="319">
        <f>'Initial unit rates'!X154</f>
        <v>0</v>
      </c>
      <c r="Y24" s="319">
        <f>'Initial unit rates'!Y154</f>
        <v>0</v>
      </c>
      <c r="Z24" s="319">
        <f>'Initial unit rates'!Z154</f>
        <v>0</v>
      </c>
      <c r="AA24" s="319">
        <f>'Initial unit rates'!AA154</f>
        <v>0</v>
      </c>
      <c r="AB24" s="319">
        <f>'Initial unit rates'!AB154</f>
        <v>0</v>
      </c>
      <c r="AC24" s="319">
        <f>'Initial unit rates'!AC154</f>
        <v>0</v>
      </c>
      <c r="AD24" s="319">
        <f>'Initial unit rates'!AD154</f>
        <v>0</v>
      </c>
      <c r="AE24" s="319">
        <f>'Initial unit rates'!AE154</f>
        <v>0</v>
      </c>
      <c r="AF24" s="319">
        <f>'Initial unit rates'!AF154</f>
        <v>0</v>
      </c>
      <c r="AG24" s="319">
        <f>'Initial unit rates'!AG154</f>
        <v>0</v>
      </c>
      <c r="AH24" s="319">
        <f>'Initial unit rates'!AH154</f>
        <v>0</v>
      </c>
      <c r="AI24" s="319">
        <f>'Initial unit rates'!AI154</f>
        <v>0</v>
      </c>
      <c r="AJ24" s="319">
        <f>'Initial unit rates'!AJ154</f>
        <v>0</v>
      </c>
      <c r="AK24" s="319">
        <f>'Initial unit rates'!AK154</f>
        <v>0</v>
      </c>
      <c r="AL24" s="319">
        <f>'Initial unit rates'!AL154</f>
        <v>0</v>
      </c>
      <c r="AM24" s="319">
        <f>'Initial unit rates'!AM154</f>
        <v>0</v>
      </c>
      <c r="AN24" s="319">
        <f>'Initial unit rates'!AN154</f>
        <v>0</v>
      </c>
      <c r="AO24" s="319">
        <f>'Initial unit rates'!AO154</f>
        <v>0</v>
      </c>
      <c r="AP24" s="319">
        <f>'Initial unit rates'!AP154</f>
        <v>0</v>
      </c>
      <c r="AQ24" s="304"/>
      <c r="AR24" s="304"/>
    </row>
    <row r="25" spans="3:44" x14ac:dyDescent="0.25">
      <c r="D25"/>
      <c r="F25" t="s">
        <v>229</v>
      </c>
      <c r="G25" t="s">
        <v>327</v>
      </c>
      <c r="H25" s="304"/>
      <c r="I25" s="304"/>
      <c r="J25" s="319">
        <f>'Initial unit rates'!J155</f>
        <v>0</v>
      </c>
      <c r="K25" s="319">
        <f>'Initial unit rates'!K155</f>
        <v>0</v>
      </c>
      <c r="L25" s="319">
        <f>'Initial unit rates'!L155</f>
        <v>0</v>
      </c>
      <c r="M25" s="319">
        <f>'Initial unit rates'!M155</f>
        <v>0</v>
      </c>
      <c r="N25" s="319">
        <f>'Initial unit rates'!N155</f>
        <v>0</v>
      </c>
      <c r="O25" s="319">
        <f>'Initial unit rates'!O155</f>
        <v>0</v>
      </c>
      <c r="P25" s="319">
        <f>'Initial unit rates'!P155</f>
        <v>0</v>
      </c>
      <c r="Q25" s="319">
        <f>'Initial unit rates'!Q155</f>
        <v>0</v>
      </c>
      <c r="R25" s="319">
        <f>'Initial unit rates'!R155</f>
        <v>0</v>
      </c>
      <c r="S25" s="319">
        <f>'Initial unit rates'!S155</f>
        <v>0</v>
      </c>
      <c r="T25" s="319">
        <f>'Initial unit rates'!T155</f>
        <v>0</v>
      </c>
      <c r="U25" s="319">
        <f>'Initial unit rates'!U155</f>
        <v>0</v>
      </c>
      <c r="V25" s="319">
        <f>'Initial unit rates'!V155</f>
        <v>0</v>
      </c>
      <c r="W25" s="319">
        <f>'Initial unit rates'!W155</f>
        <v>0</v>
      </c>
      <c r="X25" s="319">
        <f>'Initial unit rates'!X155</f>
        <v>0</v>
      </c>
      <c r="Y25" s="319">
        <f>'Initial unit rates'!Y155</f>
        <v>0</v>
      </c>
      <c r="Z25" s="319">
        <f>'Initial unit rates'!Z155</f>
        <v>0</v>
      </c>
      <c r="AA25" s="319">
        <f>'Initial unit rates'!AA155</f>
        <v>0</v>
      </c>
      <c r="AB25" s="319">
        <f>'Initial unit rates'!AB155</f>
        <v>0</v>
      </c>
      <c r="AC25" s="319">
        <f>'Initial unit rates'!AC155</f>
        <v>0</v>
      </c>
      <c r="AD25" s="319">
        <f>'Initial unit rates'!AD155</f>
        <v>0</v>
      </c>
      <c r="AE25" s="319">
        <f>'Initial unit rates'!AE155</f>
        <v>0</v>
      </c>
      <c r="AF25" s="319">
        <f>'Initial unit rates'!AF155</f>
        <v>0</v>
      </c>
      <c r="AG25" s="319">
        <f>'Initial unit rates'!AG155</f>
        <v>0</v>
      </c>
      <c r="AH25" s="319">
        <f>'Initial unit rates'!AH155</f>
        <v>0</v>
      </c>
      <c r="AI25" s="319">
        <f>'Initial unit rates'!AI155</f>
        <v>0</v>
      </c>
      <c r="AJ25" s="319">
        <f>'Initial unit rates'!AJ155</f>
        <v>0</v>
      </c>
      <c r="AK25" s="319">
        <f>'Initial unit rates'!AK155</f>
        <v>0</v>
      </c>
      <c r="AL25" s="319">
        <f>'Initial unit rates'!AL155</f>
        <v>0</v>
      </c>
      <c r="AM25" s="319">
        <f>'Initial unit rates'!AM155</f>
        <v>0</v>
      </c>
      <c r="AN25" s="319">
        <f>'Initial unit rates'!AN155</f>
        <v>0</v>
      </c>
      <c r="AO25" s="319">
        <f>'Initial unit rates'!AO155</f>
        <v>0</v>
      </c>
      <c r="AP25" s="319">
        <f>'Initial unit rates'!AP155</f>
        <v>0</v>
      </c>
      <c r="AQ25" s="304"/>
      <c r="AR25" s="304"/>
    </row>
    <row r="26" spans="3:44" x14ac:dyDescent="0.25">
      <c r="D26"/>
      <c r="F26" t="s">
        <v>230</v>
      </c>
      <c r="G26" t="s">
        <v>327</v>
      </c>
      <c r="H26" s="304"/>
      <c r="I26" s="304"/>
      <c r="J26" s="319">
        <f>'Initial unit rates'!J156</f>
        <v>0.17889718427478851</v>
      </c>
      <c r="K26" s="319">
        <f>'Initial unit rates'!K156</f>
        <v>0.20664134615633994</v>
      </c>
      <c r="L26" s="319">
        <f>'Initial unit rates'!L156</f>
        <v>7.1520946310332498E-2</v>
      </c>
      <c r="M26" s="319">
        <f>'Initial unit rates'!M156</f>
        <v>0.18420815783087982</v>
      </c>
      <c r="N26" s="319">
        <f>'Initial unit rates'!N156</f>
        <v>0.19972006770306797</v>
      </c>
      <c r="O26" s="319">
        <f>'Initial unit rates'!O156</f>
        <v>6.4935681506658419E-2</v>
      </c>
      <c r="P26" s="319">
        <f>'Initial unit rates'!P156</f>
        <v>0.17326453977290304</v>
      </c>
      <c r="Q26" s="319">
        <f>'Initial unit rates'!Q156</f>
        <v>0.13675492529196476</v>
      </c>
      <c r="R26" s="319">
        <f>'Initial unit rates'!R156</f>
        <v>0.18524138321172998</v>
      </c>
      <c r="S26" s="319">
        <f>'Initial unit rates'!S156</f>
        <v>0.74579592562287644</v>
      </c>
      <c r="T26" s="319">
        <f>'Initial unit rates'!T156</f>
        <v>0.81522571798329779</v>
      </c>
      <c r="U26" s="319">
        <f>'Initial unit rates'!U156</f>
        <v>0.64746405409048546</v>
      </c>
      <c r="V26" s="319">
        <f>'Initial unit rates'!V156</f>
        <v>0.62327085203520471</v>
      </c>
      <c r="W26" s="319">
        <f>'Initial unit rates'!W156</f>
        <v>0.57632185314871009</v>
      </c>
      <c r="X26" s="319">
        <f>'Initial unit rates'!X156</f>
        <v>0.10184180735277856</v>
      </c>
      <c r="Y26" s="319">
        <f>'Initial unit rates'!Y156</f>
        <v>0.10678712142205964</v>
      </c>
      <c r="Z26" s="319">
        <f>'Initial unit rates'!Z156</f>
        <v>0.16726272808180856</v>
      </c>
      <c r="AA26" s="319">
        <f>'Initial unit rates'!AA156</f>
        <v>0.10297184219502425</v>
      </c>
      <c r="AB26" s="319">
        <f>'Initial unit rates'!AB156</f>
        <v>1.1508028728166</v>
      </c>
      <c r="AC26" s="319">
        <f>'Initial unit rates'!AC156</f>
        <v>-0.10571714383350229</v>
      </c>
      <c r="AD26" s="319">
        <f>'Initial unit rates'!AD156</f>
        <v>-0.10251653305689165</v>
      </c>
      <c r="AE26" s="319">
        <f>'Initial unit rates'!AE156</f>
        <v>-0.10571714383350229</v>
      </c>
      <c r="AF26" s="319">
        <f>'Initial unit rates'!AF156</f>
        <v>-0.10571714383350229</v>
      </c>
      <c r="AG26" s="319">
        <f>'Initial unit rates'!AG156</f>
        <v>-0.54405849654084415</v>
      </c>
      <c r="AH26" s="319">
        <f>'Initial unit rates'!AH156</f>
        <v>-0.54405849654084415</v>
      </c>
      <c r="AI26" s="319">
        <f>'Initial unit rates'!AI156</f>
        <v>-0.10251653305689165</v>
      </c>
      <c r="AJ26" s="319">
        <f>'Initial unit rates'!AJ156</f>
        <v>-0.10251653305689165</v>
      </c>
      <c r="AK26" s="319">
        <f>'Initial unit rates'!AK156</f>
        <v>-0.52758700077401099</v>
      </c>
      <c r="AL26" s="319">
        <f>'Initial unit rates'!AL156</f>
        <v>-0.52758700077401099</v>
      </c>
      <c r="AM26" s="319">
        <f>'Initial unit rates'!AM156</f>
        <v>-9.9850951993363149E-2</v>
      </c>
      <c r="AN26" s="319">
        <f>'Initial unit rates'!AN156</f>
        <v>-9.9850951993363149E-2</v>
      </c>
      <c r="AO26" s="319">
        <f>'Initial unit rates'!AO156</f>
        <v>-0.51386896060339238</v>
      </c>
      <c r="AP26" s="319">
        <f>'Initial unit rates'!AP156</f>
        <v>-0.51386896060339238</v>
      </c>
      <c r="AQ26" s="304"/>
      <c r="AR26" s="304"/>
    </row>
    <row r="27" spans="3:44" x14ac:dyDescent="0.25">
      <c r="D27"/>
      <c r="F27" t="s">
        <v>231</v>
      </c>
      <c r="G27" t="s">
        <v>327</v>
      </c>
      <c r="H27" s="304"/>
      <c r="I27" s="304"/>
      <c r="J27" s="319">
        <f>'Initial unit rates'!J157</f>
        <v>0.16223566934743014</v>
      </c>
      <c r="K27" s="319">
        <f>'Initial unit rates'!K157</f>
        <v>0.18739589023957798</v>
      </c>
      <c r="L27" s="319">
        <f>'Initial unit rates'!L157</f>
        <v>6.4859872691990825E-2</v>
      </c>
      <c r="M27" s="319">
        <f>'Initial unit rates'!M157</f>
        <v>0.16705200758803376</v>
      </c>
      <c r="N27" s="319">
        <f>'Initial unit rates'!N157</f>
        <v>0.18111922217932624</v>
      </c>
      <c r="O27" s="319">
        <f>'Initial unit rates'!O157</f>
        <v>5.8887923789692202E-2</v>
      </c>
      <c r="P27" s="319">
        <f>'Initial unit rates'!P157</f>
        <v>0.15712761885091769</v>
      </c>
      <c r="Q27" s="319">
        <f>'Initial unit rates'!Q157</f>
        <v>0.12401831214526493</v>
      </c>
      <c r="R27" s="319">
        <f>'Initial unit rates'!R157</f>
        <v>0.16830631246418284</v>
      </c>
      <c r="S27" s="319">
        <f>'Initial unit rates'!S157</f>
        <v>0.67633653196108479</v>
      </c>
      <c r="T27" s="319">
        <f>'Initial unit rates'!T157</f>
        <v>0.73930000945743501</v>
      </c>
      <c r="U27" s="319">
        <f>'Initial unit rates'!U157</f>
        <v>0.58716275842790822</v>
      </c>
      <c r="V27" s="319">
        <f>'Initial unit rates'!V157</f>
        <v>0.56522278019400118</v>
      </c>
      <c r="W27" s="319">
        <f>'Initial unit rates'!W157</f>
        <v>0.52363356510415815</v>
      </c>
      <c r="X27" s="319">
        <f>'Initial unit rates'!X157</f>
        <v>9.2356812939277305E-2</v>
      </c>
      <c r="Y27" s="319">
        <f>'Initial unit rates'!Y157</f>
        <v>9.6841547237446701E-2</v>
      </c>
      <c r="Z27" s="319">
        <f>'Initial unit rates'!Z157</f>
        <v>0.15168478339797775</v>
      </c>
      <c r="AA27" s="319">
        <f>'Initial unit rates'!AA157</f>
        <v>9.3381602456009141E-2</v>
      </c>
      <c r="AB27" s="319">
        <f>'Initial unit rates'!AB157</f>
        <v>1.0436233254044451</v>
      </c>
      <c r="AC27" s="319">
        <f>'Initial unit rates'!AC157</f>
        <v>-9.5871221567034162E-2</v>
      </c>
      <c r="AD27" s="319">
        <f>'Initial unit rates'!AD157</f>
        <v>-9.2968698345279904E-2</v>
      </c>
      <c r="AE27" s="319">
        <f>'Initial unit rates'!AE157</f>
        <v>-9.5871221567034162E-2</v>
      </c>
      <c r="AF27" s="319">
        <f>'Initial unit rates'!AF157</f>
        <v>-9.5871221567034162E-2</v>
      </c>
      <c r="AG27" s="319">
        <f>'Initial unit rates'!AG157</f>
        <v>-0.49338783451662949</v>
      </c>
      <c r="AH27" s="319">
        <f>'Initial unit rates'!AH157</f>
        <v>-0.49338783451662949</v>
      </c>
      <c r="AI27" s="319">
        <f>'Initial unit rates'!AI157</f>
        <v>-9.2968698345279904E-2</v>
      </c>
      <c r="AJ27" s="319">
        <f>'Initial unit rates'!AJ157</f>
        <v>-9.2968698345279904E-2</v>
      </c>
      <c r="AK27" s="319">
        <f>'Initial unit rates'!AK157</f>
        <v>-0.47845040466429123</v>
      </c>
      <c r="AL27" s="319">
        <f>'Initial unit rates'!AL157</f>
        <v>-0.47845040466429123</v>
      </c>
      <c r="AM27" s="319">
        <f>'Initial unit rates'!AM157</f>
        <v>-9.0722414369106955E-2</v>
      </c>
      <c r="AN27" s="319">
        <f>'Initial unit rates'!AN157</f>
        <v>-9.0722414369106955E-2</v>
      </c>
      <c r="AO27" s="319">
        <f>'Initial unit rates'!AO157</f>
        <v>-0.46689021831641558</v>
      </c>
      <c r="AP27" s="319">
        <f>'Initial unit rates'!AP157</f>
        <v>-0.46689021831641558</v>
      </c>
      <c r="AQ27" s="304"/>
      <c r="AR27" s="304"/>
    </row>
    <row r="28" spans="3:44" x14ac:dyDescent="0.25">
      <c r="D28"/>
      <c r="F28" t="s">
        <v>232</v>
      </c>
      <c r="G28" t="s">
        <v>327</v>
      </c>
      <c r="H28" s="304"/>
      <c r="I28" s="304"/>
      <c r="J28" s="319">
        <f>'Initial unit rates'!J158</f>
        <v>0</v>
      </c>
      <c r="K28" s="319">
        <f>'Initial unit rates'!K158</f>
        <v>0</v>
      </c>
      <c r="L28" s="319">
        <f>'Initial unit rates'!L158</f>
        <v>0</v>
      </c>
      <c r="M28" s="319">
        <f>'Initial unit rates'!M158</f>
        <v>0</v>
      </c>
      <c r="N28" s="319">
        <f>'Initial unit rates'!N158</f>
        <v>0</v>
      </c>
      <c r="O28" s="319">
        <f>'Initial unit rates'!O158</f>
        <v>0</v>
      </c>
      <c r="P28" s="319">
        <f>'Initial unit rates'!P158</f>
        <v>0</v>
      </c>
      <c r="Q28" s="319">
        <f>'Initial unit rates'!Q158</f>
        <v>0</v>
      </c>
      <c r="R28" s="319">
        <f>'Initial unit rates'!R158</f>
        <v>0</v>
      </c>
      <c r="S28" s="319">
        <f>'Initial unit rates'!S158</f>
        <v>0</v>
      </c>
      <c r="T28" s="319">
        <f>'Initial unit rates'!T158</f>
        <v>0</v>
      </c>
      <c r="U28" s="319">
        <f>'Initial unit rates'!U158</f>
        <v>0</v>
      </c>
      <c r="V28" s="319">
        <f>'Initial unit rates'!V158</f>
        <v>0</v>
      </c>
      <c r="W28" s="319">
        <f>'Initial unit rates'!W158</f>
        <v>0</v>
      </c>
      <c r="X28" s="319">
        <f>'Initial unit rates'!X158</f>
        <v>0</v>
      </c>
      <c r="Y28" s="319">
        <f>'Initial unit rates'!Y158</f>
        <v>0</v>
      </c>
      <c r="Z28" s="319">
        <f>'Initial unit rates'!Z158</f>
        <v>0</v>
      </c>
      <c r="AA28" s="319">
        <f>'Initial unit rates'!AA158</f>
        <v>0</v>
      </c>
      <c r="AB28" s="319">
        <f>'Initial unit rates'!AB158</f>
        <v>0</v>
      </c>
      <c r="AC28" s="319">
        <f>'Initial unit rates'!AC158</f>
        <v>0</v>
      </c>
      <c r="AD28" s="319">
        <f>'Initial unit rates'!AD158</f>
        <v>0</v>
      </c>
      <c r="AE28" s="319">
        <f>'Initial unit rates'!AE158</f>
        <v>0</v>
      </c>
      <c r="AF28" s="319">
        <f>'Initial unit rates'!AF158</f>
        <v>0</v>
      </c>
      <c r="AG28" s="319">
        <f>'Initial unit rates'!AG158</f>
        <v>0</v>
      </c>
      <c r="AH28" s="319">
        <f>'Initial unit rates'!AH158</f>
        <v>0</v>
      </c>
      <c r="AI28" s="319">
        <f>'Initial unit rates'!AI158</f>
        <v>0</v>
      </c>
      <c r="AJ28" s="319">
        <f>'Initial unit rates'!AJ158</f>
        <v>0</v>
      </c>
      <c r="AK28" s="319">
        <f>'Initial unit rates'!AK158</f>
        <v>0</v>
      </c>
      <c r="AL28" s="319">
        <f>'Initial unit rates'!AL158</f>
        <v>0</v>
      </c>
      <c r="AM28" s="319">
        <f>'Initial unit rates'!AM158</f>
        <v>0</v>
      </c>
      <c r="AN28" s="319">
        <f>'Initial unit rates'!AN158</f>
        <v>0</v>
      </c>
      <c r="AO28" s="319">
        <f>'Initial unit rates'!AO158</f>
        <v>0</v>
      </c>
      <c r="AP28" s="319">
        <f>'Initial unit rates'!AP158</f>
        <v>0</v>
      </c>
      <c r="AQ28" s="304"/>
      <c r="AR28" s="304"/>
    </row>
    <row r="29" spans="3:44" x14ac:dyDescent="0.25">
      <c r="D29"/>
      <c r="F29" t="s">
        <v>233</v>
      </c>
      <c r="G29" t="s">
        <v>327</v>
      </c>
      <c r="H29" s="304"/>
      <c r="I29" s="304"/>
      <c r="J29" s="319">
        <f>'Initial unit rates'!J159</f>
        <v>0.38693974535987291</v>
      </c>
      <c r="K29" s="319">
        <f>'Initial unit rates'!K159</f>
        <v>0.44694806230007134</v>
      </c>
      <c r="L29" s="319">
        <f>'Initial unit rates'!L159</f>
        <v>0.15469386432996671</v>
      </c>
      <c r="M29" s="319">
        <f>'Initial unit rates'!M159</f>
        <v>0.39842693988301547</v>
      </c>
      <c r="N29" s="319">
        <f>'Initial unit rates'!N159</f>
        <v>0.43197791208149544</v>
      </c>
      <c r="O29" s="319">
        <f>'Initial unit rates'!O159</f>
        <v>0.1404504837167366</v>
      </c>
      <c r="P29" s="319">
        <f>'Initial unit rates'!P159</f>
        <v>0.37475680330800398</v>
      </c>
      <c r="Q29" s="319">
        <f>'Initial unit rates'!Q159</f>
        <v>0.29578954070010238</v>
      </c>
      <c r="R29" s="319">
        <f>'Initial unit rates'!R159</f>
        <v>0.42820279434620817</v>
      </c>
      <c r="S29" s="319">
        <f>'Initial unit rates'!S159</f>
        <v>1.6130946203585104</v>
      </c>
      <c r="T29" s="319">
        <f>'Initial unit rates'!T159</f>
        <v>1.7632654924448203</v>
      </c>
      <c r="U29" s="319">
        <f>'Initial unit rates'!U159</f>
        <v>1.400410952441971</v>
      </c>
      <c r="V29" s="319">
        <f>'Initial unit rates'!V159</f>
        <v>1.3480830665635033</v>
      </c>
      <c r="W29" s="319">
        <f>'Initial unit rates'!W159</f>
        <v>1.3322219024838062</v>
      </c>
      <c r="X29" s="319">
        <f>'Initial unit rates'!X159</f>
        <v>0.22027536746215201</v>
      </c>
      <c r="Y29" s="319">
        <f>'Initial unit rates'!Y159</f>
        <v>0.23097167089727477</v>
      </c>
      <c r="Z29" s="319">
        <f>'Initial unit rates'!Z159</f>
        <v>0.361775383299275</v>
      </c>
      <c r="AA29" s="319">
        <f>'Initial unit rates'!AA159</f>
        <v>0.22271953893348551</v>
      </c>
      <c r="AB29" s="319">
        <f>'Initial unit rates'!AB159</f>
        <v>2.4890909958822589</v>
      </c>
      <c r="AC29" s="319">
        <f>'Initial unit rates'!AC159</f>
        <v>-0.22865739827562631</v>
      </c>
      <c r="AD29" s="319">
        <f>'Initial unit rates'!AD159</f>
        <v>-0.22173474309847427</v>
      </c>
      <c r="AE29" s="319">
        <f>'Initial unit rates'!AE159</f>
        <v>-0.22865739827562631</v>
      </c>
      <c r="AF29" s="319">
        <f>'Initial unit rates'!AF159</f>
        <v>-0.22865739827562631</v>
      </c>
      <c r="AG29" s="319">
        <f>'Initial unit rates'!AG159</f>
        <v>-1.1767533232330318</v>
      </c>
      <c r="AH29" s="319">
        <f>'Initial unit rates'!AH159</f>
        <v>-1.1767533232330318</v>
      </c>
      <c r="AI29" s="319">
        <f>'Initial unit rates'!AI159</f>
        <v>-0.22173474309847427</v>
      </c>
      <c r="AJ29" s="319">
        <f>'Initial unit rates'!AJ159</f>
        <v>-0.22173474309847427</v>
      </c>
      <c r="AK29" s="319">
        <f>'Initial unit rates'!AK159</f>
        <v>-1.1411268464746003</v>
      </c>
      <c r="AL29" s="319">
        <f>'Initial unit rates'!AL159</f>
        <v>-1.1411268464746003</v>
      </c>
      <c r="AM29" s="319">
        <f>'Initial unit rates'!AM159</f>
        <v>0</v>
      </c>
      <c r="AN29" s="319">
        <f>'Initial unit rates'!AN159</f>
        <v>0</v>
      </c>
      <c r="AO29" s="319">
        <f>'Initial unit rates'!AO159</f>
        <v>0</v>
      </c>
      <c r="AP29" s="319">
        <f>'Initial unit rates'!AP159</f>
        <v>0</v>
      </c>
      <c r="AQ29" s="304"/>
      <c r="AR29" s="304"/>
    </row>
    <row r="30" spans="3:44" x14ac:dyDescent="0.25">
      <c r="D30"/>
      <c r="F30" t="s">
        <v>234</v>
      </c>
      <c r="G30" t="s">
        <v>327</v>
      </c>
      <c r="H30" s="304"/>
      <c r="I30" s="304"/>
      <c r="J30" s="319">
        <f>'Initial unit rates'!J160</f>
        <v>3.5438392833872713E-2</v>
      </c>
      <c r="K30" s="319">
        <f>'Initial unit rates'!K160</f>
        <v>4.0934334603949733E-2</v>
      </c>
      <c r="L30" s="319">
        <f>'Initial unit rates'!L160</f>
        <v>1.4167843957245973E-2</v>
      </c>
      <c r="M30" s="319">
        <f>'Initial unit rates'!M160</f>
        <v>3.6490462870492055E-2</v>
      </c>
      <c r="N30" s="319">
        <f>'Initial unit rates'!N160</f>
        <v>3.956327342300392E-2</v>
      </c>
      <c r="O30" s="319">
        <f>'Initial unit rates'!O160</f>
        <v>1.2863344940261916E-2</v>
      </c>
      <c r="P30" s="319">
        <f>'Initial unit rates'!P160</f>
        <v>3.4322601831568482E-2</v>
      </c>
      <c r="Q30" s="319">
        <f>'Initial unit rates'!Q160</f>
        <v>2.7090279727485619E-2</v>
      </c>
      <c r="R30" s="319">
        <f>'Initial unit rates'!R160</f>
        <v>0</v>
      </c>
      <c r="S30" s="319">
        <f>'Initial unit rates'!S160</f>
        <v>0.14773742299671222</v>
      </c>
      <c r="T30" s="319">
        <f>'Initial unit rates'!T160</f>
        <v>0.16149102267474574</v>
      </c>
      <c r="U30" s="319">
        <f>'Initial unit rates'!U160</f>
        <v>0.12825850550798201</v>
      </c>
      <c r="V30" s="319">
        <f>'Initial unit rates'!V160</f>
        <v>0.12346598626392633</v>
      </c>
      <c r="W30" s="319">
        <f>'Initial unit rates'!W160</f>
        <v>0</v>
      </c>
      <c r="X30" s="319">
        <f>'Initial unit rates'!X160</f>
        <v>2.0174213420462286E-2</v>
      </c>
      <c r="Y30" s="319">
        <f>'Initial unit rates'!Y160</f>
        <v>2.1153848641578273E-2</v>
      </c>
      <c r="Z30" s="319">
        <f>'Initial unit rates'!Z160</f>
        <v>3.3133681160255765E-2</v>
      </c>
      <c r="AA30" s="319">
        <f>'Initial unit rates'!AA160</f>
        <v>2.039806612567845E-2</v>
      </c>
      <c r="AB30" s="319">
        <f>'Initial unit rates'!AB160</f>
        <v>0.22796671980360117</v>
      </c>
      <c r="AC30" s="319">
        <f>'Initial unit rates'!AC160</f>
        <v>-2.0941892895821584E-2</v>
      </c>
      <c r="AD30" s="319">
        <f>'Initial unit rates'!AD160</f>
        <v>0</v>
      </c>
      <c r="AE30" s="319">
        <f>'Initial unit rates'!AE160</f>
        <v>-2.0941892895821584E-2</v>
      </c>
      <c r="AF30" s="319">
        <f>'Initial unit rates'!AF160</f>
        <v>-2.0941892895821584E-2</v>
      </c>
      <c r="AG30" s="319">
        <f>'Initial unit rates'!AG160</f>
        <v>-0.10777452313282589</v>
      </c>
      <c r="AH30" s="319">
        <f>'Initial unit rates'!AH160</f>
        <v>-0.10777452313282589</v>
      </c>
      <c r="AI30" s="319">
        <f>'Initial unit rates'!AI160</f>
        <v>0</v>
      </c>
      <c r="AJ30" s="319">
        <f>'Initial unit rates'!AJ160</f>
        <v>0</v>
      </c>
      <c r="AK30" s="319">
        <f>'Initial unit rates'!AK160</f>
        <v>0</v>
      </c>
      <c r="AL30" s="319">
        <f>'Initial unit rates'!AL160</f>
        <v>0</v>
      </c>
      <c r="AM30" s="319">
        <f>'Initial unit rates'!AM160</f>
        <v>0</v>
      </c>
      <c r="AN30" s="319">
        <f>'Initial unit rates'!AN160</f>
        <v>0</v>
      </c>
      <c r="AO30" s="319">
        <f>'Initial unit rates'!AO160</f>
        <v>0</v>
      </c>
      <c r="AP30" s="319">
        <f>'Initial unit rates'!AP160</f>
        <v>0</v>
      </c>
      <c r="AQ30" s="304"/>
      <c r="AR30" s="304"/>
    </row>
    <row r="31" spans="3:44" x14ac:dyDescent="0.25">
      <c r="D31"/>
      <c r="F31" t="s">
        <v>235</v>
      </c>
      <c r="G31" t="s">
        <v>327</v>
      </c>
      <c r="H31" s="304"/>
      <c r="I31" s="304"/>
      <c r="J31" s="319">
        <f>'Initial unit rates'!J161</f>
        <v>1.2869878118521539E-2</v>
      </c>
      <c r="K31" s="319">
        <f>'Initial unit rates'!K161</f>
        <v>1.4865795401197394E-2</v>
      </c>
      <c r="L31" s="319">
        <f>'Initial unit rates'!L161</f>
        <v>5.1452227471699818E-3</v>
      </c>
      <c r="M31" s="319">
        <f>'Initial unit rates'!M161</f>
        <v>1.3251949992009479E-2</v>
      </c>
      <c r="N31" s="319">
        <f>'Initial unit rates'!N161</f>
        <v>1.4367878061251241E-2</v>
      </c>
      <c r="O31" s="319">
        <f>'Initial unit rates'!O161</f>
        <v>4.6714782567519805E-3</v>
      </c>
      <c r="P31" s="319">
        <f>'Initial unit rates'!P161</f>
        <v>1.2464665210794167E-2</v>
      </c>
      <c r="Q31" s="319">
        <f>'Initial unit rates'!Q161</f>
        <v>0</v>
      </c>
      <c r="R31" s="319">
        <f>'Initial unit rates'!R161</f>
        <v>0</v>
      </c>
      <c r="S31" s="319">
        <f>'Initial unit rates'!S161</f>
        <v>5.3652620095536271E-2</v>
      </c>
      <c r="T31" s="319">
        <f>'Initial unit rates'!T161</f>
        <v>5.8647405055932141E-2</v>
      </c>
      <c r="U31" s="319">
        <f>'Initial unit rates'!U161</f>
        <v>4.657861718756353E-2</v>
      </c>
      <c r="V31" s="319">
        <f>'Initial unit rates'!V161</f>
        <v>0</v>
      </c>
      <c r="W31" s="319">
        <f>'Initial unit rates'!W161</f>
        <v>0</v>
      </c>
      <c r="X31" s="319">
        <f>'Initial unit rates'!X161</f>
        <v>7.3265079789459984E-3</v>
      </c>
      <c r="Y31" s="319">
        <f>'Initial unit rates'!Y161</f>
        <v>7.6822742789437477E-3</v>
      </c>
      <c r="Z31" s="319">
        <f>'Initial unit rates'!Z161</f>
        <v>1.2032894385178163E-2</v>
      </c>
      <c r="AA31" s="319">
        <f>'Initial unit rates'!AA161</f>
        <v>7.4078027782372262E-3</v>
      </c>
      <c r="AB31" s="319">
        <f>'Initial unit rates'!AB161</f>
        <v>8.2788853114896754E-2</v>
      </c>
      <c r="AC31" s="319">
        <f>'Initial unit rates'!AC161</f>
        <v>0</v>
      </c>
      <c r="AD31" s="319">
        <f>'Initial unit rates'!AD161</f>
        <v>0</v>
      </c>
      <c r="AE31" s="319">
        <f>'Initial unit rates'!AE161</f>
        <v>0</v>
      </c>
      <c r="AF31" s="319">
        <f>'Initial unit rates'!AF161</f>
        <v>0</v>
      </c>
      <c r="AG31" s="319">
        <f>'Initial unit rates'!AG161</f>
        <v>0</v>
      </c>
      <c r="AH31" s="319">
        <f>'Initial unit rates'!AH161</f>
        <v>0</v>
      </c>
      <c r="AI31" s="319">
        <f>'Initial unit rates'!AI161</f>
        <v>0</v>
      </c>
      <c r="AJ31" s="319">
        <f>'Initial unit rates'!AJ161</f>
        <v>0</v>
      </c>
      <c r="AK31" s="319">
        <f>'Initial unit rates'!AK161</f>
        <v>0</v>
      </c>
      <c r="AL31" s="319">
        <f>'Initial unit rates'!AL161</f>
        <v>0</v>
      </c>
      <c r="AM31" s="319">
        <f>'Initial unit rates'!AM161</f>
        <v>0</v>
      </c>
      <c r="AN31" s="319">
        <f>'Initial unit rates'!AN161</f>
        <v>0</v>
      </c>
      <c r="AO31" s="319">
        <f>'Initial unit rates'!AO161</f>
        <v>0</v>
      </c>
      <c r="AP31" s="319">
        <f>'Initial unit rates'!AP161</f>
        <v>0</v>
      </c>
      <c r="AQ31" s="304"/>
      <c r="AR31" s="304"/>
    </row>
    <row r="32" spans="3:44" x14ac:dyDescent="0.25">
      <c r="D32"/>
      <c r="F32" s="23" t="s">
        <v>436</v>
      </c>
      <c r="G32" s="23" t="s">
        <v>327</v>
      </c>
      <c r="H32" s="302"/>
      <c r="I32" s="302"/>
      <c r="J32" s="320"/>
      <c r="K32" s="320"/>
      <c r="L32" s="320"/>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04"/>
      <c r="AR32" s="304"/>
    </row>
    <row r="33" spans="4:44" x14ac:dyDescent="0.25">
      <c r="D33"/>
      <c r="F33" s="37" t="s">
        <v>437</v>
      </c>
      <c r="G33" s="37" t="s">
        <v>327</v>
      </c>
      <c r="H33" s="308"/>
      <c r="I33" s="308"/>
      <c r="J33" s="309"/>
      <c r="K33" s="309"/>
      <c r="L33" s="309"/>
      <c r="M33" s="309"/>
      <c r="N33" s="309"/>
      <c r="O33" s="309"/>
      <c r="P33" s="309"/>
      <c r="Q33" s="309"/>
      <c r="R33" s="309"/>
      <c r="S33" s="309"/>
      <c r="T33" s="309"/>
      <c r="U33" s="309"/>
      <c r="V33" s="309"/>
      <c r="W33" s="309"/>
      <c r="X33" s="309"/>
      <c r="Y33" s="309"/>
      <c r="Z33" s="309"/>
      <c r="AA33" s="309"/>
      <c r="AB33" s="309"/>
      <c r="AC33" s="309"/>
      <c r="AD33" s="309"/>
      <c r="AE33" s="309"/>
      <c r="AF33" s="309"/>
      <c r="AG33" s="309"/>
      <c r="AH33" s="309"/>
      <c r="AI33" s="309"/>
      <c r="AJ33" s="309"/>
      <c r="AK33" s="309"/>
      <c r="AL33" s="309"/>
      <c r="AM33" s="309"/>
      <c r="AN33" s="309"/>
      <c r="AO33" s="309"/>
      <c r="AP33" s="309"/>
      <c r="AQ33" s="304"/>
      <c r="AR33" s="304"/>
    </row>
    <row r="34" spans="4:44" x14ac:dyDescent="0.25">
      <c r="D34"/>
      <c r="J34" s="92"/>
      <c r="K34" s="92"/>
      <c r="L34" s="92"/>
      <c r="M34" s="92"/>
      <c r="N34" s="92"/>
      <c r="O34" s="92"/>
      <c r="P34" s="92"/>
      <c r="Q34" s="92"/>
      <c r="R34" s="92"/>
      <c r="S34" s="92"/>
      <c r="T34" s="92"/>
      <c r="U34" s="92"/>
      <c r="V34" s="92"/>
      <c r="W34" s="92"/>
      <c r="X34" s="92"/>
      <c r="Y34" s="92"/>
      <c r="Z34" s="92"/>
      <c r="AA34" s="92"/>
      <c r="AB34" s="92"/>
      <c r="AC34" s="92"/>
      <c r="AD34" s="92"/>
      <c r="AE34" s="92"/>
      <c r="AF34" s="92"/>
      <c r="AG34" s="92"/>
      <c r="AH34" s="92"/>
      <c r="AI34" s="92"/>
      <c r="AJ34" s="92"/>
      <c r="AK34" s="92"/>
      <c r="AL34" s="92"/>
      <c r="AM34" s="92"/>
      <c r="AN34" s="92"/>
      <c r="AO34" s="92"/>
      <c r="AP34" s="92"/>
    </row>
    <row r="35" spans="4:44" x14ac:dyDescent="0.25">
      <c r="D35"/>
      <c r="E35" s="32" t="s">
        <v>734</v>
      </c>
      <c r="J35" s="92"/>
      <c r="K35" s="92"/>
      <c r="L35" s="92"/>
      <c r="M35" s="92"/>
      <c r="N35" s="92"/>
      <c r="O35" s="92"/>
      <c r="P35" s="92"/>
      <c r="Q35" s="92"/>
      <c r="R35" s="92"/>
      <c r="S35" s="92"/>
      <c r="T35" s="92"/>
      <c r="U35" s="92"/>
      <c r="V35" s="92"/>
      <c r="W35" s="92"/>
      <c r="X35" s="92"/>
      <c r="Y35" s="92"/>
      <c r="Z35" s="92"/>
      <c r="AA35" s="92"/>
      <c r="AB35" s="92"/>
      <c r="AC35" s="92"/>
      <c r="AD35" s="92"/>
      <c r="AE35" s="92"/>
      <c r="AF35" s="92"/>
      <c r="AG35" s="92"/>
      <c r="AH35" s="92"/>
      <c r="AI35" s="92"/>
      <c r="AJ35" s="92"/>
      <c r="AK35" s="92"/>
      <c r="AL35" s="92"/>
      <c r="AM35" s="92"/>
      <c r="AN35" s="92"/>
      <c r="AO35" s="92"/>
      <c r="AP35" s="92"/>
    </row>
    <row r="36" spans="4:44" x14ac:dyDescent="0.25">
      <c r="D36"/>
      <c r="F36" s="23" t="s">
        <v>225</v>
      </c>
      <c r="G36" s="23" t="s">
        <v>327</v>
      </c>
      <c r="H36" s="302"/>
      <c r="I36" s="302"/>
      <c r="J36" s="318">
        <f>'Initial unit rates'!J164</f>
        <v>0.5003030566907789</v>
      </c>
      <c r="K36" s="318">
        <f>'Initial unit rates'!K164</f>
        <v>0.58493298978196628</v>
      </c>
      <c r="L36" s="318">
        <f>'Initial unit rates'!L164</f>
        <v>0.18552522026250171</v>
      </c>
      <c r="M36" s="318">
        <f>'Initial unit rates'!M164</f>
        <v>0.50894682203747921</v>
      </c>
      <c r="N36" s="318">
        <f>'Initial unit rates'!N164</f>
        <v>0.55910467436217759</v>
      </c>
      <c r="O36" s="318">
        <f>'Initial unit rates'!O164</f>
        <v>0.16694877078911688</v>
      </c>
      <c r="P36" s="318">
        <f>'Initial unit rates'!P164</f>
        <v>0.4850294120004619</v>
      </c>
      <c r="Q36" s="318">
        <f>'Initial unit rates'!Q164</f>
        <v>0.38282594401293757</v>
      </c>
      <c r="R36" s="318">
        <f>'Initial unit rates'!R164</f>
        <v>0.52103303957497282</v>
      </c>
      <c r="S36" s="318">
        <f>'Initial unit rates'!S164</f>
        <v>2.2784199010139909</v>
      </c>
      <c r="T36" s="318">
        <f>'Initial unit rates'!T164</f>
        <v>2.4874575201312714</v>
      </c>
      <c r="U36" s="318">
        <f>'Initial unit rates'!U164</f>
        <v>1.9748930246392009</v>
      </c>
      <c r="V36" s="318">
        <f>'Initial unit rates'!V164</f>
        <v>1.9010989882277474</v>
      </c>
      <c r="W36" s="318">
        <f>'Initial unit rates'!W164</f>
        <v>1.7672584402229887</v>
      </c>
      <c r="X36" s="318">
        <f>'Initial unit rates'!X164</f>
        <v>0.28037516132809603</v>
      </c>
      <c r="Y36" s="318">
        <f>'Initial unit rates'!Y164</f>
        <v>0.31152506890375126</v>
      </c>
      <c r="Z36" s="318">
        <f>'Initial unit rates'!Z164</f>
        <v>0.50381377089222457</v>
      </c>
      <c r="AA36" s="318">
        <f>'Initial unit rates'!AA164</f>
        <v>0.27063372044558648</v>
      </c>
      <c r="AB36" s="318">
        <f>'Initial unit rates'!AB164</f>
        <v>3.7416845763420481</v>
      </c>
      <c r="AC36" s="318">
        <f>'Initial unit rates'!AC164</f>
        <v>-0.2908445903747941</v>
      </c>
      <c r="AD36" s="318">
        <f>'Initial unit rates'!AD164</f>
        <v>-0.28203920369372232</v>
      </c>
      <c r="AE36" s="318">
        <f>'Initial unit rates'!AE164</f>
        <v>-0.2908445903747941</v>
      </c>
      <c r="AF36" s="318">
        <f>'Initial unit rates'!AF164</f>
        <v>-0.2908445903747941</v>
      </c>
      <c r="AG36" s="318">
        <f>'Initial unit rates'!AG164</f>
        <v>-1.6594856857706644</v>
      </c>
      <c r="AH36" s="318">
        <f>'Initial unit rates'!AH164</f>
        <v>-1.6594856857706644</v>
      </c>
      <c r="AI36" s="318">
        <f>'Initial unit rates'!AI164</f>
        <v>-0.28203920369372232</v>
      </c>
      <c r="AJ36" s="318">
        <f>'Initial unit rates'!AJ164</f>
        <v>-0.28203920369372232</v>
      </c>
      <c r="AK36" s="318">
        <f>'Initial unit rates'!AK164</f>
        <v>-1.6092443760179744</v>
      </c>
      <c r="AL36" s="318">
        <f>'Initial unit rates'!AL164</f>
        <v>-1.6092443760179744</v>
      </c>
      <c r="AM36" s="318">
        <f>'Initial unit rates'!AM164</f>
        <v>-0.27616894590634117</v>
      </c>
      <c r="AN36" s="318">
        <f>'Initial unit rates'!AN164</f>
        <v>-0.27616894590634117</v>
      </c>
      <c r="AO36" s="318">
        <f>'Initial unit rates'!AO164</f>
        <v>-1.5757501695161811</v>
      </c>
      <c r="AP36" s="318">
        <f>'Initial unit rates'!AP164</f>
        <v>-1.5757501695161811</v>
      </c>
      <c r="AQ36" s="304"/>
      <c r="AR36" s="304"/>
    </row>
    <row r="37" spans="4:44" x14ac:dyDescent="0.25">
      <c r="D37"/>
      <c r="F37" t="s">
        <v>227</v>
      </c>
      <c r="G37" t="s">
        <v>327</v>
      </c>
      <c r="H37" s="304"/>
      <c r="I37" s="304"/>
      <c r="J37" s="319">
        <f>'Initial unit rates'!J165</f>
        <v>0</v>
      </c>
      <c r="K37" s="319">
        <f>'Initial unit rates'!K165</f>
        <v>0</v>
      </c>
      <c r="L37" s="319">
        <f>'Initial unit rates'!L165</f>
        <v>0</v>
      </c>
      <c r="M37" s="319">
        <f>'Initial unit rates'!M165</f>
        <v>0</v>
      </c>
      <c r="N37" s="319">
        <f>'Initial unit rates'!N165</f>
        <v>0</v>
      </c>
      <c r="O37" s="319">
        <f>'Initial unit rates'!O165</f>
        <v>0</v>
      </c>
      <c r="P37" s="319">
        <f>'Initial unit rates'!P165</f>
        <v>0</v>
      </c>
      <c r="Q37" s="319">
        <f>'Initial unit rates'!Q165</f>
        <v>0</v>
      </c>
      <c r="R37" s="319">
        <f>'Initial unit rates'!R165</f>
        <v>0</v>
      </c>
      <c r="S37" s="319">
        <f>'Initial unit rates'!S165</f>
        <v>0</v>
      </c>
      <c r="T37" s="319">
        <f>'Initial unit rates'!T165</f>
        <v>0</v>
      </c>
      <c r="U37" s="319">
        <f>'Initial unit rates'!U165</f>
        <v>0</v>
      </c>
      <c r="V37" s="319">
        <f>'Initial unit rates'!V165</f>
        <v>0</v>
      </c>
      <c r="W37" s="319">
        <f>'Initial unit rates'!W165</f>
        <v>0</v>
      </c>
      <c r="X37" s="319">
        <f>'Initial unit rates'!X165</f>
        <v>0</v>
      </c>
      <c r="Y37" s="319">
        <f>'Initial unit rates'!Y165</f>
        <v>0</v>
      </c>
      <c r="Z37" s="319">
        <f>'Initial unit rates'!Z165</f>
        <v>0</v>
      </c>
      <c r="AA37" s="319">
        <f>'Initial unit rates'!AA165</f>
        <v>0</v>
      </c>
      <c r="AB37" s="319">
        <f>'Initial unit rates'!AB165</f>
        <v>0</v>
      </c>
      <c r="AC37" s="319">
        <f>'Initial unit rates'!AC165</f>
        <v>0</v>
      </c>
      <c r="AD37" s="319">
        <f>'Initial unit rates'!AD165</f>
        <v>0</v>
      </c>
      <c r="AE37" s="319">
        <f>'Initial unit rates'!AE165</f>
        <v>0</v>
      </c>
      <c r="AF37" s="319">
        <f>'Initial unit rates'!AF165</f>
        <v>0</v>
      </c>
      <c r="AG37" s="319">
        <f>'Initial unit rates'!AG165</f>
        <v>0</v>
      </c>
      <c r="AH37" s="319">
        <f>'Initial unit rates'!AH165</f>
        <v>0</v>
      </c>
      <c r="AI37" s="319">
        <f>'Initial unit rates'!AI165</f>
        <v>0</v>
      </c>
      <c r="AJ37" s="319">
        <f>'Initial unit rates'!AJ165</f>
        <v>0</v>
      </c>
      <c r="AK37" s="319">
        <f>'Initial unit rates'!AK165</f>
        <v>0</v>
      </c>
      <c r="AL37" s="319">
        <f>'Initial unit rates'!AL165</f>
        <v>0</v>
      </c>
      <c r="AM37" s="319">
        <f>'Initial unit rates'!AM165</f>
        <v>0</v>
      </c>
      <c r="AN37" s="319">
        <f>'Initial unit rates'!AN165</f>
        <v>0</v>
      </c>
      <c r="AO37" s="319">
        <f>'Initial unit rates'!AO165</f>
        <v>0</v>
      </c>
      <c r="AP37" s="319">
        <f>'Initial unit rates'!AP165</f>
        <v>0</v>
      </c>
      <c r="AQ37" s="304"/>
      <c r="AR37" s="304"/>
    </row>
    <row r="38" spans="4:44" x14ac:dyDescent="0.25">
      <c r="D38"/>
      <c r="F38" t="s">
        <v>228</v>
      </c>
      <c r="G38" t="s">
        <v>327</v>
      </c>
      <c r="H38" s="304"/>
      <c r="I38" s="304"/>
      <c r="J38" s="319">
        <f>'Initial unit rates'!J166</f>
        <v>0</v>
      </c>
      <c r="K38" s="319">
        <f>'Initial unit rates'!K166</f>
        <v>0</v>
      </c>
      <c r="L38" s="319">
        <f>'Initial unit rates'!L166</f>
        <v>0</v>
      </c>
      <c r="M38" s="319">
        <f>'Initial unit rates'!M166</f>
        <v>0</v>
      </c>
      <c r="N38" s="319">
        <f>'Initial unit rates'!N166</f>
        <v>0</v>
      </c>
      <c r="O38" s="319">
        <f>'Initial unit rates'!O166</f>
        <v>0</v>
      </c>
      <c r="P38" s="319">
        <f>'Initial unit rates'!P166</f>
        <v>0</v>
      </c>
      <c r="Q38" s="319">
        <f>'Initial unit rates'!Q166</f>
        <v>0</v>
      </c>
      <c r="R38" s="319">
        <f>'Initial unit rates'!R166</f>
        <v>0</v>
      </c>
      <c r="S38" s="319">
        <f>'Initial unit rates'!S166</f>
        <v>0</v>
      </c>
      <c r="T38" s="319">
        <f>'Initial unit rates'!T166</f>
        <v>0</v>
      </c>
      <c r="U38" s="319">
        <f>'Initial unit rates'!U166</f>
        <v>0</v>
      </c>
      <c r="V38" s="319">
        <f>'Initial unit rates'!V166</f>
        <v>0</v>
      </c>
      <c r="W38" s="319">
        <f>'Initial unit rates'!W166</f>
        <v>0</v>
      </c>
      <c r="X38" s="319">
        <f>'Initial unit rates'!X166</f>
        <v>0</v>
      </c>
      <c r="Y38" s="319">
        <f>'Initial unit rates'!Y166</f>
        <v>0</v>
      </c>
      <c r="Z38" s="319">
        <f>'Initial unit rates'!Z166</f>
        <v>0</v>
      </c>
      <c r="AA38" s="319">
        <f>'Initial unit rates'!AA166</f>
        <v>0</v>
      </c>
      <c r="AB38" s="319">
        <f>'Initial unit rates'!AB166</f>
        <v>0</v>
      </c>
      <c r="AC38" s="319">
        <f>'Initial unit rates'!AC166</f>
        <v>0</v>
      </c>
      <c r="AD38" s="319">
        <f>'Initial unit rates'!AD166</f>
        <v>0</v>
      </c>
      <c r="AE38" s="319">
        <f>'Initial unit rates'!AE166</f>
        <v>0</v>
      </c>
      <c r="AF38" s="319">
        <f>'Initial unit rates'!AF166</f>
        <v>0</v>
      </c>
      <c r="AG38" s="319">
        <f>'Initial unit rates'!AG166</f>
        <v>0</v>
      </c>
      <c r="AH38" s="319">
        <f>'Initial unit rates'!AH166</f>
        <v>0</v>
      </c>
      <c r="AI38" s="319">
        <f>'Initial unit rates'!AI166</f>
        <v>0</v>
      </c>
      <c r="AJ38" s="319">
        <f>'Initial unit rates'!AJ166</f>
        <v>0</v>
      </c>
      <c r="AK38" s="319">
        <f>'Initial unit rates'!AK166</f>
        <v>0</v>
      </c>
      <c r="AL38" s="319">
        <f>'Initial unit rates'!AL166</f>
        <v>0</v>
      </c>
      <c r="AM38" s="319">
        <f>'Initial unit rates'!AM166</f>
        <v>0</v>
      </c>
      <c r="AN38" s="319">
        <f>'Initial unit rates'!AN166</f>
        <v>0</v>
      </c>
      <c r="AO38" s="319">
        <f>'Initial unit rates'!AO166</f>
        <v>0</v>
      </c>
      <c r="AP38" s="319">
        <f>'Initial unit rates'!AP166</f>
        <v>0</v>
      </c>
      <c r="AQ38" s="304"/>
      <c r="AR38" s="304"/>
    </row>
    <row r="39" spans="4:44" x14ac:dyDescent="0.25">
      <c r="D39"/>
      <c r="F39" t="s">
        <v>229</v>
      </c>
      <c r="G39" t="s">
        <v>327</v>
      </c>
      <c r="H39" s="304"/>
      <c r="I39" s="304"/>
      <c r="J39" s="319">
        <f>'Initial unit rates'!J167</f>
        <v>0</v>
      </c>
      <c r="K39" s="319">
        <f>'Initial unit rates'!K167</f>
        <v>0</v>
      </c>
      <c r="L39" s="319">
        <f>'Initial unit rates'!L167</f>
        <v>0</v>
      </c>
      <c r="M39" s="319">
        <f>'Initial unit rates'!M167</f>
        <v>0</v>
      </c>
      <c r="N39" s="319">
        <f>'Initial unit rates'!N167</f>
        <v>0</v>
      </c>
      <c r="O39" s="319">
        <f>'Initial unit rates'!O167</f>
        <v>0</v>
      </c>
      <c r="P39" s="319">
        <f>'Initial unit rates'!P167</f>
        <v>0</v>
      </c>
      <c r="Q39" s="319">
        <f>'Initial unit rates'!Q167</f>
        <v>0</v>
      </c>
      <c r="R39" s="319">
        <f>'Initial unit rates'!R167</f>
        <v>0</v>
      </c>
      <c r="S39" s="319">
        <f>'Initial unit rates'!S167</f>
        <v>0</v>
      </c>
      <c r="T39" s="319">
        <f>'Initial unit rates'!T167</f>
        <v>0</v>
      </c>
      <c r="U39" s="319">
        <f>'Initial unit rates'!U167</f>
        <v>0</v>
      </c>
      <c r="V39" s="319">
        <f>'Initial unit rates'!V167</f>
        <v>0</v>
      </c>
      <c r="W39" s="319">
        <f>'Initial unit rates'!W167</f>
        <v>0</v>
      </c>
      <c r="X39" s="319">
        <f>'Initial unit rates'!X167</f>
        <v>0</v>
      </c>
      <c r="Y39" s="319">
        <f>'Initial unit rates'!Y167</f>
        <v>0</v>
      </c>
      <c r="Z39" s="319">
        <f>'Initial unit rates'!Z167</f>
        <v>0</v>
      </c>
      <c r="AA39" s="319">
        <f>'Initial unit rates'!AA167</f>
        <v>0</v>
      </c>
      <c r="AB39" s="319">
        <f>'Initial unit rates'!AB167</f>
        <v>0</v>
      </c>
      <c r="AC39" s="319">
        <f>'Initial unit rates'!AC167</f>
        <v>0</v>
      </c>
      <c r="AD39" s="319">
        <f>'Initial unit rates'!AD167</f>
        <v>0</v>
      </c>
      <c r="AE39" s="319">
        <f>'Initial unit rates'!AE167</f>
        <v>0</v>
      </c>
      <c r="AF39" s="319">
        <f>'Initial unit rates'!AF167</f>
        <v>0</v>
      </c>
      <c r="AG39" s="319">
        <f>'Initial unit rates'!AG167</f>
        <v>0</v>
      </c>
      <c r="AH39" s="319">
        <f>'Initial unit rates'!AH167</f>
        <v>0</v>
      </c>
      <c r="AI39" s="319">
        <f>'Initial unit rates'!AI167</f>
        <v>0</v>
      </c>
      <c r="AJ39" s="319">
        <f>'Initial unit rates'!AJ167</f>
        <v>0</v>
      </c>
      <c r="AK39" s="319">
        <f>'Initial unit rates'!AK167</f>
        <v>0</v>
      </c>
      <c r="AL39" s="319">
        <f>'Initial unit rates'!AL167</f>
        <v>0</v>
      </c>
      <c r="AM39" s="319">
        <f>'Initial unit rates'!AM167</f>
        <v>0</v>
      </c>
      <c r="AN39" s="319">
        <f>'Initial unit rates'!AN167</f>
        <v>0</v>
      </c>
      <c r="AO39" s="319">
        <f>'Initial unit rates'!AO167</f>
        <v>0</v>
      </c>
      <c r="AP39" s="319">
        <f>'Initial unit rates'!AP167</f>
        <v>0</v>
      </c>
      <c r="AQ39" s="304"/>
      <c r="AR39" s="304"/>
    </row>
    <row r="40" spans="4:44" x14ac:dyDescent="0.25">
      <c r="D40"/>
      <c r="F40" t="s">
        <v>230</v>
      </c>
      <c r="G40" t="s">
        <v>327</v>
      </c>
      <c r="H40" s="304"/>
      <c r="I40" s="304"/>
      <c r="J40" s="319">
        <f>'Initial unit rates'!J168</f>
        <v>0.14008841586228898</v>
      </c>
      <c r="K40" s="319">
        <f>'Initial unit rates'!K168</f>
        <v>0.16181394331074517</v>
      </c>
      <c r="L40" s="319">
        <f>'Initial unit rates'!L168</f>
        <v>5.6005666663800517E-2</v>
      </c>
      <c r="M40" s="319">
        <f>'Initial unit rates'!M168</f>
        <v>0.14424726204634369</v>
      </c>
      <c r="N40" s="319">
        <f>'Initial unit rates'!N168</f>
        <v>0.15639412109168016</v>
      </c>
      <c r="O40" s="319">
        <f>'Initial unit rates'!O168</f>
        <v>5.0848965522191786E-2</v>
      </c>
      <c r="P40" s="319">
        <f>'Initial unit rates'!P168</f>
        <v>0.13567767989356325</v>
      </c>
      <c r="Q40" s="319">
        <f>'Initial unit rates'!Q168</f>
        <v>0.10708821898555099</v>
      </c>
      <c r="R40" s="319">
        <f>'Initial unit rates'!R168</f>
        <v>0.14582896640613005</v>
      </c>
      <c r="S40" s="319">
        <f>'Initial unit rates'!S168</f>
        <v>0.58400790487892518</v>
      </c>
      <c r="T40" s="319">
        <f>'Initial unit rates'!T168</f>
        <v>0.63837605865869274</v>
      </c>
      <c r="U40" s="319">
        <f>'Initial unit rates'!U168</f>
        <v>0.507007497256031</v>
      </c>
      <c r="V40" s="319">
        <f>'Initial unit rates'!V168</f>
        <v>0.48806260796501383</v>
      </c>
      <c r="W40" s="319">
        <f>'Initial unit rates'!W168</f>
        <v>0.453702184170583</v>
      </c>
      <c r="X40" s="319">
        <f>'Initial unit rates'!X168</f>
        <v>7.9748921250147112E-2</v>
      </c>
      <c r="Y40" s="319">
        <f>'Initial unit rates'!Y168</f>
        <v>8.3621431690797485E-2</v>
      </c>
      <c r="Z40" s="319">
        <f>'Initial unit rates'!Z168</f>
        <v>0.13097786141672385</v>
      </c>
      <c r="AA40" s="319">
        <f>'Initial unit rates'!AA168</f>
        <v>8.0633813829989118E-2</v>
      </c>
      <c r="AB40" s="319">
        <f>'Initial unit rates'!AB168</f>
        <v>0.90115533162904105</v>
      </c>
      <c r="AC40" s="319">
        <f>'Initial unit rates'!AC168</f>
        <v>-8.2783567942428402E-2</v>
      </c>
      <c r="AD40" s="319">
        <f>'Initial unit rates'!AD168</f>
        <v>-8.0277276435914507E-2</v>
      </c>
      <c r="AE40" s="319">
        <f>'Initial unit rates'!AE168</f>
        <v>-8.2783567942428402E-2</v>
      </c>
      <c r="AF40" s="319">
        <f>'Initial unit rates'!AF168</f>
        <v>-8.2783567942428402E-2</v>
      </c>
      <c r="AG40" s="319">
        <f>'Initial unit rates'!AG168</f>
        <v>-0.42603405540333272</v>
      </c>
      <c r="AH40" s="319">
        <f>'Initial unit rates'!AH168</f>
        <v>-0.42603405540333272</v>
      </c>
      <c r="AI40" s="319">
        <f>'Initial unit rates'!AI168</f>
        <v>-8.0277276435914507E-2</v>
      </c>
      <c r="AJ40" s="319">
        <f>'Initial unit rates'!AJ168</f>
        <v>-8.0277276435914507E-2</v>
      </c>
      <c r="AK40" s="319">
        <f>'Initial unit rates'!AK168</f>
        <v>-0.41313577666176393</v>
      </c>
      <c r="AL40" s="319">
        <f>'Initial unit rates'!AL168</f>
        <v>-0.41313577666176393</v>
      </c>
      <c r="AM40" s="319">
        <f>'Initial unit rates'!AM168</f>
        <v>-7.8606415431571916E-2</v>
      </c>
      <c r="AN40" s="319">
        <f>'Initial unit rates'!AN168</f>
        <v>-7.8606415431571916E-2</v>
      </c>
      <c r="AO40" s="319">
        <f>'Initial unit rates'!AO168</f>
        <v>-0.40453692416738474</v>
      </c>
      <c r="AP40" s="319">
        <f>'Initial unit rates'!AP168</f>
        <v>-0.40453692416738474</v>
      </c>
      <c r="AQ40" s="304"/>
      <c r="AR40" s="304"/>
    </row>
    <row r="41" spans="4:44" x14ac:dyDescent="0.25">
      <c r="D41"/>
      <c r="F41" t="s">
        <v>231</v>
      </c>
      <c r="G41" t="s">
        <v>327</v>
      </c>
      <c r="H41" s="304"/>
      <c r="I41" s="304"/>
      <c r="J41" s="319">
        <f>'Initial unit rates'!J169</f>
        <v>0.12675148108856613</v>
      </c>
      <c r="K41" s="319">
        <f>'Initial unit rates'!K169</f>
        <v>0.14640865805478384</v>
      </c>
      <c r="L41" s="319">
        <f>'Initial unit rates'!L169</f>
        <v>5.0673720273684712E-2</v>
      </c>
      <c r="M41" s="319">
        <f>'Initial unit rates'!M169</f>
        <v>0.1305143897502406</v>
      </c>
      <c r="N41" s="319">
        <f>'Initial unit rates'!N169</f>
        <v>0.14150482293555086</v>
      </c>
      <c r="O41" s="319">
        <f>'Initial unit rates'!O169</f>
        <v>4.6007956133182662E-2</v>
      </c>
      <c r="P41" s="319">
        <f>'Initial unit rates'!P169</f>
        <v>0.12276066348037658</v>
      </c>
      <c r="Q41" s="319">
        <f>'Initial unit rates'!Q169</f>
        <v>9.6893024880076659E-2</v>
      </c>
      <c r="R41" s="319">
        <f>'Initial unit rates'!R169</f>
        <v>0.13194551001106389</v>
      </c>
      <c r="S41" s="319">
        <f>'Initial unit rates'!S169</f>
        <v>0.52840819460476895</v>
      </c>
      <c r="T41" s="319">
        <f>'Initial unit rates'!T169</f>
        <v>0.57760029927108725</v>
      </c>
      <c r="U41" s="319">
        <f>'Initial unit rates'!U169</f>
        <v>0.45873851028041024</v>
      </c>
      <c r="V41" s="319">
        <f>'Initial unit rates'!V169</f>
        <v>0.44159724444544007</v>
      </c>
      <c r="W41" s="319">
        <f>'Initial unit rates'!W169</f>
        <v>0.41050805994744255</v>
      </c>
      <c r="X41" s="319">
        <f>'Initial unit rates'!X169</f>
        <v>7.2156529299384167E-2</v>
      </c>
      <c r="Y41" s="319">
        <f>'Initial unit rates'!Y169</f>
        <v>7.5660362438348963E-2</v>
      </c>
      <c r="Z41" s="319">
        <f>'Initial unit rates'!Z169</f>
        <v>0.11850828508691683</v>
      </c>
      <c r="AA41" s="319">
        <f>'Initial unit rates'!AA169</f>
        <v>7.2957176836219162E-2</v>
      </c>
      <c r="AB41" s="319">
        <f>'Initial unit rates'!AB169</f>
        <v>0.81536201456602408</v>
      </c>
      <c r="AC41" s="319">
        <f>'Initial unit rates'!AC169</f>
        <v>-7.4902266414473617E-2</v>
      </c>
      <c r="AD41" s="319">
        <f>'Initial unit rates'!AD169</f>
        <v>-7.2634583119356513E-2</v>
      </c>
      <c r="AE41" s="319">
        <f>'Initial unit rates'!AE169</f>
        <v>-7.4902266414473617E-2</v>
      </c>
      <c r="AF41" s="319">
        <f>'Initial unit rates'!AF169</f>
        <v>-7.4902266414473617E-2</v>
      </c>
      <c r="AG41" s="319">
        <f>'Initial unit rates'!AG169</f>
        <v>-0.38547403926406504</v>
      </c>
      <c r="AH41" s="319">
        <f>'Initial unit rates'!AH169</f>
        <v>-0.38547403926406504</v>
      </c>
      <c r="AI41" s="319">
        <f>'Initial unit rates'!AI169</f>
        <v>-7.2634583119356513E-2</v>
      </c>
      <c r="AJ41" s="319">
        <f>'Initial unit rates'!AJ169</f>
        <v>-7.2634583119356513E-2</v>
      </c>
      <c r="AK41" s="319">
        <f>'Initial unit rates'!AK169</f>
        <v>-0.37380372431386849</v>
      </c>
      <c r="AL41" s="319">
        <f>'Initial unit rates'!AL169</f>
        <v>-0.37380372431386849</v>
      </c>
      <c r="AM41" s="319">
        <f>'Initial unit rates'!AM169</f>
        <v>-7.1122794255945115E-2</v>
      </c>
      <c r="AN41" s="319">
        <f>'Initial unit rates'!AN169</f>
        <v>-7.1122794255945115E-2</v>
      </c>
      <c r="AO41" s="319">
        <f>'Initial unit rates'!AO169</f>
        <v>-0.36602351434707092</v>
      </c>
      <c r="AP41" s="319">
        <f>'Initial unit rates'!AP169</f>
        <v>-0.36602351434707092</v>
      </c>
      <c r="AQ41" s="304"/>
      <c r="AR41" s="304"/>
    </row>
    <row r="42" spans="4:44" x14ac:dyDescent="0.25">
      <c r="D42"/>
      <c r="F42" t="s">
        <v>232</v>
      </c>
      <c r="G42" t="s">
        <v>327</v>
      </c>
      <c r="H42" s="304"/>
      <c r="I42" s="304"/>
      <c r="J42" s="319">
        <f>'Initial unit rates'!J170</f>
        <v>0</v>
      </c>
      <c r="K42" s="319">
        <f>'Initial unit rates'!K170</f>
        <v>0</v>
      </c>
      <c r="L42" s="319">
        <f>'Initial unit rates'!L170</f>
        <v>0</v>
      </c>
      <c r="M42" s="319">
        <f>'Initial unit rates'!M170</f>
        <v>0</v>
      </c>
      <c r="N42" s="319">
        <f>'Initial unit rates'!N170</f>
        <v>0</v>
      </c>
      <c r="O42" s="319">
        <f>'Initial unit rates'!O170</f>
        <v>0</v>
      </c>
      <c r="P42" s="319">
        <f>'Initial unit rates'!P170</f>
        <v>0</v>
      </c>
      <c r="Q42" s="319">
        <f>'Initial unit rates'!Q170</f>
        <v>0</v>
      </c>
      <c r="R42" s="319">
        <f>'Initial unit rates'!R170</f>
        <v>0</v>
      </c>
      <c r="S42" s="319">
        <f>'Initial unit rates'!S170</f>
        <v>0</v>
      </c>
      <c r="T42" s="319">
        <f>'Initial unit rates'!T170</f>
        <v>0</v>
      </c>
      <c r="U42" s="319">
        <f>'Initial unit rates'!U170</f>
        <v>0</v>
      </c>
      <c r="V42" s="319">
        <f>'Initial unit rates'!V170</f>
        <v>0</v>
      </c>
      <c r="W42" s="319">
        <f>'Initial unit rates'!W170</f>
        <v>0</v>
      </c>
      <c r="X42" s="319">
        <f>'Initial unit rates'!X170</f>
        <v>0</v>
      </c>
      <c r="Y42" s="319">
        <f>'Initial unit rates'!Y170</f>
        <v>0</v>
      </c>
      <c r="Z42" s="319">
        <f>'Initial unit rates'!Z170</f>
        <v>0</v>
      </c>
      <c r="AA42" s="319">
        <f>'Initial unit rates'!AA170</f>
        <v>0</v>
      </c>
      <c r="AB42" s="319">
        <f>'Initial unit rates'!AB170</f>
        <v>0</v>
      </c>
      <c r="AC42" s="319">
        <f>'Initial unit rates'!AC170</f>
        <v>0</v>
      </c>
      <c r="AD42" s="319">
        <f>'Initial unit rates'!AD170</f>
        <v>0</v>
      </c>
      <c r="AE42" s="319">
        <f>'Initial unit rates'!AE170</f>
        <v>0</v>
      </c>
      <c r="AF42" s="319">
        <f>'Initial unit rates'!AF170</f>
        <v>0</v>
      </c>
      <c r="AG42" s="319">
        <f>'Initial unit rates'!AG170</f>
        <v>0</v>
      </c>
      <c r="AH42" s="319">
        <f>'Initial unit rates'!AH170</f>
        <v>0</v>
      </c>
      <c r="AI42" s="319">
        <f>'Initial unit rates'!AI170</f>
        <v>0</v>
      </c>
      <c r="AJ42" s="319">
        <f>'Initial unit rates'!AJ170</f>
        <v>0</v>
      </c>
      <c r="AK42" s="319">
        <f>'Initial unit rates'!AK170</f>
        <v>0</v>
      </c>
      <c r="AL42" s="319">
        <f>'Initial unit rates'!AL170</f>
        <v>0</v>
      </c>
      <c r="AM42" s="319">
        <f>'Initial unit rates'!AM170</f>
        <v>0</v>
      </c>
      <c r="AN42" s="319">
        <f>'Initial unit rates'!AN170</f>
        <v>0</v>
      </c>
      <c r="AO42" s="319">
        <f>'Initial unit rates'!AO170</f>
        <v>0</v>
      </c>
      <c r="AP42" s="319">
        <f>'Initial unit rates'!AP170</f>
        <v>0</v>
      </c>
      <c r="AQ42" s="304"/>
      <c r="AR42" s="304"/>
    </row>
    <row r="43" spans="4:44" x14ac:dyDescent="0.25">
      <c r="D43"/>
      <c r="F43" t="s">
        <v>233</v>
      </c>
      <c r="G43" t="s">
        <v>327</v>
      </c>
      <c r="H43" s="304"/>
      <c r="I43" s="304"/>
      <c r="J43" s="319">
        <f>'Initial unit rates'!J171</f>
        <v>0.52376935513090472</v>
      </c>
      <c r="K43" s="319">
        <f>'Initial unit rates'!K171</f>
        <v>0.60499780954317195</v>
      </c>
      <c r="L43" s="319">
        <f>'Initial unit rates'!L171</f>
        <v>0.2093966994459516</v>
      </c>
      <c r="M43" s="319">
        <f>'Initial unit rates'!M171</f>
        <v>0.53931865069901419</v>
      </c>
      <c r="N43" s="319">
        <f>'Initial unit rates'!N171</f>
        <v>0.58473391569348787</v>
      </c>
      <c r="O43" s="319">
        <f>'Initial unit rates'!O171</f>
        <v>0.19011657542628754</v>
      </c>
      <c r="P43" s="319">
        <f>'Initial unit rates'!P171</f>
        <v>0.50727828183428636</v>
      </c>
      <c r="Q43" s="319">
        <f>'Initial unit rates'!Q171</f>
        <v>0.40038662051341062</v>
      </c>
      <c r="R43" s="319">
        <f>'Initial unit rates'!R171</f>
        <v>0.54523240357739211</v>
      </c>
      <c r="S43" s="319">
        <f>'Initial unit rates'!S171</f>
        <v>2.1835170441964293</v>
      </c>
      <c r="T43" s="319">
        <f>'Initial unit rates'!T171</f>
        <v>2.3867913311501749</v>
      </c>
      <c r="U43" s="319">
        <f>'Initial unit rates'!U171</f>
        <v>1.8956241902640518</v>
      </c>
      <c r="V43" s="319">
        <f>'Initial unit rates'!V171</f>
        <v>1.8247921204893687</v>
      </c>
      <c r="W43" s="319">
        <f>'Initial unit rates'!W171</f>
        <v>1.6963237035823981</v>
      </c>
      <c r="X43" s="319">
        <f>'Initial unit rates'!X171</f>
        <v>0.29816912982038446</v>
      </c>
      <c r="Y43" s="319">
        <f>'Initial unit rates'!Y171</f>
        <v>0.31264785944090517</v>
      </c>
      <c r="Z43" s="319">
        <f>'Initial unit rates'!Z171</f>
        <v>0.48970637285313023</v>
      </c>
      <c r="AA43" s="319">
        <f>'Initial unit rates'!AA171</f>
        <v>0.30147760906223409</v>
      </c>
      <c r="AB43" s="319">
        <f>'Initial unit rates'!AB171</f>
        <v>3.3692832060011786</v>
      </c>
      <c r="AC43" s="319">
        <f>'Initial unit rates'!AC171</f>
        <v>-0.30951521387225062</v>
      </c>
      <c r="AD43" s="319">
        <f>'Initial unit rates'!AD171</f>
        <v>-0.30014456978254023</v>
      </c>
      <c r="AE43" s="319">
        <f>'Initial unit rates'!AE171</f>
        <v>-0.30951521387225062</v>
      </c>
      <c r="AF43" s="319">
        <f>'Initial unit rates'!AF171</f>
        <v>-0.30951521387225062</v>
      </c>
      <c r="AG43" s="319">
        <f>'Initial unit rates'!AG171</f>
        <v>-1.5928767634988776</v>
      </c>
      <c r="AH43" s="319">
        <f>'Initial unit rates'!AH171</f>
        <v>-1.5928767634988776</v>
      </c>
      <c r="AI43" s="319">
        <f>'Initial unit rates'!AI171</f>
        <v>-0.30014456978254023</v>
      </c>
      <c r="AJ43" s="319">
        <f>'Initial unit rates'!AJ171</f>
        <v>-0.30014456978254023</v>
      </c>
      <c r="AK43" s="319">
        <f>'Initial unit rates'!AK171</f>
        <v>-1.5446520541452415</v>
      </c>
      <c r="AL43" s="319">
        <f>'Initial unit rates'!AL171</f>
        <v>-1.5446520541452415</v>
      </c>
      <c r="AM43" s="319">
        <f>'Initial unit rates'!AM171</f>
        <v>0</v>
      </c>
      <c r="AN43" s="319">
        <f>'Initial unit rates'!AN171</f>
        <v>0</v>
      </c>
      <c r="AO43" s="319">
        <f>'Initial unit rates'!AO171</f>
        <v>0</v>
      </c>
      <c r="AP43" s="319">
        <f>'Initial unit rates'!AP171</f>
        <v>0</v>
      </c>
      <c r="AQ43" s="304"/>
      <c r="AR43" s="304"/>
    </row>
    <row r="44" spans="4:44" x14ac:dyDescent="0.25">
      <c r="D44"/>
      <c r="F44" t="s">
        <v>234</v>
      </c>
      <c r="G44" t="s">
        <v>327</v>
      </c>
      <c r="H44" s="304"/>
      <c r="I44" s="304"/>
      <c r="J44" s="319">
        <f>'Initial unit rates'!J172</f>
        <v>0.12683156969214374</v>
      </c>
      <c r="K44" s="319">
        <f>'Initial unit rates'!K172</f>
        <v>0.14650116715112399</v>
      </c>
      <c r="L44" s="319">
        <f>'Initial unit rates'!L172</f>
        <v>5.0705738735796146E-2</v>
      </c>
      <c r="M44" s="319">
        <f>'Initial unit rates'!M172</f>
        <v>0.13059685596785095</v>
      </c>
      <c r="N44" s="319">
        <f>'Initial unit rates'!N172</f>
        <v>0.14159423351735295</v>
      </c>
      <c r="O44" s="319">
        <f>'Initial unit rates'!O172</f>
        <v>4.6037026507181632E-2</v>
      </c>
      <c r="P44" s="319">
        <f>'Initial unit rates'!P172</f>
        <v>0.12283823046443047</v>
      </c>
      <c r="Q44" s="319">
        <f>'Initial unit rates'!Q172</f>
        <v>9.6954247257854106E-2</v>
      </c>
      <c r="R44" s="319">
        <f>'Initial unit rates'!R172</f>
        <v>0</v>
      </c>
      <c r="S44" s="319">
        <f>'Initial unit rates'!S172</f>
        <v>0.5287420721583993</v>
      </c>
      <c r="T44" s="319">
        <f>'Initial unit rates'!T172</f>
        <v>0.57796525912005592</v>
      </c>
      <c r="U44" s="319">
        <f>'Initial unit rates'!U172</f>
        <v>0.45902836667009583</v>
      </c>
      <c r="V44" s="319">
        <f>'Initial unit rates'!V172</f>
        <v>0.44187627003431384</v>
      </c>
      <c r="W44" s="319">
        <f>'Initial unit rates'!W172</f>
        <v>0</v>
      </c>
      <c r="X44" s="319">
        <f>'Initial unit rates'!X172</f>
        <v>7.2202121789672752E-2</v>
      </c>
      <c r="Y44" s="319">
        <f>'Initial unit rates'!Y172</f>
        <v>7.5708168844410853E-2</v>
      </c>
      <c r="Z44" s="319">
        <f>'Initial unit rates'!Z172</f>
        <v>0.11858316518286111</v>
      </c>
      <c r="AA44" s="319">
        <f>'Initial unit rates'!AA172</f>
        <v>7.3003275219950828E-2</v>
      </c>
      <c r="AB44" s="319">
        <f>'Initial unit rates'!AB172</f>
        <v>0.81587720543082498</v>
      </c>
      <c r="AC44" s="319">
        <f>'Initial unit rates'!AC172</f>
        <v>-7.4949593813494239E-2</v>
      </c>
      <c r="AD44" s="319">
        <f>'Initial unit rates'!AD172</f>
        <v>0</v>
      </c>
      <c r="AE44" s="319">
        <f>'Initial unit rates'!AE172</f>
        <v>-7.4949593813494239E-2</v>
      </c>
      <c r="AF44" s="319">
        <f>'Initial unit rates'!AF172</f>
        <v>-7.4949593813494239E-2</v>
      </c>
      <c r="AG44" s="319">
        <f>'Initial unit rates'!AG172</f>
        <v>-0.38571760310454206</v>
      </c>
      <c r="AH44" s="319">
        <f>'Initial unit rates'!AH172</f>
        <v>-0.38571760310454206</v>
      </c>
      <c r="AI44" s="319">
        <f>'Initial unit rates'!AI172</f>
        <v>0</v>
      </c>
      <c r="AJ44" s="319">
        <f>'Initial unit rates'!AJ172</f>
        <v>0</v>
      </c>
      <c r="AK44" s="319">
        <f>'Initial unit rates'!AK172</f>
        <v>0</v>
      </c>
      <c r="AL44" s="319">
        <f>'Initial unit rates'!AL172</f>
        <v>0</v>
      </c>
      <c r="AM44" s="319">
        <f>'Initial unit rates'!AM172</f>
        <v>0</v>
      </c>
      <c r="AN44" s="319">
        <f>'Initial unit rates'!AN172</f>
        <v>0</v>
      </c>
      <c r="AO44" s="319">
        <f>'Initial unit rates'!AO172</f>
        <v>0</v>
      </c>
      <c r="AP44" s="319">
        <f>'Initial unit rates'!AP172</f>
        <v>0</v>
      </c>
      <c r="AQ44" s="304"/>
      <c r="AR44" s="304"/>
    </row>
    <row r="45" spans="4:44" x14ac:dyDescent="0.25">
      <c r="D45"/>
      <c r="F45" t="s">
        <v>235</v>
      </c>
      <c r="G45" t="s">
        <v>327</v>
      </c>
      <c r="H45" s="304"/>
      <c r="I45" s="304"/>
      <c r="J45" s="319">
        <f>'Initial unit rates'!J173</f>
        <v>0.30107668075313559</v>
      </c>
      <c r="K45" s="319">
        <f>'Initial unit rates'!K173</f>
        <v>0.3477689761262403</v>
      </c>
      <c r="L45" s="319">
        <f>'Initial unit rates'!L173</f>
        <v>0.12036684203124573</v>
      </c>
      <c r="M45" s="319">
        <f>'Initial unit rates'!M173</f>
        <v>0.31001483311320599</v>
      </c>
      <c r="N45" s="319">
        <f>'Initial unit rates'!N173</f>
        <v>0.33612074615701665</v>
      </c>
      <c r="O45" s="319">
        <f>'Initial unit rates'!O173</f>
        <v>0.10928410935991854</v>
      </c>
      <c r="P45" s="319">
        <f>'Initial unit rates'!P173</f>
        <v>0.29159716928198121</v>
      </c>
      <c r="Q45" s="319">
        <f>'Initial unit rates'!Q173</f>
        <v>0</v>
      </c>
      <c r="R45" s="319">
        <f>'Initial unit rates'!R173</f>
        <v>0</v>
      </c>
      <c r="S45" s="319">
        <f>'Initial unit rates'!S173</f>
        <v>1.2551441919893429</v>
      </c>
      <c r="T45" s="319">
        <f>'Initial unit rates'!T173</f>
        <v>1.3719917070242733</v>
      </c>
      <c r="U45" s="319">
        <f>'Initial unit rates'!U173</f>
        <v>1.0896556539040165</v>
      </c>
      <c r="V45" s="319">
        <f>'Initial unit rates'!V173</f>
        <v>0</v>
      </c>
      <c r="W45" s="319">
        <f>'Initial unit rates'!W173</f>
        <v>0</v>
      </c>
      <c r="X45" s="319">
        <f>'Initial unit rates'!X173</f>
        <v>0.17139561723105323</v>
      </c>
      <c r="Y45" s="319">
        <f>'Initial unit rates'!Y173</f>
        <v>0.17971837955566269</v>
      </c>
      <c r="Z45" s="319">
        <f>'Initial unit rates'!Z173</f>
        <v>0.28149636445497789</v>
      </c>
      <c r="AA45" s="319">
        <f>'Initial unit rates'!AA173</f>
        <v>0.1732974198827715</v>
      </c>
      <c r="AB45" s="319">
        <f>'Initial unit rates'!AB173</f>
        <v>1.9367544019954885</v>
      </c>
      <c r="AC45" s="319">
        <f>'Initial unit rates'!AC173</f>
        <v>0</v>
      </c>
      <c r="AD45" s="319">
        <f>'Initial unit rates'!AD173</f>
        <v>0</v>
      </c>
      <c r="AE45" s="319">
        <f>'Initial unit rates'!AE173</f>
        <v>0</v>
      </c>
      <c r="AF45" s="319">
        <f>'Initial unit rates'!AF173</f>
        <v>0</v>
      </c>
      <c r="AG45" s="319">
        <f>'Initial unit rates'!AG173</f>
        <v>0</v>
      </c>
      <c r="AH45" s="319">
        <f>'Initial unit rates'!AH173</f>
        <v>0</v>
      </c>
      <c r="AI45" s="319">
        <f>'Initial unit rates'!AI173</f>
        <v>0</v>
      </c>
      <c r="AJ45" s="319">
        <f>'Initial unit rates'!AJ173</f>
        <v>0</v>
      </c>
      <c r="AK45" s="319">
        <f>'Initial unit rates'!AK173</f>
        <v>0</v>
      </c>
      <c r="AL45" s="319">
        <f>'Initial unit rates'!AL173</f>
        <v>0</v>
      </c>
      <c r="AM45" s="319">
        <f>'Initial unit rates'!AM173</f>
        <v>0</v>
      </c>
      <c r="AN45" s="319">
        <f>'Initial unit rates'!AN173</f>
        <v>0</v>
      </c>
      <c r="AO45" s="319">
        <f>'Initial unit rates'!AO173</f>
        <v>0</v>
      </c>
      <c r="AP45" s="319">
        <f>'Initial unit rates'!AP173</f>
        <v>0</v>
      </c>
      <c r="AQ45" s="304"/>
      <c r="AR45" s="304"/>
    </row>
    <row r="46" spans="4:44" x14ac:dyDescent="0.25">
      <c r="D46"/>
      <c r="F46" s="23" t="s">
        <v>436</v>
      </c>
      <c r="G46" s="23" t="s">
        <v>327</v>
      </c>
      <c r="H46" s="302"/>
      <c r="I46" s="302" t="s">
        <v>190</v>
      </c>
      <c r="J46" s="320"/>
      <c r="K46" s="320"/>
      <c r="L46" s="320"/>
      <c r="M46" s="320"/>
      <c r="N46" s="320"/>
      <c r="O46" s="320"/>
      <c r="P46" s="320"/>
      <c r="Q46" s="320"/>
      <c r="R46" s="320"/>
      <c r="S46" s="320"/>
      <c r="T46" s="320"/>
      <c r="U46" s="320"/>
      <c r="V46" s="320"/>
      <c r="W46" s="320"/>
      <c r="X46" s="318">
        <f>'Service model charges'!$X$44</f>
        <v>1.8575743700341227</v>
      </c>
      <c r="Y46" s="318">
        <f>'Service model charges'!$Y$44</f>
        <v>1.8575743700341227</v>
      </c>
      <c r="Z46" s="318">
        <f>'Service model charges'!$Z$44</f>
        <v>1.8575743700341227</v>
      </c>
      <c r="AA46" s="318">
        <f>'Service model charges'!$AA$44</f>
        <v>1.8575743700341227</v>
      </c>
      <c r="AB46" s="318">
        <f>'Service model charges'!$AB$44</f>
        <v>1.8575743700341227</v>
      </c>
      <c r="AC46" s="320"/>
      <c r="AD46" s="320"/>
      <c r="AE46" s="320"/>
      <c r="AF46" s="320"/>
      <c r="AG46" s="320"/>
      <c r="AH46" s="320"/>
      <c r="AI46" s="320"/>
      <c r="AJ46" s="320"/>
      <c r="AK46" s="320"/>
      <c r="AL46" s="320"/>
      <c r="AM46" s="320"/>
      <c r="AN46" s="320"/>
      <c r="AO46" s="320"/>
      <c r="AP46" s="320"/>
      <c r="AQ46" s="304"/>
      <c r="AR46" s="304" t="s">
        <v>779</v>
      </c>
    </row>
    <row r="47" spans="4:44" x14ac:dyDescent="0.25">
      <c r="D47"/>
      <c r="F47" s="37" t="s">
        <v>437</v>
      </c>
      <c r="G47" s="37" t="s">
        <v>327</v>
      </c>
      <c r="H47" s="308"/>
      <c r="I47" s="308"/>
      <c r="J47" s="309"/>
      <c r="K47" s="309"/>
      <c r="L47" s="309"/>
      <c r="M47" s="309"/>
      <c r="N47" s="309"/>
      <c r="O47" s="309"/>
      <c r="P47" s="309"/>
      <c r="Q47" s="309"/>
      <c r="R47" s="309"/>
      <c r="S47" s="309"/>
      <c r="T47" s="309"/>
      <c r="U47" s="309"/>
      <c r="V47" s="309"/>
      <c r="W47" s="309"/>
      <c r="X47" s="309"/>
      <c r="Y47" s="309"/>
      <c r="Z47" s="309"/>
      <c r="AA47" s="309"/>
      <c r="AB47" s="309"/>
      <c r="AC47" s="309"/>
      <c r="AD47" s="309"/>
      <c r="AE47" s="309"/>
      <c r="AF47" s="309"/>
      <c r="AG47" s="309"/>
      <c r="AH47" s="309"/>
      <c r="AI47" s="309"/>
      <c r="AJ47" s="309"/>
      <c r="AK47" s="309"/>
      <c r="AL47" s="309"/>
      <c r="AM47" s="309"/>
      <c r="AN47" s="309"/>
      <c r="AO47" s="309"/>
      <c r="AP47" s="309"/>
      <c r="AQ47" s="304"/>
      <c r="AR47" s="304"/>
    </row>
    <row r="48" spans="4:44" x14ac:dyDescent="0.25">
      <c r="J48" s="92"/>
      <c r="K48" s="92"/>
      <c r="L48" s="92"/>
      <c r="M48" s="92"/>
      <c r="N48" s="92"/>
      <c r="O48" s="92"/>
      <c r="P48" s="92"/>
      <c r="Q48" s="92"/>
      <c r="R48" s="92"/>
      <c r="S48" s="92"/>
      <c r="T48" s="92"/>
      <c r="U48" s="92"/>
      <c r="V48" s="92"/>
      <c r="W48" s="92"/>
      <c r="X48" s="92"/>
      <c r="Y48" s="92"/>
      <c r="Z48" s="92"/>
      <c r="AA48" s="92"/>
      <c r="AB48" s="92"/>
      <c r="AC48" s="92"/>
      <c r="AD48" s="92"/>
      <c r="AE48" s="92"/>
      <c r="AF48" s="92"/>
      <c r="AG48" s="92"/>
      <c r="AH48" s="92"/>
      <c r="AI48" s="92"/>
      <c r="AJ48" s="92"/>
      <c r="AK48" s="92"/>
      <c r="AL48" s="92"/>
      <c r="AM48" s="92"/>
      <c r="AN48" s="92"/>
      <c r="AO48" s="92"/>
      <c r="AP48" s="92"/>
    </row>
    <row r="49" spans="3:44" x14ac:dyDescent="0.25">
      <c r="C49" s="31" t="str">
        <f ca="1">INDEX('Version control'!$H$34:$H$56,MATCH($A$1,'Version control'!$F$34:$F$56,0),1)&amp;"-B: Initial unit rate 2"</f>
        <v>Section 111-B: Initial unit rate 2</v>
      </c>
      <c r="D49" s="31"/>
      <c r="E49" s="31"/>
      <c r="F49" s="31"/>
      <c r="G49" s="31"/>
      <c r="H49" s="31"/>
      <c r="I49" s="31"/>
      <c r="J49" s="93"/>
      <c r="K49" s="93"/>
      <c r="L49" s="93"/>
      <c r="M49" s="93"/>
      <c r="N49" s="93"/>
      <c r="O49" s="93"/>
      <c r="P49" s="93"/>
      <c r="Q49" s="93"/>
      <c r="R49" s="93"/>
      <c r="S49" s="93"/>
      <c r="T49" s="93"/>
      <c r="U49" s="93"/>
      <c r="V49" s="93"/>
      <c r="W49" s="93"/>
      <c r="X49" s="93"/>
      <c r="Y49" s="93"/>
      <c r="Z49" s="93"/>
      <c r="AA49" s="93"/>
      <c r="AB49" s="93"/>
      <c r="AC49" s="93"/>
      <c r="AD49" s="93"/>
      <c r="AE49" s="93"/>
      <c r="AF49" s="93"/>
      <c r="AG49" s="93"/>
      <c r="AH49" s="93"/>
      <c r="AI49" s="93"/>
      <c r="AJ49" s="93"/>
      <c r="AK49" s="93"/>
      <c r="AL49" s="93"/>
      <c r="AM49" s="93"/>
      <c r="AN49" s="93"/>
      <c r="AO49" s="93"/>
      <c r="AP49" s="93"/>
      <c r="AQ49" s="31"/>
      <c r="AR49" s="31"/>
    </row>
    <row r="50" spans="3:44" x14ac:dyDescent="0.25">
      <c r="C50" s="32"/>
      <c r="D50"/>
      <c r="E50" s="32"/>
      <c r="J50" s="92"/>
      <c r="K50" s="92"/>
      <c r="L50" s="92"/>
      <c r="M50" s="92"/>
      <c r="N50" s="92"/>
      <c r="O50" s="92"/>
      <c r="P50" s="92"/>
      <c r="Q50" s="92"/>
      <c r="R50" s="92"/>
      <c r="S50" s="92"/>
      <c r="T50" s="92"/>
      <c r="U50" s="92"/>
      <c r="V50" s="92"/>
      <c r="W50" s="92"/>
      <c r="X50" s="92"/>
      <c r="Y50" s="92"/>
      <c r="Z50" s="92"/>
      <c r="AA50" s="92"/>
      <c r="AB50" s="92"/>
      <c r="AC50" s="92"/>
      <c r="AD50" s="92"/>
      <c r="AE50" s="92"/>
      <c r="AF50" s="92"/>
      <c r="AG50" s="92"/>
      <c r="AH50" s="92"/>
      <c r="AI50" s="92"/>
      <c r="AJ50" s="92"/>
      <c r="AK50" s="92"/>
      <c r="AL50" s="92"/>
      <c r="AM50" s="92"/>
      <c r="AN50" s="92"/>
      <c r="AO50" s="92"/>
      <c r="AP50" s="92"/>
    </row>
    <row r="51" spans="3:44" x14ac:dyDescent="0.25">
      <c r="D51"/>
      <c r="E51" s="32" t="s">
        <v>733</v>
      </c>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D52"/>
      <c r="F52" s="23" t="s">
        <v>225</v>
      </c>
      <c r="G52" s="23" t="s">
        <v>327</v>
      </c>
      <c r="H52" s="302"/>
      <c r="I52" s="302"/>
      <c r="J52" s="318">
        <f>'Initial unit rates'!J181</f>
        <v>0</v>
      </c>
      <c r="K52" s="318">
        <f>'Initial unit rates'!K181</f>
        <v>0</v>
      </c>
      <c r="L52" s="318">
        <f>'Initial unit rates'!L181</f>
        <v>0</v>
      </c>
      <c r="M52" s="318">
        <f>'Initial unit rates'!M181</f>
        <v>0</v>
      </c>
      <c r="N52" s="318">
        <f>'Initial unit rates'!N181</f>
        <v>0</v>
      </c>
      <c r="O52" s="318">
        <f>'Initial unit rates'!O181</f>
        <v>0</v>
      </c>
      <c r="P52" s="318">
        <f>'Initial unit rates'!P181</f>
        <v>0</v>
      </c>
      <c r="Q52" s="318">
        <f>'Initial unit rates'!Q181</f>
        <v>0</v>
      </c>
      <c r="R52" s="318">
        <f>'Initial unit rates'!R181</f>
        <v>0</v>
      </c>
      <c r="S52" s="318">
        <f>'Initial unit rates'!S181</f>
        <v>0</v>
      </c>
      <c r="T52" s="318">
        <f>'Initial unit rates'!T181</f>
        <v>0</v>
      </c>
      <c r="U52" s="318">
        <f>'Initial unit rates'!U181</f>
        <v>0</v>
      </c>
      <c r="V52" s="318">
        <f>'Initial unit rates'!V181</f>
        <v>0</v>
      </c>
      <c r="W52" s="318">
        <f>'Initial unit rates'!W181</f>
        <v>0</v>
      </c>
      <c r="X52" s="318">
        <f>'Initial unit rates'!X181</f>
        <v>0</v>
      </c>
      <c r="Y52" s="318">
        <f>'Initial unit rates'!Y181</f>
        <v>0</v>
      </c>
      <c r="Z52" s="318">
        <f>'Initial unit rates'!Z181</f>
        <v>0</v>
      </c>
      <c r="AA52" s="318">
        <f>'Initial unit rates'!AA181</f>
        <v>0</v>
      </c>
      <c r="AB52" s="318">
        <f>'Initial unit rates'!AB181</f>
        <v>0</v>
      </c>
      <c r="AC52" s="318">
        <f>'Initial unit rates'!AC181</f>
        <v>0</v>
      </c>
      <c r="AD52" s="318">
        <f>'Initial unit rates'!AD181</f>
        <v>0</v>
      </c>
      <c r="AE52" s="318">
        <f>'Initial unit rates'!AE181</f>
        <v>0</v>
      </c>
      <c r="AF52" s="318">
        <f>'Initial unit rates'!AF181</f>
        <v>0</v>
      </c>
      <c r="AG52" s="318">
        <f>'Initial unit rates'!AG181</f>
        <v>0</v>
      </c>
      <c r="AH52" s="318">
        <f>'Initial unit rates'!AH181</f>
        <v>0</v>
      </c>
      <c r="AI52" s="318">
        <f>'Initial unit rates'!AI181</f>
        <v>0</v>
      </c>
      <c r="AJ52" s="318">
        <f>'Initial unit rates'!AJ181</f>
        <v>0</v>
      </c>
      <c r="AK52" s="318">
        <f>'Initial unit rates'!AK181</f>
        <v>0</v>
      </c>
      <c r="AL52" s="318">
        <f>'Initial unit rates'!AL181</f>
        <v>0</v>
      </c>
      <c r="AM52" s="318">
        <f>'Initial unit rates'!AM181</f>
        <v>0</v>
      </c>
      <c r="AN52" s="318">
        <f>'Initial unit rates'!AN181</f>
        <v>0</v>
      </c>
      <c r="AO52" s="318">
        <f>'Initial unit rates'!AO181</f>
        <v>0</v>
      </c>
      <c r="AP52" s="318">
        <f>'Initial unit rates'!AP181</f>
        <v>0</v>
      </c>
      <c r="AQ52" s="304"/>
      <c r="AR52" s="304"/>
    </row>
    <row r="53" spans="3:44" x14ac:dyDescent="0.25">
      <c r="D53"/>
      <c r="F53" t="s">
        <v>227</v>
      </c>
      <c r="G53" t="s">
        <v>327</v>
      </c>
      <c r="H53" s="304"/>
      <c r="I53" s="304"/>
      <c r="J53" s="319">
        <f>'Initial unit rates'!J182</f>
        <v>0</v>
      </c>
      <c r="K53" s="319">
        <f>'Initial unit rates'!K182</f>
        <v>0</v>
      </c>
      <c r="L53" s="319">
        <f>'Initial unit rates'!L182</f>
        <v>0</v>
      </c>
      <c r="M53" s="319">
        <f>'Initial unit rates'!M182</f>
        <v>0</v>
      </c>
      <c r="N53" s="319">
        <f>'Initial unit rates'!N182</f>
        <v>0</v>
      </c>
      <c r="O53" s="319">
        <f>'Initial unit rates'!O182</f>
        <v>0</v>
      </c>
      <c r="P53" s="319">
        <f>'Initial unit rates'!P182</f>
        <v>0</v>
      </c>
      <c r="Q53" s="319">
        <f>'Initial unit rates'!Q182</f>
        <v>0</v>
      </c>
      <c r="R53" s="319">
        <f>'Initial unit rates'!R182</f>
        <v>0</v>
      </c>
      <c r="S53" s="319">
        <f>'Initial unit rates'!S182</f>
        <v>0</v>
      </c>
      <c r="T53" s="319">
        <f>'Initial unit rates'!T182</f>
        <v>0</v>
      </c>
      <c r="U53" s="319">
        <f>'Initial unit rates'!U182</f>
        <v>0</v>
      </c>
      <c r="V53" s="319">
        <f>'Initial unit rates'!V182</f>
        <v>0</v>
      </c>
      <c r="W53" s="319">
        <f>'Initial unit rates'!W182</f>
        <v>0</v>
      </c>
      <c r="X53" s="319">
        <f>'Initial unit rates'!X182</f>
        <v>0</v>
      </c>
      <c r="Y53" s="319">
        <f>'Initial unit rates'!Y182</f>
        <v>0</v>
      </c>
      <c r="Z53" s="319">
        <f>'Initial unit rates'!Z182</f>
        <v>0</v>
      </c>
      <c r="AA53" s="319">
        <f>'Initial unit rates'!AA182</f>
        <v>0</v>
      </c>
      <c r="AB53" s="319">
        <f>'Initial unit rates'!AB182</f>
        <v>0</v>
      </c>
      <c r="AC53" s="319">
        <f>'Initial unit rates'!AC182</f>
        <v>0</v>
      </c>
      <c r="AD53" s="319">
        <f>'Initial unit rates'!AD182</f>
        <v>0</v>
      </c>
      <c r="AE53" s="319">
        <f>'Initial unit rates'!AE182</f>
        <v>0</v>
      </c>
      <c r="AF53" s="319">
        <f>'Initial unit rates'!AF182</f>
        <v>0</v>
      </c>
      <c r="AG53" s="319">
        <f>'Initial unit rates'!AG182</f>
        <v>0</v>
      </c>
      <c r="AH53" s="319">
        <f>'Initial unit rates'!AH182</f>
        <v>0</v>
      </c>
      <c r="AI53" s="319">
        <f>'Initial unit rates'!AI182</f>
        <v>0</v>
      </c>
      <c r="AJ53" s="319">
        <f>'Initial unit rates'!AJ182</f>
        <v>0</v>
      </c>
      <c r="AK53" s="319">
        <f>'Initial unit rates'!AK182</f>
        <v>0</v>
      </c>
      <c r="AL53" s="319">
        <f>'Initial unit rates'!AL182</f>
        <v>0</v>
      </c>
      <c r="AM53" s="319">
        <f>'Initial unit rates'!AM182</f>
        <v>0</v>
      </c>
      <c r="AN53" s="319">
        <f>'Initial unit rates'!AN182</f>
        <v>0</v>
      </c>
      <c r="AO53" s="319">
        <f>'Initial unit rates'!AO182</f>
        <v>0</v>
      </c>
      <c r="AP53" s="319">
        <f>'Initial unit rates'!AP182</f>
        <v>0</v>
      </c>
      <c r="AQ53" s="304"/>
      <c r="AR53" s="304"/>
    </row>
    <row r="54" spans="3:44" x14ac:dyDescent="0.25">
      <c r="D54"/>
      <c r="F54" t="s">
        <v>228</v>
      </c>
      <c r="G54" t="s">
        <v>327</v>
      </c>
      <c r="H54" s="304"/>
      <c r="I54" s="304"/>
      <c r="J54" s="319">
        <f>'Initial unit rates'!J183</f>
        <v>0</v>
      </c>
      <c r="K54" s="319">
        <f>'Initial unit rates'!K183</f>
        <v>0</v>
      </c>
      <c r="L54" s="319">
        <f>'Initial unit rates'!L183</f>
        <v>0</v>
      </c>
      <c r="M54" s="319">
        <f>'Initial unit rates'!M183</f>
        <v>0</v>
      </c>
      <c r="N54" s="319">
        <f>'Initial unit rates'!N183</f>
        <v>0</v>
      </c>
      <c r="O54" s="319">
        <f>'Initial unit rates'!O183</f>
        <v>0</v>
      </c>
      <c r="P54" s="319">
        <f>'Initial unit rates'!P183</f>
        <v>0</v>
      </c>
      <c r="Q54" s="319">
        <f>'Initial unit rates'!Q183</f>
        <v>0</v>
      </c>
      <c r="R54" s="319">
        <f>'Initial unit rates'!R183</f>
        <v>0</v>
      </c>
      <c r="S54" s="319">
        <f>'Initial unit rates'!S183</f>
        <v>0</v>
      </c>
      <c r="T54" s="319">
        <f>'Initial unit rates'!T183</f>
        <v>0</v>
      </c>
      <c r="U54" s="319">
        <f>'Initial unit rates'!U183</f>
        <v>0</v>
      </c>
      <c r="V54" s="319">
        <f>'Initial unit rates'!V183</f>
        <v>0</v>
      </c>
      <c r="W54" s="319">
        <f>'Initial unit rates'!W183</f>
        <v>0</v>
      </c>
      <c r="X54" s="319">
        <f>'Initial unit rates'!X183</f>
        <v>0</v>
      </c>
      <c r="Y54" s="319">
        <f>'Initial unit rates'!Y183</f>
        <v>0</v>
      </c>
      <c r="Z54" s="319">
        <f>'Initial unit rates'!Z183</f>
        <v>0</v>
      </c>
      <c r="AA54" s="319">
        <f>'Initial unit rates'!AA183</f>
        <v>0</v>
      </c>
      <c r="AB54" s="319">
        <f>'Initial unit rates'!AB183</f>
        <v>0</v>
      </c>
      <c r="AC54" s="319">
        <f>'Initial unit rates'!AC183</f>
        <v>0</v>
      </c>
      <c r="AD54" s="319">
        <f>'Initial unit rates'!AD183</f>
        <v>0</v>
      </c>
      <c r="AE54" s="319">
        <f>'Initial unit rates'!AE183</f>
        <v>0</v>
      </c>
      <c r="AF54" s="319">
        <f>'Initial unit rates'!AF183</f>
        <v>0</v>
      </c>
      <c r="AG54" s="319">
        <f>'Initial unit rates'!AG183</f>
        <v>0</v>
      </c>
      <c r="AH54" s="319">
        <f>'Initial unit rates'!AH183</f>
        <v>0</v>
      </c>
      <c r="AI54" s="319">
        <f>'Initial unit rates'!AI183</f>
        <v>0</v>
      </c>
      <c r="AJ54" s="319">
        <f>'Initial unit rates'!AJ183</f>
        <v>0</v>
      </c>
      <c r="AK54" s="319">
        <f>'Initial unit rates'!AK183</f>
        <v>0</v>
      </c>
      <c r="AL54" s="319">
        <f>'Initial unit rates'!AL183</f>
        <v>0</v>
      </c>
      <c r="AM54" s="319">
        <f>'Initial unit rates'!AM183</f>
        <v>0</v>
      </c>
      <c r="AN54" s="319">
        <f>'Initial unit rates'!AN183</f>
        <v>0</v>
      </c>
      <c r="AO54" s="319">
        <f>'Initial unit rates'!AO183</f>
        <v>0</v>
      </c>
      <c r="AP54" s="319">
        <f>'Initial unit rates'!AP183</f>
        <v>0</v>
      </c>
      <c r="AQ54" s="304"/>
      <c r="AR54" s="304"/>
    </row>
    <row r="55" spans="3:44" x14ac:dyDescent="0.25">
      <c r="D55"/>
      <c r="F55" t="s">
        <v>229</v>
      </c>
      <c r="G55" t="s">
        <v>327</v>
      </c>
      <c r="H55" s="304"/>
      <c r="I55" s="304"/>
      <c r="J55" s="319">
        <f>'Initial unit rates'!J184</f>
        <v>0</v>
      </c>
      <c r="K55" s="319">
        <f>'Initial unit rates'!K184</f>
        <v>0</v>
      </c>
      <c r="L55" s="319">
        <f>'Initial unit rates'!L184</f>
        <v>0</v>
      </c>
      <c r="M55" s="319">
        <f>'Initial unit rates'!M184</f>
        <v>0</v>
      </c>
      <c r="N55" s="319">
        <f>'Initial unit rates'!N184</f>
        <v>0</v>
      </c>
      <c r="O55" s="319">
        <f>'Initial unit rates'!O184</f>
        <v>0</v>
      </c>
      <c r="P55" s="319">
        <f>'Initial unit rates'!P184</f>
        <v>0</v>
      </c>
      <c r="Q55" s="319">
        <f>'Initial unit rates'!Q184</f>
        <v>0</v>
      </c>
      <c r="R55" s="319">
        <f>'Initial unit rates'!R184</f>
        <v>0</v>
      </c>
      <c r="S55" s="319">
        <f>'Initial unit rates'!S184</f>
        <v>0</v>
      </c>
      <c r="T55" s="319">
        <f>'Initial unit rates'!T184</f>
        <v>0</v>
      </c>
      <c r="U55" s="319">
        <f>'Initial unit rates'!U184</f>
        <v>0</v>
      </c>
      <c r="V55" s="319">
        <f>'Initial unit rates'!V184</f>
        <v>0</v>
      </c>
      <c r="W55" s="319">
        <f>'Initial unit rates'!W184</f>
        <v>0</v>
      </c>
      <c r="X55" s="319">
        <f>'Initial unit rates'!X184</f>
        <v>0</v>
      </c>
      <c r="Y55" s="319">
        <f>'Initial unit rates'!Y184</f>
        <v>0</v>
      </c>
      <c r="Z55" s="319">
        <f>'Initial unit rates'!Z184</f>
        <v>0</v>
      </c>
      <c r="AA55" s="319">
        <f>'Initial unit rates'!AA184</f>
        <v>0</v>
      </c>
      <c r="AB55" s="319">
        <f>'Initial unit rates'!AB184</f>
        <v>0</v>
      </c>
      <c r="AC55" s="319">
        <f>'Initial unit rates'!AC184</f>
        <v>0</v>
      </c>
      <c r="AD55" s="319">
        <f>'Initial unit rates'!AD184</f>
        <v>0</v>
      </c>
      <c r="AE55" s="319">
        <f>'Initial unit rates'!AE184</f>
        <v>0</v>
      </c>
      <c r="AF55" s="319">
        <f>'Initial unit rates'!AF184</f>
        <v>0</v>
      </c>
      <c r="AG55" s="319">
        <f>'Initial unit rates'!AG184</f>
        <v>0</v>
      </c>
      <c r="AH55" s="319">
        <f>'Initial unit rates'!AH184</f>
        <v>0</v>
      </c>
      <c r="AI55" s="319">
        <f>'Initial unit rates'!AI184</f>
        <v>0</v>
      </c>
      <c r="AJ55" s="319">
        <f>'Initial unit rates'!AJ184</f>
        <v>0</v>
      </c>
      <c r="AK55" s="319">
        <f>'Initial unit rates'!AK184</f>
        <v>0</v>
      </c>
      <c r="AL55" s="319">
        <f>'Initial unit rates'!AL184</f>
        <v>0</v>
      </c>
      <c r="AM55" s="319">
        <f>'Initial unit rates'!AM184</f>
        <v>0</v>
      </c>
      <c r="AN55" s="319">
        <f>'Initial unit rates'!AN184</f>
        <v>0</v>
      </c>
      <c r="AO55" s="319">
        <f>'Initial unit rates'!AO184</f>
        <v>0</v>
      </c>
      <c r="AP55" s="319">
        <f>'Initial unit rates'!AP184</f>
        <v>0</v>
      </c>
      <c r="AQ55" s="304"/>
      <c r="AR55" s="304"/>
    </row>
    <row r="56" spans="3:44" x14ac:dyDescent="0.25">
      <c r="D56"/>
      <c r="F56" t="s">
        <v>230</v>
      </c>
      <c r="G56" t="s">
        <v>327</v>
      </c>
      <c r="H56" s="304"/>
      <c r="I56" s="304"/>
      <c r="J56" s="319">
        <f>'Initial unit rates'!J185</f>
        <v>0</v>
      </c>
      <c r="K56" s="319">
        <f>'Initial unit rates'!K185</f>
        <v>7.3258935303222084E-2</v>
      </c>
      <c r="L56" s="319">
        <f>'Initial unit rates'!L185</f>
        <v>0</v>
      </c>
      <c r="M56" s="319">
        <f>'Initial unit rates'!M185</f>
        <v>0</v>
      </c>
      <c r="N56" s="319">
        <f>'Initial unit rates'!N185</f>
        <v>6.2675118650471484E-2</v>
      </c>
      <c r="O56" s="319">
        <f>'Initial unit rates'!O185</f>
        <v>0</v>
      </c>
      <c r="P56" s="319">
        <f>'Initial unit rates'!P185</f>
        <v>5.8967812080897568E-2</v>
      </c>
      <c r="Q56" s="319">
        <f>'Initial unit rates'!Q185</f>
        <v>4.6542349325045911E-2</v>
      </c>
      <c r="R56" s="319">
        <f>'Initial unit rates'!R185</f>
        <v>6.2545822562035266E-2</v>
      </c>
      <c r="S56" s="319">
        <f>'Initial unit rates'!S185</f>
        <v>0.11998812561903346</v>
      </c>
      <c r="T56" s="319">
        <f>'Initial unit rates'!T185</f>
        <v>0.13115840740957549</v>
      </c>
      <c r="U56" s="319">
        <f>'Initial unit rates'!U185</f>
        <v>0.10416790382856292</v>
      </c>
      <c r="V56" s="319">
        <f>'Initial unit rates'!V185</f>
        <v>0.10027555624713674</v>
      </c>
      <c r="W56" s="319">
        <f>'Initial unit rates'!W185</f>
        <v>9.2722119465652966E-2</v>
      </c>
      <c r="X56" s="319">
        <f>'Initial unit rates'!X185</f>
        <v>0</v>
      </c>
      <c r="Y56" s="319">
        <f>'Initial unit rates'!Y185</f>
        <v>0</v>
      </c>
      <c r="Z56" s="319">
        <f>'Initial unit rates'!Z185</f>
        <v>0</v>
      </c>
      <c r="AA56" s="319">
        <f>'Initial unit rates'!AA185</f>
        <v>0</v>
      </c>
      <c r="AB56" s="319">
        <f>'Initial unit rates'!AB185</f>
        <v>0.10088471930323216</v>
      </c>
      <c r="AC56" s="319">
        <f>'Initial unit rates'!AC185</f>
        <v>0</v>
      </c>
      <c r="AD56" s="319">
        <f>'Initial unit rates'!AD185</f>
        <v>0</v>
      </c>
      <c r="AE56" s="319">
        <f>'Initial unit rates'!AE185</f>
        <v>0</v>
      </c>
      <c r="AF56" s="319">
        <f>'Initial unit rates'!AF185</f>
        <v>0</v>
      </c>
      <c r="AG56" s="319">
        <f>'Initial unit rates'!AG185</f>
        <v>-8.7531396973674847E-2</v>
      </c>
      <c r="AH56" s="319">
        <f>'Initial unit rates'!AH185</f>
        <v>-8.7531396973674847E-2</v>
      </c>
      <c r="AI56" s="319">
        <f>'Initial unit rates'!AI185</f>
        <v>0</v>
      </c>
      <c r="AJ56" s="319">
        <f>'Initial unit rates'!AJ185</f>
        <v>0</v>
      </c>
      <c r="AK56" s="319">
        <f>'Initial unit rates'!AK185</f>
        <v>-8.4881363854288364E-2</v>
      </c>
      <c r="AL56" s="319">
        <f>'Initial unit rates'!AL185</f>
        <v>-8.4881363854288364E-2</v>
      </c>
      <c r="AM56" s="319">
        <f>'Initial unit rates'!AM185</f>
        <v>0</v>
      </c>
      <c r="AN56" s="319">
        <f>'Initial unit rates'!AN185</f>
        <v>0</v>
      </c>
      <c r="AO56" s="319">
        <f>'Initial unit rates'!AO185</f>
        <v>-8.2674323200553984E-2</v>
      </c>
      <c r="AP56" s="319">
        <f>'Initial unit rates'!AP185</f>
        <v>-8.2674323200553984E-2</v>
      </c>
      <c r="AQ56" s="304"/>
      <c r="AR56" s="304"/>
    </row>
    <row r="57" spans="3:44" x14ac:dyDescent="0.25">
      <c r="D57"/>
      <c r="F57" t="s">
        <v>231</v>
      </c>
      <c r="G57" t="s">
        <v>327</v>
      </c>
      <c r="H57" s="304"/>
      <c r="I57" s="304"/>
      <c r="J57" s="319">
        <f>'Initial unit rates'!J186</f>
        <v>0</v>
      </c>
      <c r="K57" s="319">
        <f>'Initial unit rates'!K186</f>
        <v>6.6435994802145515E-2</v>
      </c>
      <c r="L57" s="319">
        <f>'Initial unit rates'!L186</f>
        <v>0</v>
      </c>
      <c r="M57" s="319">
        <f>'Initial unit rates'!M186</f>
        <v>0</v>
      </c>
      <c r="N57" s="319">
        <f>'Initial unit rates'!N186</f>
        <v>5.6837897515873932E-2</v>
      </c>
      <c r="O57" s="319">
        <f>'Initial unit rates'!O186</f>
        <v>0</v>
      </c>
      <c r="P57" s="319">
        <f>'Initial unit rates'!P186</f>
        <v>5.3475869403306751E-2</v>
      </c>
      <c r="Q57" s="319">
        <f>'Initial unit rates'!Q186</f>
        <v>4.2207646958560066E-2</v>
      </c>
      <c r="R57" s="319">
        <f>'Initial unit rates'!R186</f>
        <v>5.6827780990077695E-2</v>
      </c>
      <c r="S57" s="319">
        <f>'Initial unit rates'!S186</f>
        <v>0.10881308139342674</v>
      </c>
      <c r="T57" s="319">
        <f>'Initial unit rates'!T186</f>
        <v>0.11894302363055217</v>
      </c>
      <c r="U57" s="319">
        <f>'Initial unit rates'!U186</f>
        <v>9.4466269386260376E-2</v>
      </c>
      <c r="V57" s="319">
        <f>'Initial unit rates'!V186</f>
        <v>9.0936433979597026E-2</v>
      </c>
      <c r="W57" s="319">
        <f>'Initial unit rates'!W186</f>
        <v>8.4245311390761024E-2</v>
      </c>
      <c r="X57" s="319">
        <f>'Initial unit rates'!X186</f>
        <v>0</v>
      </c>
      <c r="Y57" s="319">
        <f>'Initial unit rates'!Y186</f>
        <v>0</v>
      </c>
      <c r="Z57" s="319">
        <f>'Initial unit rates'!Z186</f>
        <v>0</v>
      </c>
      <c r="AA57" s="319">
        <f>'Initial unit rates'!AA186</f>
        <v>0</v>
      </c>
      <c r="AB57" s="319">
        <f>'Initial unit rates'!AB186</f>
        <v>9.1488862887564443E-2</v>
      </c>
      <c r="AC57" s="319">
        <f>'Initial unit rates'!AC186</f>
        <v>0</v>
      </c>
      <c r="AD57" s="319">
        <f>'Initial unit rates'!AD186</f>
        <v>0</v>
      </c>
      <c r="AE57" s="319">
        <f>'Initial unit rates'!AE186</f>
        <v>0</v>
      </c>
      <c r="AF57" s="319">
        <f>'Initial unit rates'!AF186</f>
        <v>0</v>
      </c>
      <c r="AG57" s="319">
        <f>'Initial unit rates'!AG186</f>
        <v>-7.9379196684992367E-2</v>
      </c>
      <c r="AH57" s="319">
        <f>'Initial unit rates'!AH186</f>
        <v>-7.9379196684992367E-2</v>
      </c>
      <c r="AI57" s="319">
        <f>'Initial unit rates'!AI186</f>
        <v>0</v>
      </c>
      <c r="AJ57" s="319">
        <f>'Initial unit rates'!AJ186</f>
        <v>0</v>
      </c>
      <c r="AK57" s="319">
        <f>'Initial unit rates'!AK186</f>
        <v>-7.6975973299116443E-2</v>
      </c>
      <c r="AL57" s="319">
        <f>'Initial unit rates'!AL186</f>
        <v>-7.6975973299116443E-2</v>
      </c>
      <c r="AM57" s="319">
        <f>'Initial unit rates'!AM186</f>
        <v>0</v>
      </c>
      <c r="AN57" s="319">
        <f>'Initial unit rates'!AN186</f>
        <v>0</v>
      </c>
      <c r="AO57" s="319">
        <f>'Initial unit rates'!AO186</f>
        <v>-7.5116101122247342E-2</v>
      </c>
      <c r="AP57" s="319">
        <f>'Initial unit rates'!AP186</f>
        <v>-7.5116101122247342E-2</v>
      </c>
      <c r="AQ57" s="304"/>
      <c r="AR57" s="304"/>
    </row>
    <row r="58" spans="3:44" x14ac:dyDescent="0.25">
      <c r="D58"/>
      <c r="F58" t="s">
        <v>232</v>
      </c>
      <c r="G58" t="s">
        <v>327</v>
      </c>
      <c r="H58" s="304"/>
      <c r="I58" s="304"/>
      <c r="J58" s="319">
        <f>'Initial unit rates'!J187</f>
        <v>0</v>
      </c>
      <c r="K58" s="319">
        <f>'Initial unit rates'!K187</f>
        <v>0</v>
      </c>
      <c r="L58" s="319">
        <f>'Initial unit rates'!L187</f>
        <v>0</v>
      </c>
      <c r="M58" s="319">
        <f>'Initial unit rates'!M187</f>
        <v>0</v>
      </c>
      <c r="N58" s="319">
        <f>'Initial unit rates'!N187</f>
        <v>0</v>
      </c>
      <c r="O58" s="319">
        <f>'Initial unit rates'!O187</f>
        <v>0</v>
      </c>
      <c r="P58" s="319">
        <f>'Initial unit rates'!P187</f>
        <v>0</v>
      </c>
      <c r="Q58" s="319">
        <f>'Initial unit rates'!Q187</f>
        <v>0</v>
      </c>
      <c r="R58" s="319">
        <f>'Initial unit rates'!R187</f>
        <v>0</v>
      </c>
      <c r="S58" s="319">
        <f>'Initial unit rates'!S187</f>
        <v>0</v>
      </c>
      <c r="T58" s="319">
        <f>'Initial unit rates'!T187</f>
        <v>0</v>
      </c>
      <c r="U58" s="319">
        <f>'Initial unit rates'!U187</f>
        <v>0</v>
      </c>
      <c r="V58" s="319">
        <f>'Initial unit rates'!V187</f>
        <v>0</v>
      </c>
      <c r="W58" s="319">
        <f>'Initial unit rates'!W187</f>
        <v>0</v>
      </c>
      <c r="X58" s="319">
        <f>'Initial unit rates'!X187</f>
        <v>0</v>
      </c>
      <c r="Y58" s="319">
        <f>'Initial unit rates'!Y187</f>
        <v>0</v>
      </c>
      <c r="Z58" s="319">
        <f>'Initial unit rates'!Z187</f>
        <v>0</v>
      </c>
      <c r="AA58" s="319">
        <f>'Initial unit rates'!AA187</f>
        <v>0</v>
      </c>
      <c r="AB58" s="319">
        <f>'Initial unit rates'!AB187</f>
        <v>0</v>
      </c>
      <c r="AC58" s="319">
        <f>'Initial unit rates'!AC187</f>
        <v>0</v>
      </c>
      <c r="AD58" s="319">
        <f>'Initial unit rates'!AD187</f>
        <v>0</v>
      </c>
      <c r="AE58" s="319">
        <f>'Initial unit rates'!AE187</f>
        <v>0</v>
      </c>
      <c r="AF58" s="319">
        <f>'Initial unit rates'!AF187</f>
        <v>0</v>
      </c>
      <c r="AG58" s="319">
        <f>'Initial unit rates'!AG187</f>
        <v>0</v>
      </c>
      <c r="AH58" s="319">
        <f>'Initial unit rates'!AH187</f>
        <v>0</v>
      </c>
      <c r="AI58" s="319">
        <f>'Initial unit rates'!AI187</f>
        <v>0</v>
      </c>
      <c r="AJ58" s="319">
        <f>'Initial unit rates'!AJ187</f>
        <v>0</v>
      </c>
      <c r="AK58" s="319">
        <f>'Initial unit rates'!AK187</f>
        <v>0</v>
      </c>
      <c r="AL58" s="319">
        <f>'Initial unit rates'!AL187</f>
        <v>0</v>
      </c>
      <c r="AM58" s="319">
        <f>'Initial unit rates'!AM187</f>
        <v>0</v>
      </c>
      <c r="AN58" s="319">
        <f>'Initial unit rates'!AN187</f>
        <v>0</v>
      </c>
      <c r="AO58" s="319">
        <f>'Initial unit rates'!AO187</f>
        <v>0</v>
      </c>
      <c r="AP58" s="319">
        <f>'Initial unit rates'!AP187</f>
        <v>0</v>
      </c>
      <c r="AQ58" s="304"/>
      <c r="AR58" s="304"/>
    </row>
    <row r="59" spans="3:44" x14ac:dyDescent="0.25">
      <c r="D59"/>
      <c r="F59" t="s">
        <v>233</v>
      </c>
      <c r="G59" t="s">
        <v>327</v>
      </c>
      <c r="H59" s="304"/>
      <c r="I59" s="304"/>
      <c r="J59" s="319">
        <f>'Initial unit rates'!J188</f>
        <v>0</v>
      </c>
      <c r="K59" s="319">
        <f>'Initial unit rates'!K188</f>
        <v>0.15845299011538994</v>
      </c>
      <c r="L59" s="319">
        <f>'Initial unit rates'!L188</f>
        <v>0</v>
      </c>
      <c r="M59" s="319">
        <f>'Initial unit rates'!M188</f>
        <v>0</v>
      </c>
      <c r="N59" s="319">
        <f>'Initial unit rates'!N188</f>
        <v>0.1355610740846688</v>
      </c>
      <c r="O59" s="319">
        <f>'Initial unit rates'!O188</f>
        <v>0</v>
      </c>
      <c r="P59" s="319">
        <f>'Initial unit rates'!P188</f>
        <v>0.12754247800772611</v>
      </c>
      <c r="Q59" s="319">
        <f>'Initial unit rates'!Q188</f>
        <v>0.10066723447486636</v>
      </c>
      <c r="R59" s="319">
        <f>'Initial unit rates'!R188</f>
        <v>0.14458052262076659</v>
      </c>
      <c r="S59" s="319">
        <f>'Initial unit rates'!S188</f>
        <v>0.25952434612901976</v>
      </c>
      <c r="T59" s="319">
        <f>'Initial unit rates'!T188</f>
        <v>0.28368473752451179</v>
      </c>
      <c r="U59" s="319">
        <f>'Initial unit rates'!U188</f>
        <v>0.22530652086834532</v>
      </c>
      <c r="V59" s="319">
        <f>'Initial unit rates'!V188</f>
        <v>0.21688769645747161</v>
      </c>
      <c r="W59" s="319">
        <f>'Initial unit rates'!W188</f>
        <v>0.21433585716380782</v>
      </c>
      <c r="X59" s="319">
        <f>'Initial unit rates'!X188</f>
        <v>0</v>
      </c>
      <c r="Y59" s="319">
        <f>'Initial unit rates'!Y188</f>
        <v>0</v>
      </c>
      <c r="Z59" s="319">
        <f>'Initial unit rates'!Z188</f>
        <v>0</v>
      </c>
      <c r="AA59" s="319">
        <f>'Initial unit rates'!AA188</f>
        <v>0</v>
      </c>
      <c r="AB59" s="319">
        <f>'Initial unit rates'!AB188</f>
        <v>0.21820526553360725</v>
      </c>
      <c r="AC59" s="319">
        <f>'Initial unit rates'!AC188</f>
        <v>0</v>
      </c>
      <c r="AD59" s="319">
        <f>'Initial unit rates'!AD188</f>
        <v>0</v>
      </c>
      <c r="AE59" s="319">
        <f>'Initial unit rates'!AE188</f>
        <v>0</v>
      </c>
      <c r="AF59" s="319">
        <f>'Initial unit rates'!AF188</f>
        <v>0</v>
      </c>
      <c r="AG59" s="319">
        <f>'Initial unit rates'!AG188</f>
        <v>-0.18932313883690796</v>
      </c>
      <c r="AH59" s="319">
        <f>'Initial unit rates'!AH188</f>
        <v>-0.18932313883690796</v>
      </c>
      <c r="AI59" s="319">
        <f>'Initial unit rates'!AI188</f>
        <v>0</v>
      </c>
      <c r="AJ59" s="319">
        <f>'Initial unit rates'!AJ188</f>
        <v>0</v>
      </c>
      <c r="AK59" s="319">
        <f>'Initial unit rates'!AK188</f>
        <v>-0.18359133738588226</v>
      </c>
      <c r="AL59" s="319">
        <f>'Initial unit rates'!AL188</f>
        <v>-0.18359133738588226</v>
      </c>
      <c r="AM59" s="319">
        <f>'Initial unit rates'!AM188</f>
        <v>0</v>
      </c>
      <c r="AN59" s="319">
        <f>'Initial unit rates'!AN188</f>
        <v>0</v>
      </c>
      <c r="AO59" s="319">
        <f>'Initial unit rates'!AO188</f>
        <v>0</v>
      </c>
      <c r="AP59" s="319">
        <f>'Initial unit rates'!AP188</f>
        <v>0</v>
      </c>
      <c r="AQ59" s="304"/>
      <c r="AR59" s="304"/>
    </row>
    <row r="60" spans="3:44" x14ac:dyDescent="0.25">
      <c r="D60"/>
      <c r="F60" t="s">
        <v>234</v>
      </c>
      <c r="G60" t="s">
        <v>327</v>
      </c>
      <c r="H60" s="304"/>
      <c r="I60" s="304"/>
      <c r="J60" s="319">
        <f>'Initial unit rates'!J189</f>
        <v>0</v>
      </c>
      <c r="K60" s="319">
        <f>'Initial unit rates'!K189</f>
        <v>1.4512128507730362E-2</v>
      </c>
      <c r="L60" s="319">
        <f>'Initial unit rates'!L189</f>
        <v>0</v>
      </c>
      <c r="M60" s="319">
        <f>'Initial unit rates'!M189</f>
        <v>0</v>
      </c>
      <c r="N60" s="319">
        <f>'Initial unit rates'!N189</f>
        <v>1.2415541835657637E-2</v>
      </c>
      <c r="O60" s="319">
        <f>'Initial unit rates'!O189</f>
        <v>0</v>
      </c>
      <c r="P60" s="319">
        <f>'Initial unit rates'!P189</f>
        <v>1.1681148015538285E-2</v>
      </c>
      <c r="Q60" s="319">
        <f>'Initial unit rates'!Q189</f>
        <v>9.2197429796258158E-3</v>
      </c>
      <c r="R60" s="319">
        <f>'Initial unit rates'!R189</f>
        <v>0</v>
      </c>
      <c r="S60" s="319">
        <f>'Initial unit rates'!S189</f>
        <v>2.376888349766287E-2</v>
      </c>
      <c r="T60" s="319">
        <f>'Initial unit rates'!T189</f>
        <v>2.5981645178418236E-2</v>
      </c>
      <c r="U60" s="319">
        <f>'Initial unit rates'!U189</f>
        <v>2.063499831773442E-2</v>
      </c>
      <c r="V60" s="319">
        <f>'Initial unit rates'!V189</f>
        <v>1.9863949051667273E-2</v>
      </c>
      <c r="W60" s="319">
        <f>'Initial unit rates'!W189</f>
        <v>0</v>
      </c>
      <c r="X60" s="319">
        <f>'Initial unit rates'!X189</f>
        <v>0</v>
      </c>
      <c r="Y60" s="319">
        <f>'Initial unit rates'!Y189</f>
        <v>0</v>
      </c>
      <c r="Z60" s="319">
        <f>'Initial unit rates'!Z189</f>
        <v>0</v>
      </c>
      <c r="AA60" s="319">
        <f>'Initial unit rates'!AA189</f>
        <v>0</v>
      </c>
      <c r="AB60" s="319">
        <f>'Initial unit rates'!AB189</f>
        <v>1.9984620373406092E-2</v>
      </c>
      <c r="AC60" s="319">
        <f>'Initial unit rates'!AC189</f>
        <v>0</v>
      </c>
      <c r="AD60" s="319">
        <f>'Initial unit rates'!AD189</f>
        <v>0</v>
      </c>
      <c r="AE60" s="319">
        <f>'Initial unit rates'!AE189</f>
        <v>0</v>
      </c>
      <c r="AF60" s="319">
        <f>'Initial unit rates'!AF189</f>
        <v>0</v>
      </c>
      <c r="AG60" s="319">
        <f>'Initial unit rates'!AG189</f>
        <v>-1.7339412265349439E-2</v>
      </c>
      <c r="AH60" s="319">
        <f>'Initial unit rates'!AH189</f>
        <v>-1.7339412265349439E-2</v>
      </c>
      <c r="AI60" s="319">
        <f>'Initial unit rates'!AI189</f>
        <v>0</v>
      </c>
      <c r="AJ60" s="319">
        <f>'Initial unit rates'!AJ189</f>
        <v>0</v>
      </c>
      <c r="AK60" s="319">
        <f>'Initial unit rates'!AK189</f>
        <v>0</v>
      </c>
      <c r="AL60" s="319">
        <f>'Initial unit rates'!AL189</f>
        <v>0</v>
      </c>
      <c r="AM60" s="319">
        <f>'Initial unit rates'!AM189</f>
        <v>0</v>
      </c>
      <c r="AN60" s="319">
        <f>'Initial unit rates'!AN189</f>
        <v>0</v>
      </c>
      <c r="AO60" s="319">
        <f>'Initial unit rates'!AO189</f>
        <v>0</v>
      </c>
      <c r="AP60" s="319">
        <f>'Initial unit rates'!AP189</f>
        <v>0</v>
      </c>
      <c r="AQ60" s="304"/>
      <c r="AR60" s="304"/>
    </row>
    <row r="61" spans="3:44" x14ac:dyDescent="0.25">
      <c r="D61"/>
      <c r="F61" t="s">
        <v>235</v>
      </c>
      <c r="G61" t="s">
        <v>327</v>
      </c>
      <c r="H61" s="304"/>
      <c r="I61" s="304"/>
      <c r="J61" s="319">
        <f>'Initial unit rates'!J190</f>
        <v>0</v>
      </c>
      <c r="K61" s="319">
        <f>'Initial unit rates'!K190</f>
        <v>5.2702538179523152E-3</v>
      </c>
      <c r="L61" s="319">
        <f>'Initial unit rates'!L190</f>
        <v>0</v>
      </c>
      <c r="M61" s="319">
        <f>'Initial unit rates'!M190</f>
        <v>0</v>
      </c>
      <c r="N61" s="319">
        <f>'Initial unit rates'!N190</f>
        <v>4.5088531793572723E-3</v>
      </c>
      <c r="O61" s="319">
        <f>'Initial unit rates'!O190</f>
        <v>0</v>
      </c>
      <c r="P61" s="319">
        <f>'Initial unit rates'!P190</f>
        <v>4.2421492404896644E-3</v>
      </c>
      <c r="Q61" s="319">
        <f>'Initial unit rates'!Q190</f>
        <v>0</v>
      </c>
      <c r="R61" s="319">
        <f>'Initial unit rates'!R190</f>
        <v>0</v>
      </c>
      <c r="S61" s="319">
        <f>'Initial unit rates'!S190</f>
        <v>8.631955604258423E-3</v>
      </c>
      <c r="T61" s="319">
        <f>'Initial unit rates'!T190</f>
        <v>9.4355465929963928E-3</v>
      </c>
      <c r="U61" s="319">
        <f>'Initial unit rates'!U190</f>
        <v>7.4938475503127802E-3</v>
      </c>
      <c r="V61" s="319">
        <f>'Initial unit rates'!V190</f>
        <v>0</v>
      </c>
      <c r="W61" s="319">
        <f>'Initial unit rates'!W190</f>
        <v>0</v>
      </c>
      <c r="X61" s="319">
        <f>'Initial unit rates'!X190</f>
        <v>0</v>
      </c>
      <c r="Y61" s="319">
        <f>'Initial unit rates'!Y190</f>
        <v>0</v>
      </c>
      <c r="Z61" s="319">
        <f>'Initial unit rates'!Z190</f>
        <v>0</v>
      </c>
      <c r="AA61" s="319">
        <f>'Initial unit rates'!AA190</f>
        <v>0</v>
      </c>
      <c r="AB61" s="319">
        <f>'Initial unit rates'!AB190</f>
        <v>7.2576549861150114E-3</v>
      </c>
      <c r="AC61" s="319">
        <f>'Initial unit rates'!AC190</f>
        <v>0</v>
      </c>
      <c r="AD61" s="319">
        <f>'Initial unit rates'!AD190</f>
        <v>0</v>
      </c>
      <c r="AE61" s="319">
        <f>'Initial unit rates'!AE190</f>
        <v>0</v>
      </c>
      <c r="AF61" s="319">
        <f>'Initial unit rates'!AF190</f>
        <v>0</v>
      </c>
      <c r="AG61" s="319">
        <f>'Initial unit rates'!AG190</f>
        <v>0</v>
      </c>
      <c r="AH61" s="319">
        <f>'Initial unit rates'!AH190</f>
        <v>0</v>
      </c>
      <c r="AI61" s="319">
        <f>'Initial unit rates'!AI190</f>
        <v>0</v>
      </c>
      <c r="AJ61" s="319">
        <f>'Initial unit rates'!AJ190</f>
        <v>0</v>
      </c>
      <c r="AK61" s="319">
        <f>'Initial unit rates'!AK190</f>
        <v>0</v>
      </c>
      <c r="AL61" s="319">
        <f>'Initial unit rates'!AL190</f>
        <v>0</v>
      </c>
      <c r="AM61" s="319">
        <f>'Initial unit rates'!AM190</f>
        <v>0</v>
      </c>
      <c r="AN61" s="319">
        <f>'Initial unit rates'!AN190</f>
        <v>0</v>
      </c>
      <c r="AO61" s="319">
        <f>'Initial unit rates'!AO190</f>
        <v>0</v>
      </c>
      <c r="AP61" s="319">
        <f>'Initial unit rates'!AP190</f>
        <v>0</v>
      </c>
      <c r="AQ61" s="304"/>
      <c r="AR61" s="304"/>
    </row>
    <row r="62" spans="3:44" x14ac:dyDescent="0.25">
      <c r="D62"/>
      <c r="F62" s="23" t="s">
        <v>436</v>
      </c>
      <c r="G62" s="23" t="s">
        <v>327</v>
      </c>
      <c r="H62" s="302"/>
      <c r="I62" s="302"/>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04"/>
      <c r="AR62" s="304"/>
    </row>
    <row r="63" spans="3:44" x14ac:dyDescent="0.25">
      <c r="D63"/>
      <c r="F63" s="37" t="s">
        <v>437</v>
      </c>
      <c r="G63" s="37" t="s">
        <v>327</v>
      </c>
      <c r="H63" s="308"/>
      <c r="I63" s="308"/>
      <c r="J63" s="309"/>
      <c r="K63" s="309"/>
      <c r="L63" s="309"/>
      <c r="M63" s="309"/>
      <c r="N63" s="309"/>
      <c r="O63" s="309"/>
      <c r="P63" s="309"/>
      <c r="Q63" s="309"/>
      <c r="R63" s="309"/>
      <c r="S63" s="309"/>
      <c r="T63" s="309"/>
      <c r="U63" s="309"/>
      <c r="V63" s="309"/>
      <c r="W63" s="309"/>
      <c r="X63" s="309"/>
      <c r="Y63" s="309"/>
      <c r="Z63" s="309"/>
      <c r="AA63" s="309"/>
      <c r="AB63" s="309"/>
      <c r="AC63" s="309"/>
      <c r="AD63" s="309"/>
      <c r="AE63" s="309"/>
      <c r="AF63" s="309"/>
      <c r="AG63" s="309"/>
      <c r="AH63" s="309"/>
      <c r="AI63" s="309"/>
      <c r="AJ63" s="309"/>
      <c r="AK63" s="309"/>
      <c r="AL63" s="309"/>
      <c r="AM63" s="309"/>
      <c r="AN63" s="309"/>
      <c r="AO63" s="309"/>
      <c r="AP63" s="309"/>
      <c r="AQ63" s="304"/>
      <c r="AR63" s="304"/>
    </row>
    <row r="64" spans="3:44" x14ac:dyDescent="0.25">
      <c r="D64"/>
      <c r="J64" s="92"/>
      <c r="K64" s="92"/>
      <c r="L64" s="92"/>
      <c r="M64" s="92"/>
      <c r="N64" s="92"/>
      <c r="O64" s="92"/>
      <c r="P64" s="92"/>
      <c r="Q64" s="92"/>
      <c r="R64" s="92"/>
      <c r="S64" s="92"/>
      <c r="T64" s="92"/>
      <c r="U64" s="92"/>
      <c r="V64" s="92"/>
      <c r="W64" s="92"/>
      <c r="X64" s="92"/>
      <c r="Y64" s="92"/>
      <c r="Z64" s="92"/>
      <c r="AA64" s="92"/>
      <c r="AB64" s="92"/>
      <c r="AC64" s="92"/>
      <c r="AD64" s="92"/>
      <c r="AE64" s="92"/>
      <c r="AF64" s="92"/>
      <c r="AG64" s="92"/>
      <c r="AH64" s="92"/>
      <c r="AI64" s="92"/>
      <c r="AJ64" s="92"/>
      <c r="AK64" s="92"/>
      <c r="AL64" s="92"/>
      <c r="AM64" s="92"/>
      <c r="AN64" s="92"/>
      <c r="AO64" s="92"/>
      <c r="AP64" s="92"/>
    </row>
    <row r="65" spans="3:44" x14ac:dyDescent="0.25">
      <c r="D65"/>
      <c r="E65" s="32" t="s">
        <v>734</v>
      </c>
      <c r="J65" s="92"/>
      <c r="K65" s="92"/>
      <c r="L65" s="92"/>
      <c r="M65" s="92"/>
      <c r="N65" s="92"/>
      <c r="O65" s="92"/>
      <c r="P65" s="92"/>
      <c r="Q65" s="92"/>
      <c r="R65" s="92"/>
      <c r="S65" s="92"/>
      <c r="T65" s="92"/>
      <c r="U65" s="92"/>
      <c r="V65" s="92"/>
      <c r="W65" s="92"/>
      <c r="X65" s="92"/>
      <c r="Y65" s="92"/>
      <c r="Z65" s="92"/>
      <c r="AA65" s="92"/>
      <c r="AB65" s="92"/>
      <c r="AC65" s="92"/>
      <c r="AD65" s="92"/>
      <c r="AE65" s="92"/>
      <c r="AF65" s="92"/>
      <c r="AG65" s="92"/>
      <c r="AH65" s="92"/>
      <c r="AI65" s="92"/>
      <c r="AJ65" s="92"/>
      <c r="AK65" s="92"/>
      <c r="AL65" s="92"/>
      <c r="AM65" s="92"/>
      <c r="AN65" s="92"/>
      <c r="AO65" s="92"/>
      <c r="AP65" s="92"/>
    </row>
    <row r="66" spans="3:44" x14ac:dyDescent="0.25">
      <c r="D66"/>
      <c r="F66" s="23" t="s">
        <v>225</v>
      </c>
      <c r="G66" s="23" t="s">
        <v>327</v>
      </c>
      <c r="H66" s="302"/>
      <c r="I66" s="302"/>
      <c r="J66" s="318">
        <f>'Initial unit rates'!J193</f>
        <v>0</v>
      </c>
      <c r="K66" s="318">
        <f>'Initial unit rates'!K193</f>
        <v>0.18593435253173338</v>
      </c>
      <c r="L66" s="318">
        <f>'Initial unit rates'!L193</f>
        <v>0</v>
      </c>
      <c r="M66" s="318">
        <f>'Initial unit rates'!M193</f>
        <v>0</v>
      </c>
      <c r="N66" s="318">
        <f>'Initial unit rates'!N193</f>
        <v>0.15478076868600119</v>
      </c>
      <c r="O66" s="318">
        <f>'Initial unit rates'!O193</f>
        <v>0</v>
      </c>
      <c r="P66" s="318">
        <f>'Initial unit rates'!P193</f>
        <v>0.14600459518516759</v>
      </c>
      <c r="Q66" s="318">
        <f>'Initial unit rates'!Q193</f>
        <v>0.11523908777296034</v>
      </c>
      <c r="R66" s="318">
        <f>'Initial unit rates'!R193</f>
        <v>0.15565500604457028</v>
      </c>
      <c r="S66" s="318">
        <f>'Initial unit rates'!S193</f>
        <v>0.30228849443644812</v>
      </c>
      <c r="T66" s="318">
        <f>'Initial unit rates'!T193</f>
        <v>0.33002248110651733</v>
      </c>
      <c r="U66" s="318">
        <f>'Initial unit rates'!U193</f>
        <v>0.26201818147109029</v>
      </c>
      <c r="V66" s="318">
        <f>'Initial unit rates'!V193</f>
        <v>0.25222758573617798</v>
      </c>
      <c r="W66" s="318">
        <f>'Initial unit rates'!W193</f>
        <v>0.23447034189675142</v>
      </c>
      <c r="X66" s="318">
        <f>'Initial unit rates'!X193</f>
        <v>0</v>
      </c>
      <c r="Y66" s="318">
        <f>'Initial unit rates'!Y193</f>
        <v>0</v>
      </c>
      <c r="Z66" s="318">
        <f>'Initial unit rates'!Z193</f>
        <v>0</v>
      </c>
      <c r="AA66" s="318">
        <f>'Initial unit rates'!AA193</f>
        <v>0</v>
      </c>
      <c r="AB66" s="318">
        <f>'Initial unit rates'!AB193</f>
        <v>0.25442067369996657</v>
      </c>
      <c r="AC66" s="318">
        <f>'Initial unit rates'!AC193</f>
        <v>0</v>
      </c>
      <c r="AD66" s="318">
        <f>'Initial unit rates'!AD193</f>
        <v>0</v>
      </c>
      <c r="AE66" s="318">
        <f>'Initial unit rates'!AE193</f>
        <v>0</v>
      </c>
      <c r="AF66" s="318">
        <f>'Initial unit rates'!AF193</f>
        <v>0</v>
      </c>
      <c r="AG66" s="318">
        <f>'Initial unit rates'!AG193</f>
        <v>-0.22017163265963346</v>
      </c>
      <c r="AH66" s="318">
        <f>'Initial unit rates'!AH193</f>
        <v>-0.22017163265963346</v>
      </c>
      <c r="AI66" s="318">
        <f>'Initial unit rates'!AI193</f>
        <v>0</v>
      </c>
      <c r="AJ66" s="318">
        <f>'Initial unit rates'!AJ193</f>
        <v>0</v>
      </c>
      <c r="AK66" s="318">
        <f>'Initial unit rates'!AK193</f>
        <v>-0.21350588598278217</v>
      </c>
      <c r="AL66" s="318">
        <f>'Initial unit rates'!AL193</f>
        <v>-0.21350588598278217</v>
      </c>
      <c r="AM66" s="318">
        <f>'Initial unit rates'!AM193</f>
        <v>0</v>
      </c>
      <c r="AN66" s="318">
        <f>'Initial unit rates'!AN193</f>
        <v>0</v>
      </c>
      <c r="AO66" s="318">
        <f>'Initial unit rates'!AO193</f>
        <v>-0.2090620548648813</v>
      </c>
      <c r="AP66" s="318">
        <f>'Initial unit rates'!AP193</f>
        <v>-0.2090620548648813</v>
      </c>
      <c r="AQ66" s="304"/>
      <c r="AR66" s="304"/>
    </row>
    <row r="67" spans="3:44" x14ac:dyDescent="0.25">
      <c r="D67"/>
      <c r="F67" t="s">
        <v>227</v>
      </c>
      <c r="G67" t="s">
        <v>327</v>
      </c>
      <c r="H67" s="304"/>
      <c r="I67" s="304"/>
      <c r="J67" s="319">
        <f>'Initial unit rates'!J194</f>
        <v>0</v>
      </c>
      <c r="K67" s="319">
        <f>'Initial unit rates'!K194</f>
        <v>0</v>
      </c>
      <c r="L67" s="319">
        <f>'Initial unit rates'!L194</f>
        <v>0</v>
      </c>
      <c r="M67" s="319">
        <f>'Initial unit rates'!M194</f>
        <v>0</v>
      </c>
      <c r="N67" s="319">
        <f>'Initial unit rates'!N194</f>
        <v>0</v>
      </c>
      <c r="O67" s="319">
        <f>'Initial unit rates'!O194</f>
        <v>0</v>
      </c>
      <c r="P67" s="319">
        <f>'Initial unit rates'!P194</f>
        <v>0</v>
      </c>
      <c r="Q67" s="319">
        <f>'Initial unit rates'!Q194</f>
        <v>0</v>
      </c>
      <c r="R67" s="319">
        <f>'Initial unit rates'!R194</f>
        <v>0</v>
      </c>
      <c r="S67" s="319">
        <f>'Initial unit rates'!S194</f>
        <v>0</v>
      </c>
      <c r="T67" s="319">
        <f>'Initial unit rates'!T194</f>
        <v>0</v>
      </c>
      <c r="U67" s="319">
        <f>'Initial unit rates'!U194</f>
        <v>0</v>
      </c>
      <c r="V67" s="319">
        <f>'Initial unit rates'!V194</f>
        <v>0</v>
      </c>
      <c r="W67" s="319">
        <f>'Initial unit rates'!W194</f>
        <v>0</v>
      </c>
      <c r="X67" s="319">
        <f>'Initial unit rates'!X194</f>
        <v>0</v>
      </c>
      <c r="Y67" s="319">
        <f>'Initial unit rates'!Y194</f>
        <v>0</v>
      </c>
      <c r="Z67" s="319">
        <f>'Initial unit rates'!Z194</f>
        <v>0</v>
      </c>
      <c r="AA67" s="319">
        <f>'Initial unit rates'!AA194</f>
        <v>0</v>
      </c>
      <c r="AB67" s="319">
        <f>'Initial unit rates'!AB194</f>
        <v>0</v>
      </c>
      <c r="AC67" s="319">
        <f>'Initial unit rates'!AC194</f>
        <v>0</v>
      </c>
      <c r="AD67" s="319">
        <f>'Initial unit rates'!AD194</f>
        <v>0</v>
      </c>
      <c r="AE67" s="319">
        <f>'Initial unit rates'!AE194</f>
        <v>0</v>
      </c>
      <c r="AF67" s="319">
        <f>'Initial unit rates'!AF194</f>
        <v>0</v>
      </c>
      <c r="AG67" s="319">
        <f>'Initial unit rates'!AG194</f>
        <v>0</v>
      </c>
      <c r="AH67" s="319">
        <f>'Initial unit rates'!AH194</f>
        <v>0</v>
      </c>
      <c r="AI67" s="319">
        <f>'Initial unit rates'!AI194</f>
        <v>0</v>
      </c>
      <c r="AJ67" s="319">
        <f>'Initial unit rates'!AJ194</f>
        <v>0</v>
      </c>
      <c r="AK67" s="319">
        <f>'Initial unit rates'!AK194</f>
        <v>0</v>
      </c>
      <c r="AL67" s="319">
        <f>'Initial unit rates'!AL194</f>
        <v>0</v>
      </c>
      <c r="AM67" s="319">
        <f>'Initial unit rates'!AM194</f>
        <v>0</v>
      </c>
      <c r="AN67" s="319">
        <f>'Initial unit rates'!AN194</f>
        <v>0</v>
      </c>
      <c r="AO67" s="319">
        <f>'Initial unit rates'!AO194</f>
        <v>0</v>
      </c>
      <c r="AP67" s="319">
        <f>'Initial unit rates'!AP194</f>
        <v>0</v>
      </c>
      <c r="AQ67" s="304"/>
      <c r="AR67" s="304"/>
    </row>
    <row r="68" spans="3:44" x14ac:dyDescent="0.25">
      <c r="D68"/>
      <c r="F68" t="s">
        <v>228</v>
      </c>
      <c r="G68" t="s">
        <v>327</v>
      </c>
      <c r="H68" s="304"/>
      <c r="I68" s="304"/>
      <c r="J68" s="319">
        <f>'Initial unit rates'!J195</f>
        <v>0</v>
      </c>
      <c r="K68" s="319">
        <f>'Initial unit rates'!K195</f>
        <v>0</v>
      </c>
      <c r="L68" s="319">
        <f>'Initial unit rates'!L195</f>
        <v>0</v>
      </c>
      <c r="M68" s="319">
        <f>'Initial unit rates'!M195</f>
        <v>0</v>
      </c>
      <c r="N68" s="319">
        <f>'Initial unit rates'!N195</f>
        <v>0</v>
      </c>
      <c r="O68" s="319">
        <f>'Initial unit rates'!O195</f>
        <v>0</v>
      </c>
      <c r="P68" s="319">
        <f>'Initial unit rates'!P195</f>
        <v>0</v>
      </c>
      <c r="Q68" s="319">
        <f>'Initial unit rates'!Q195</f>
        <v>0</v>
      </c>
      <c r="R68" s="319">
        <f>'Initial unit rates'!R195</f>
        <v>0</v>
      </c>
      <c r="S68" s="319">
        <f>'Initial unit rates'!S195</f>
        <v>0</v>
      </c>
      <c r="T68" s="319">
        <f>'Initial unit rates'!T195</f>
        <v>0</v>
      </c>
      <c r="U68" s="319">
        <f>'Initial unit rates'!U195</f>
        <v>0</v>
      </c>
      <c r="V68" s="319">
        <f>'Initial unit rates'!V195</f>
        <v>0</v>
      </c>
      <c r="W68" s="319">
        <f>'Initial unit rates'!W195</f>
        <v>0</v>
      </c>
      <c r="X68" s="319">
        <f>'Initial unit rates'!X195</f>
        <v>0</v>
      </c>
      <c r="Y68" s="319">
        <f>'Initial unit rates'!Y195</f>
        <v>0</v>
      </c>
      <c r="Z68" s="319">
        <f>'Initial unit rates'!Z195</f>
        <v>0</v>
      </c>
      <c r="AA68" s="319">
        <f>'Initial unit rates'!AA195</f>
        <v>0</v>
      </c>
      <c r="AB68" s="319">
        <f>'Initial unit rates'!AB195</f>
        <v>0</v>
      </c>
      <c r="AC68" s="319">
        <f>'Initial unit rates'!AC195</f>
        <v>0</v>
      </c>
      <c r="AD68" s="319">
        <f>'Initial unit rates'!AD195</f>
        <v>0</v>
      </c>
      <c r="AE68" s="319">
        <f>'Initial unit rates'!AE195</f>
        <v>0</v>
      </c>
      <c r="AF68" s="319">
        <f>'Initial unit rates'!AF195</f>
        <v>0</v>
      </c>
      <c r="AG68" s="319">
        <f>'Initial unit rates'!AG195</f>
        <v>0</v>
      </c>
      <c r="AH68" s="319">
        <f>'Initial unit rates'!AH195</f>
        <v>0</v>
      </c>
      <c r="AI68" s="319">
        <f>'Initial unit rates'!AI195</f>
        <v>0</v>
      </c>
      <c r="AJ68" s="319">
        <f>'Initial unit rates'!AJ195</f>
        <v>0</v>
      </c>
      <c r="AK68" s="319">
        <f>'Initial unit rates'!AK195</f>
        <v>0</v>
      </c>
      <c r="AL68" s="319">
        <f>'Initial unit rates'!AL195</f>
        <v>0</v>
      </c>
      <c r="AM68" s="319">
        <f>'Initial unit rates'!AM195</f>
        <v>0</v>
      </c>
      <c r="AN68" s="319">
        <f>'Initial unit rates'!AN195</f>
        <v>0</v>
      </c>
      <c r="AO68" s="319">
        <f>'Initial unit rates'!AO195</f>
        <v>0</v>
      </c>
      <c r="AP68" s="319">
        <f>'Initial unit rates'!AP195</f>
        <v>0</v>
      </c>
      <c r="AQ68" s="304"/>
      <c r="AR68" s="304"/>
    </row>
    <row r="69" spans="3:44" x14ac:dyDescent="0.25">
      <c r="D69"/>
      <c r="F69" t="s">
        <v>229</v>
      </c>
      <c r="G69" t="s">
        <v>327</v>
      </c>
      <c r="H69" s="304"/>
      <c r="I69" s="304"/>
      <c r="J69" s="319">
        <f>'Initial unit rates'!J196</f>
        <v>0</v>
      </c>
      <c r="K69" s="319">
        <f>'Initial unit rates'!K196</f>
        <v>0</v>
      </c>
      <c r="L69" s="319">
        <f>'Initial unit rates'!L196</f>
        <v>0</v>
      </c>
      <c r="M69" s="319">
        <f>'Initial unit rates'!M196</f>
        <v>0</v>
      </c>
      <c r="N69" s="319">
        <f>'Initial unit rates'!N196</f>
        <v>0</v>
      </c>
      <c r="O69" s="319">
        <f>'Initial unit rates'!O196</f>
        <v>0</v>
      </c>
      <c r="P69" s="319">
        <f>'Initial unit rates'!P196</f>
        <v>0</v>
      </c>
      <c r="Q69" s="319">
        <f>'Initial unit rates'!Q196</f>
        <v>0</v>
      </c>
      <c r="R69" s="319">
        <f>'Initial unit rates'!R196</f>
        <v>0</v>
      </c>
      <c r="S69" s="319">
        <f>'Initial unit rates'!S196</f>
        <v>0</v>
      </c>
      <c r="T69" s="319">
        <f>'Initial unit rates'!T196</f>
        <v>0</v>
      </c>
      <c r="U69" s="319">
        <f>'Initial unit rates'!U196</f>
        <v>0</v>
      </c>
      <c r="V69" s="319">
        <f>'Initial unit rates'!V196</f>
        <v>0</v>
      </c>
      <c r="W69" s="319">
        <f>'Initial unit rates'!W196</f>
        <v>0</v>
      </c>
      <c r="X69" s="319">
        <f>'Initial unit rates'!X196</f>
        <v>0</v>
      </c>
      <c r="Y69" s="319">
        <f>'Initial unit rates'!Y196</f>
        <v>0</v>
      </c>
      <c r="Z69" s="319">
        <f>'Initial unit rates'!Z196</f>
        <v>0</v>
      </c>
      <c r="AA69" s="319">
        <f>'Initial unit rates'!AA196</f>
        <v>0</v>
      </c>
      <c r="AB69" s="319">
        <f>'Initial unit rates'!AB196</f>
        <v>0</v>
      </c>
      <c r="AC69" s="319">
        <f>'Initial unit rates'!AC196</f>
        <v>0</v>
      </c>
      <c r="AD69" s="319">
        <f>'Initial unit rates'!AD196</f>
        <v>0</v>
      </c>
      <c r="AE69" s="319">
        <f>'Initial unit rates'!AE196</f>
        <v>0</v>
      </c>
      <c r="AF69" s="319">
        <f>'Initial unit rates'!AF196</f>
        <v>0</v>
      </c>
      <c r="AG69" s="319">
        <f>'Initial unit rates'!AG196</f>
        <v>0</v>
      </c>
      <c r="AH69" s="319">
        <f>'Initial unit rates'!AH196</f>
        <v>0</v>
      </c>
      <c r="AI69" s="319">
        <f>'Initial unit rates'!AI196</f>
        <v>0</v>
      </c>
      <c r="AJ69" s="319">
        <f>'Initial unit rates'!AJ196</f>
        <v>0</v>
      </c>
      <c r="AK69" s="319">
        <f>'Initial unit rates'!AK196</f>
        <v>0</v>
      </c>
      <c r="AL69" s="319">
        <f>'Initial unit rates'!AL196</f>
        <v>0</v>
      </c>
      <c r="AM69" s="319">
        <f>'Initial unit rates'!AM196</f>
        <v>0</v>
      </c>
      <c r="AN69" s="319">
        <f>'Initial unit rates'!AN196</f>
        <v>0</v>
      </c>
      <c r="AO69" s="319">
        <f>'Initial unit rates'!AO196</f>
        <v>0</v>
      </c>
      <c r="AP69" s="319">
        <f>'Initial unit rates'!AP196</f>
        <v>0</v>
      </c>
      <c r="AQ69" s="304"/>
      <c r="AR69" s="304"/>
    </row>
    <row r="70" spans="3:44" x14ac:dyDescent="0.25">
      <c r="D70"/>
      <c r="F70" t="s">
        <v>230</v>
      </c>
      <c r="G70" t="s">
        <v>327</v>
      </c>
      <c r="H70" s="304"/>
      <c r="I70" s="304"/>
      <c r="J70" s="319">
        <f>'Initial unit rates'!J197</f>
        <v>0</v>
      </c>
      <c r="K70" s="319">
        <f>'Initial unit rates'!K197</f>
        <v>5.7366627853810206E-2</v>
      </c>
      <c r="L70" s="319">
        <f>'Initial unit rates'!L197</f>
        <v>0</v>
      </c>
      <c r="M70" s="319">
        <f>'Initial unit rates'!M197</f>
        <v>0</v>
      </c>
      <c r="N70" s="319">
        <f>'Initial unit rates'!N197</f>
        <v>4.90787941762083E-2</v>
      </c>
      <c r="O70" s="319">
        <f>'Initial unit rates'!O197</f>
        <v>0</v>
      </c>
      <c r="P70" s="319">
        <f>'Initial unit rates'!P197</f>
        <v>4.617572610080619E-2</v>
      </c>
      <c r="Q70" s="319">
        <f>'Initial unit rates'!Q197</f>
        <v>3.6445760808845817E-2</v>
      </c>
      <c r="R70" s="319">
        <f>'Initial unit rates'!R197</f>
        <v>4.9238417998733908E-2</v>
      </c>
      <c r="S70" s="319">
        <f>'Initial unit rates'!S197</f>
        <v>9.3958697608325467E-2</v>
      </c>
      <c r="T70" s="319">
        <f>'Initial unit rates'!T197</f>
        <v>0.10270577256713985</v>
      </c>
      <c r="U70" s="319">
        <f>'Initial unit rates'!U197</f>
        <v>8.1570409787020667E-2</v>
      </c>
      <c r="V70" s="319">
        <f>'Initial unit rates'!V197</f>
        <v>7.8522442269377338E-2</v>
      </c>
      <c r="W70" s="319">
        <f>'Initial unit rates'!W197</f>
        <v>7.2994331019472017E-2</v>
      </c>
      <c r="X70" s="319">
        <f>'Initial unit rates'!X197</f>
        <v>0</v>
      </c>
      <c r="Y70" s="319">
        <f>'Initial unit rates'!Y197</f>
        <v>0</v>
      </c>
      <c r="Z70" s="319">
        <f>'Initial unit rates'!Z197</f>
        <v>0</v>
      </c>
      <c r="AA70" s="319">
        <f>'Initial unit rates'!AA197</f>
        <v>0</v>
      </c>
      <c r="AB70" s="319">
        <f>'Initial unit rates'!AB197</f>
        <v>7.8999457533067349E-2</v>
      </c>
      <c r="AC70" s="319">
        <f>'Initial unit rates'!AC197</f>
        <v>0</v>
      </c>
      <c r="AD70" s="319">
        <f>'Initial unit rates'!AD197</f>
        <v>0</v>
      </c>
      <c r="AE70" s="319">
        <f>'Initial unit rates'!AE197</f>
        <v>0</v>
      </c>
      <c r="AF70" s="319">
        <f>'Initial unit rates'!AF197</f>
        <v>0</v>
      </c>
      <c r="AG70" s="319">
        <f>'Initial unit rates'!AG197</f>
        <v>-6.854291636821104E-2</v>
      </c>
      <c r="AH70" s="319">
        <f>'Initial unit rates'!AH197</f>
        <v>-6.854291636821104E-2</v>
      </c>
      <c r="AI70" s="319">
        <f>'Initial unit rates'!AI197</f>
        <v>0</v>
      </c>
      <c r="AJ70" s="319">
        <f>'Initial unit rates'!AJ197</f>
        <v>0</v>
      </c>
      <c r="AK70" s="319">
        <f>'Initial unit rates'!AK197</f>
        <v>-6.6467763854311065E-2</v>
      </c>
      <c r="AL70" s="319">
        <f>'Initial unit rates'!AL197</f>
        <v>-6.6467763854311065E-2</v>
      </c>
      <c r="AM70" s="319">
        <f>'Initial unit rates'!AM197</f>
        <v>0</v>
      </c>
      <c r="AN70" s="319">
        <f>'Initial unit rates'!AN197</f>
        <v>0</v>
      </c>
      <c r="AO70" s="319">
        <f>'Initial unit rates'!AO197</f>
        <v>-6.508432884504442E-2</v>
      </c>
      <c r="AP70" s="319">
        <f>'Initial unit rates'!AP197</f>
        <v>-6.508432884504442E-2</v>
      </c>
      <c r="AQ70" s="304"/>
      <c r="AR70" s="304"/>
    </row>
    <row r="71" spans="3:44" x14ac:dyDescent="0.25">
      <c r="D71"/>
      <c r="F71" t="s">
        <v>231</v>
      </c>
      <c r="G71" t="s">
        <v>327</v>
      </c>
      <c r="H71" s="304"/>
      <c r="I71" s="304"/>
      <c r="J71" s="319">
        <f>'Initial unit rates'!J198</f>
        <v>0</v>
      </c>
      <c r="K71" s="319">
        <f>'Initial unit rates'!K198</f>
        <v>5.1905112930072252E-2</v>
      </c>
      <c r="L71" s="319">
        <f>'Initial unit rates'!L198</f>
        <v>0</v>
      </c>
      <c r="M71" s="319">
        <f>'Initial unit rates'!M198</f>
        <v>0</v>
      </c>
      <c r="N71" s="319">
        <f>'Initial unit rates'!N198</f>
        <v>4.4406311639575771E-2</v>
      </c>
      <c r="O71" s="319">
        <f>'Initial unit rates'!O198</f>
        <v>0</v>
      </c>
      <c r="P71" s="319">
        <f>'Initial unit rates'!P198</f>
        <v>4.1779626370896064E-2</v>
      </c>
      <c r="Q71" s="319">
        <f>'Initial unit rates'!Q198</f>
        <v>3.2975989723961062E-2</v>
      </c>
      <c r="R71" s="319">
        <f>'Initial unit rates'!R198</f>
        <v>4.4550738684435993E-2</v>
      </c>
      <c r="S71" s="319">
        <f>'Initial unit rates'!S198</f>
        <v>8.5013482447508421E-2</v>
      </c>
      <c r="T71" s="319">
        <f>'Initial unit rates'!T198</f>
        <v>9.2927803552490598E-2</v>
      </c>
      <c r="U71" s="319">
        <f>'Initial unit rates'!U198</f>
        <v>7.380460539770714E-2</v>
      </c>
      <c r="V71" s="319">
        <f>'Initial unit rates'!V198</f>
        <v>7.1046815649046496E-2</v>
      </c>
      <c r="W71" s="319">
        <f>'Initial unit rates'!W198</f>
        <v>6.6045001014803859E-2</v>
      </c>
      <c r="X71" s="319">
        <f>'Initial unit rates'!X198</f>
        <v>0</v>
      </c>
      <c r="Y71" s="319">
        <f>'Initial unit rates'!Y198</f>
        <v>0</v>
      </c>
      <c r="Z71" s="319">
        <f>'Initial unit rates'!Z198</f>
        <v>0</v>
      </c>
      <c r="AA71" s="319">
        <f>'Initial unit rates'!AA198</f>
        <v>0</v>
      </c>
      <c r="AB71" s="319">
        <f>'Initial unit rates'!AB198</f>
        <v>7.1478417297208441E-2</v>
      </c>
      <c r="AC71" s="319">
        <f>'Initial unit rates'!AC198</f>
        <v>0</v>
      </c>
      <c r="AD71" s="319">
        <f>'Initial unit rates'!AD198</f>
        <v>0</v>
      </c>
      <c r="AE71" s="319">
        <f>'Initial unit rates'!AE198</f>
        <v>0</v>
      </c>
      <c r="AF71" s="319">
        <f>'Initial unit rates'!AF198</f>
        <v>0</v>
      </c>
      <c r="AG71" s="319">
        <f>'Initial unit rates'!AG198</f>
        <v>-6.2017377484951688E-2</v>
      </c>
      <c r="AH71" s="319">
        <f>'Initial unit rates'!AH198</f>
        <v>-6.2017377484951688E-2</v>
      </c>
      <c r="AI71" s="319">
        <f>'Initial unit rates'!AI198</f>
        <v>0</v>
      </c>
      <c r="AJ71" s="319">
        <f>'Initial unit rates'!AJ198</f>
        <v>0</v>
      </c>
      <c r="AK71" s="319">
        <f>'Initial unit rates'!AK198</f>
        <v>-6.0139787157425614E-2</v>
      </c>
      <c r="AL71" s="319">
        <f>'Initial unit rates'!AL198</f>
        <v>-6.0139787157425614E-2</v>
      </c>
      <c r="AM71" s="319">
        <f>'Initial unit rates'!AM198</f>
        <v>0</v>
      </c>
      <c r="AN71" s="319">
        <f>'Initial unit rates'!AN198</f>
        <v>0</v>
      </c>
      <c r="AO71" s="319">
        <f>'Initial unit rates'!AO198</f>
        <v>-5.8888060272408241E-2</v>
      </c>
      <c r="AP71" s="319">
        <f>'Initial unit rates'!AP198</f>
        <v>-5.8888060272408241E-2</v>
      </c>
      <c r="AQ71" s="304"/>
      <c r="AR71" s="304"/>
    </row>
    <row r="72" spans="3:44" x14ac:dyDescent="0.25">
      <c r="D72"/>
      <c r="F72" t="s">
        <v>232</v>
      </c>
      <c r="G72" t="s">
        <v>327</v>
      </c>
      <c r="H72" s="304"/>
      <c r="I72" s="304"/>
      <c r="J72" s="319">
        <f>'Initial unit rates'!J199</f>
        <v>0</v>
      </c>
      <c r="K72" s="319">
        <f>'Initial unit rates'!K199</f>
        <v>0</v>
      </c>
      <c r="L72" s="319">
        <f>'Initial unit rates'!L199</f>
        <v>0</v>
      </c>
      <c r="M72" s="319">
        <f>'Initial unit rates'!M199</f>
        <v>0</v>
      </c>
      <c r="N72" s="319">
        <f>'Initial unit rates'!N199</f>
        <v>0</v>
      </c>
      <c r="O72" s="319">
        <f>'Initial unit rates'!O199</f>
        <v>0</v>
      </c>
      <c r="P72" s="319">
        <f>'Initial unit rates'!P199</f>
        <v>0</v>
      </c>
      <c r="Q72" s="319">
        <f>'Initial unit rates'!Q199</f>
        <v>0</v>
      </c>
      <c r="R72" s="319">
        <f>'Initial unit rates'!R199</f>
        <v>0</v>
      </c>
      <c r="S72" s="319">
        <f>'Initial unit rates'!S199</f>
        <v>0</v>
      </c>
      <c r="T72" s="319">
        <f>'Initial unit rates'!T199</f>
        <v>0</v>
      </c>
      <c r="U72" s="319">
        <f>'Initial unit rates'!U199</f>
        <v>0</v>
      </c>
      <c r="V72" s="319">
        <f>'Initial unit rates'!V199</f>
        <v>0</v>
      </c>
      <c r="W72" s="319">
        <f>'Initial unit rates'!W199</f>
        <v>0</v>
      </c>
      <c r="X72" s="319">
        <f>'Initial unit rates'!X199</f>
        <v>0</v>
      </c>
      <c r="Y72" s="319">
        <f>'Initial unit rates'!Y199</f>
        <v>0</v>
      </c>
      <c r="Z72" s="319">
        <f>'Initial unit rates'!Z199</f>
        <v>0</v>
      </c>
      <c r="AA72" s="319">
        <f>'Initial unit rates'!AA199</f>
        <v>0</v>
      </c>
      <c r="AB72" s="319">
        <f>'Initial unit rates'!AB199</f>
        <v>0</v>
      </c>
      <c r="AC72" s="319">
        <f>'Initial unit rates'!AC199</f>
        <v>0</v>
      </c>
      <c r="AD72" s="319">
        <f>'Initial unit rates'!AD199</f>
        <v>0</v>
      </c>
      <c r="AE72" s="319">
        <f>'Initial unit rates'!AE199</f>
        <v>0</v>
      </c>
      <c r="AF72" s="319">
        <f>'Initial unit rates'!AF199</f>
        <v>0</v>
      </c>
      <c r="AG72" s="319">
        <f>'Initial unit rates'!AG199</f>
        <v>0</v>
      </c>
      <c r="AH72" s="319">
        <f>'Initial unit rates'!AH199</f>
        <v>0</v>
      </c>
      <c r="AI72" s="319">
        <f>'Initial unit rates'!AI199</f>
        <v>0</v>
      </c>
      <c r="AJ72" s="319">
        <f>'Initial unit rates'!AJ199</f>
        <v>0</v>
      </c>
      <c r="AK72" s="319">
        <f>'Initial unit rates'!AK199</f>
        <v>0</v>
      </c>
      <c r="AL72" s="319">
        <f>'Initial unit rates'!AL199</f>
        <v>0</v>
      </c>
      <c r="AM72" s="319">
        <f>'Initial unit rates'!AM199</f>
        <v>0</v>
      </c>
      <c r="AN72" s="319">
        <f>'Initial unit rates'!AN199</f>
        <v>0</v>
      </c>
      <c r="AO72" s="319">
        <f>'Initial unit rates'!AO199</f>
        <v>0</v>
      </c>
      <c r="AP72" s="319">
        <f>'Initial unit rates'!AP199</f>
        <v>0</v>
      </c>
      <c r="AQ72" s="304"/>
      <c r="AR72" s="304"/>
    </row>
    <row r="73" spans="3:44" x14ac:dyDescent="0.25">
      <c r="D73"/>
      <c r="F73" t="s">
        <v>233</v>
      </c>
      <c r="G73" t="s">
        <v>327</v>
      </c>
      <c r="H73" s="304"/>
      <c r="I73" s="304"/>
      <c r="J73" s="319">
        <f>'Initial unit rates'!J200</f>
        <v>0</v>
      </c>
      <c r="K73" s="319">
        <f>'Initial unit rates'!K200</f>
        <v>0.21448512706833472</v>
      </c>
      <c r="L73" s="319">
        <f>'Initial unit rates'!L200</f>
        <v>0</v>
      </c>
      <c r="M73" s="319">
        <f>'Initial unit rates'!M200</f>
        <v>0</v>
      </c>
      <c r="N73" s="319">
        <f>'Initial unit rates'!N200</f>
        <v>0.18349817305054503</v>
      </c>
      <c r="O73" s="319">
        <f>'Initial unit rates'!O200</f>
        <v>0</v>
      </c>
      <c r="P73" s="319">
        <f>'Initial unit rates'!P200</f>
        <v>0.1726440415051558</v>
      </c>
      <c r="Q73" s="319">
        <f>'Initial unit rates'!Q200</f>
        <v>0.13626517595051965</v>
      </c>
      <c r="R73" s="319">
        <f>'Initial unit rates'!R200</f>
        <v>0.18409498233040694</v>
      </c>
      <c r="S73" s="319">
        <f>'Initial unit rates'!S200</f>
        <v>0.35129732999215169</v>
      </c>
      <c r="T73" s="319">
        <f>'Initial unit rates'!T200</f>
        <v>0.38400131755785871</v>
      </c>
      <c r="U73" s="319">
        <f>'Initial unit rates'!U200</f>
        <v>0.3049793993952396</v>
      </c>
      <c r="V73" s="319">
        <f>'Initial unit rates'!V200</f>
        <v>0.29358351079624706</v>
      </c>
      <c r="W73" s="319">
        <f>'Initial unit rates'!W200</f>
        <v>0.27291474067251936</v>
      </c>
      <c r="X73" s="319">
        <f>'Initial unit rates'!X200</f>
        <v>0</v>
      </c>
      <c r="Y73" s="319">
        <f>'Initial unit rates'!Y200</f>
        <v>0</v>
      </c>
      <c r="Z73" s="319">
        <f>'Initial unit rates'!Z200</f>
        <v>0</v>
      </c>
      <c r="AA73" s="319">
        <f>'Initial unit rates'!AA200</f>
        <v>0</v>
      </c>
      <c r="AB73" s="319">
        <f>'Initial unit rates'!AB200</f>
        <v>0.29536699857082593</v>
      </c>
      <c r="AC73" s="319">
        <f>'Initial unit rates'!AC200</f>
        <v>0</v>
      </c>
      <c r="AD73" s="319">
        <f>'Initial unit rates'!AD200</f>
        <v>0</v>
      </c>
      <c r="AE73" s="319">
        <f>'Initial unit rates'!AE200</f>
        <v>0</v>
      </c>
      <c r="AF73" s="319">
        <f>'Initial unit rates'!AF200</f>
        <v>0</v>
      </c>
      <c r="AG73" s="319">
        <f>'Initial unit rates'!AG200</f>
        <v>-0.25627157594715649</v>
      </c>
      <c r="AH73" s="319">
        <f>'Initial unit rates'!AH200</f>
        <v>-0.25627157594715649</v>
      </c>
      <c r="AI73" s="319">
        <f>'Initial unit rates'!AI200</f>
        <v>0</v>
      </c>
      <c r="AJ73" s="319">
        <f>'Initial unit rates'!AJ200</f>
        <v>0</v>
      </c>
      <c r="AK73" s="319">
        <f>'Initial unit rates'!AK200</f>
        <v>-0.24851289520747186</v>
      </c>
      <c r="AL73" s="319">
        <f>'Initial unit rates'!AL200</f>
        <v>-0.24851289520747186</v>
      </c>
      <c r="AM73" s="319">
        <f>'Initial unit rates'!AM200</f>
        <v>0</v>
      </c>
      <c r="AN73" s="319">
        <f>'Initial unit rates'!AN200</f>
        <v>0</v>
      </c>
      <c r="AO73" s="319">
        <f>'Initial unit rates'!AO200</f>
        <v>0</v>
      </c>
      <c r="AP73" s="319">
        <f>'Initial unit rates'!AP200</f>
        <v>0</v>
      </c>
      <c r="AQ73" s="304"/>
      <c r="AR73" s="304"/>
    </row>
    <row r="74" spans="3:44" x14ac:dyDescent="0.25">
      <c r="D74"/>
      <c r="F74" t="s">
        <v>234</v>
      </c>
      <c r="G74" t="s">
        <v>327</v>
      </c>
      <c r="H74" s="304"/>
      <c r="I74" s="304"/>
      <c r="J74" s="319">
        <f>'Initial unit rates'!J201</f>
        <v>0</v>
      </c>
      <c r="K74" s="319">
        <f>'Initial unit rates'!K201</f>
        <v>5.1937909454242273E-2</v>
      </c>
      <c r="L74" s="319">
        <f>'Initial unit rates'!L201</f>
        <v>0</v>
      </c>
      <c r="M74" s="319">
        <f>'Initial unit rates'!M201</f>
        <v>0</v>
      </c>
      <c r="N74" s="319">
        <f>'Initial unit rates'!N201</f>
        <v>4.4434370005905714E-2</v>
      </c>
      <c r="O74" s="319">
        <f>'Initial unit rates'!O201</f>
        <v>0</v>
      </c>
      <c r="P74" s="319">
        <f>'Initial unit rates'!P201</f>
        <v>4.1806025052042062E-2</v>
      </c>
      <c r="Q74" s="319">
        <f>'Initial unit rates'!Q201</f>
        <v>3.2996825780044189E-2</v>
      </c>
      <c r="R74" s="319">
        <f>'Initial unit rates'!R201</f>
        <v>0</v>
      </c>
      <c r="S74" s="319">
        <f>'Initial unit rates'!S201</f>
        <v>8.5067198672644562E-2</v>
      </c>
      <c r="T74" s="319">
        <f>'Initial unit rates'!T201</f>
        <v>9.2986520483891597E-2</v>
      </c>
      <c r="U74" s="319">
        <f>'Initial unit rates'!U201</f>
        <v>7.3851239233723387E-2</v>
      </c>
      <c r="V74" s="319">
        <f>'Initial unit rates'!V201</f>
        <v>7.1091706960809492E-2</v>
      </c>
      <c r="W74" s="319">
        <f>'Initial unit rates'!W201</f>
        <v>0</v>
      </c>
      <c r="X74" s="319">
        <f>'Initial unit rates'!X201</f>
        <v>0</v>
      </c>
      <c r="Y74" s="319">
        <f>'Initial unit rates'!Y201</f>
        <v>0</v>
      </c>
      <c r="Z74" s="319">
        <f>'Initial unit rates'!Z201</f>
        <v>0</v>
      </c>
      <c r="AA74" s="319">
        <f>'Initial unit rates'!AA201</f>
        <v>0</v>
      </c>
      <c r="AB74" s="319">
        <f>'Initial unit rates'!AB201</f>
        <v>7.1523581318789164E-2</v>
      </c>
      <c r="AC74" s="319">
        <f>'Initial unit rates'!AC201</f>
        <v>0</v>
      </c>
      <c r="AD74" s="319">
        <f>'Initial unit rates'!AD201</f>
        <v>0</v>
      </c>
      <c r="AE74" s="319">
        <f>'Initial unit rates'!AE201</f>
        <v>0</v>
      </c>
      <c r="AF74" s="319">
        <f>'Initial unit rates'!AF201</f>
        <v>0</v>
      </c>
      <c r="AG74" s="319">
        <f>'Initial unit rates'!AG201</f>
        <v>-6.2056563497751377E-2</v>
      </c>
      <c r="AH74" s="319">
        <f>'Initial unit rates'!AH201</f>
        <v>-6.2056563497751377E-2</v>
      </c>
      <c r="AI74" s="319">
        <f>'Initial unit rates'!AI201</f>
        <v>0</v>
      </c>
      <c r="AJ74" s="319">
        <f>'Initial unit rates'!AJ201</f>
        <v>0</v>
      </c>
      <c r="AK74" s="319">
        <f>'Initial unit rates'!AK201</f>
        <v>0</v>
      </c>
      <c r="AL74" s="319">
        <f>'Initial unit rates'!AL201</f>
        <v>0</v>
      </c>
      <c r="AM74" s="319">
        <f>'Initial unit rates'!AM201</f>
        <v>0</v>
      </c>
      <c r="AN74" s="319">
        <f>'Initial unit rates'!AN201</f>
        <v>0</v>
      </c>
      <c r="AO74" s="319">
        <f>'Initial unit rates'!AO201</f>
        <v>0</v>
      </c>
      <c r="AP74" s="319">
        <f>'Initial unit rates'!AP201</f>
        <v>0</v>
      </c>
      <c r="AQ74" s="304"/>
      <c r="AR74" s="304"/>
    </row>
    <row r="75" spans="3:44" x14ac:dyDescent="0.25">
      <c r="D75"/>
      <c r="F75" t="s">
        <v>235</v>
      </c>
      <c r="G75" t="s">
        <v>327</v>
      </c>
      <c r="H75" s="304"/>
      <c r="I75" s="304"/>
      <c r="J75" s="319">
        <f>'Initial unit rates'!J202</f>
        <v>0</v>
      </c>
      <c r="K75" s="319">
        <f>'Initial unit rates'!K202</f>
        <v>0.1232918067772584</v>
      </c>
      <c r="L75" s="319">
        <f>'Initial unit rates'!L202</f>
        <v>0</v>
      </c>
      <c r="M75" s="319">
        <f>'Initial unit rates'!M202</f>
        <v>0</v>
      </c>
      <c r="N75" s="319">
        <f>'Initial unit rates'!N202</f>
        <v>0.10547967406858844</v>
      </c>
      <c r="O75" s="319">
        <f>'Initial unit rates'!O202</f>
        <v>0</v>
      </c>
      <c r="P75" s="319">
        <f>'Initial unit rates'!P202</f>
        <v>9.9240427984160773E-2</v>
      </c>
      <c r="Q75" s="319">
        <f>'Initial unit rates'!Q202</f>
        <v>0</v>
      </c>
      <c r="R75" s="319">
        <f>'Initial unit rates'!R202</f>
        <v>0</v>
      </c>
      <c r="S75" s="319">
        <f>'Initial unit rates'!S202</f>
        <v>0.20193513239246635</v>
      </c>
      <c r="T75" s="319">
        <f>'Initial unit rates'!T202</f>
        <v>0.22073426206131458</v>
      </c>
      <c r="U75" s="319">
        <f>'Initial unit rates'!U202</f>
        <v>0.1753103429372164</v>
      </c>
      <c r="V75" s="319">
        <f>'Initial unit rates'!V202</f>
        <v>0</v>
      </c>
      <c r="W75" s="319">
        <f>'Initial unit rates'!W202</f>
        <v>0</v>
      </c>
      <c r="X75" s="319">
        <f>'Initial unit rates'!X202</f>
        <v>0</v>
      </c>
      <c r="Y75" s="319">
        <f>'Initial unit rates'!Y202</f>
        <v>0</v>
      </c>
      <c r="Z75" s="319">
        <f>'Initial unit rates'!Z202</f>
        <v>0</v>
      </c>
      <c r="AA75" s="319">
        <f>'Initial unit rates'!AA202</f>
        <v>0</v>
      </c>
      <c r="AB75" s="319">
        <f>'Initial unit rates'!AB202</f>
        <v>0.16978487699322306</v>
      </c>
      <c r="AC75" s="319">
        <f>'Initial unit rates'!AC202</f>
        <v>0</v>
      </c>
      <c r="AD75" s="319">
        <f>'Initial unit rates'!AD202</f>
        <v>0</v>
      </c>
      <c r="AE75" s="319">
        <f>'Initial unit rates'!AE202</f>
        <v>0</v>
      </c>
      <c r="AF75" s="319">
        <f>'Initial unit rates'!AF202</f>
        <v>0</v>
      </c>
      <c r="AG75" s="319">
        <f>'Initial unit rates'!AG202</f>
        <v>0</v>
      </c>
      <c r="AH75" s="319">
        <f>'Initial unit rates'!AH202</f>
        <v>0</v>
      </c>
      <c r="AI75" s="319">
        <f>'Initial unit rates'!AI202</f>
        <v>0</v>
      </c>
      <c r="AJ75" s="319">
        <f>'Initial unit rates'!AJ202</f>
        <v>0</v>
      </c>
      <c r="AK75" s="319">
        <f>'Initial unit rates'!AK202</f>
        <v>0</v>
      </c>
      <c r="AL75" s="319">
        <f>'Initial unit rates'!AL202</f>
        <v>0</v>
      </c>
      <c r="AM75" s="319">
        <f>'Initial unit rates'!AM202</f>
        <v>0</v>
      </c>
      <c r="AN75" s="319">
        <f>'Initial unit rates'!AN202</f>
        <v>0</v>
      </c>
      <c r="AO75" s="319">
        <f>'Initial unit rates'!AO202</f>
        <v>0</v>
      </c>
      <c r="AP75" s="319">
        <f>'Initial unit rates'!AP202</f>
        <v>0</v>
      </c>
      <c r="AQ75" s="304"/>
      <c r="AR75" s="304"/>
    </row>
    <row r="76" spans="3:44" x14ac:dyDescent="0.25">
      <c r="D76"/>
      <c r="F76" s="23" t="s">
        <v>436</v>
      </c>
      <c r="G76" s="23" t="s">
        <v>327</v>
      </c>
      <c r="H76" s="302"/>
      <c r="I76" s="302" t="s">
        <v>190</v>
      </c>
      <c r="J76" s="320"/>
      <c r="K76" s="320"/>
      <c r="L76" s="320"/>
      <c r="M76" s="320"/>
      <c r="N76" s="320"/>
      <c r="O76" s="320"/>
      <c r="P76" s="320"/>
      <c r="Q76" s="320"/>
      <c r="R76" s="320"/>
      <c r="S76" s="320"/>
      <c r="T76" s="320"/>
      <c r="U76" s="320"/>
      <c r="V76" s="320"/>
      <c r="W76" s="320"/>
      <c r="X76" s="320"/>
      <c r="Y76" s="320"/>
      <c r="Z76" s="320"/>
      <c r="AA76" s="320"/>
      <c r="AB76" s="318">
        <f>'Service model charges'!$AB$44</f>
        <v>1.8575743700341227</v>
      </c>
      <c r="AC76" s="320"/>
      <c r="AD76" s="320"/>
      <c r="AE76" s="320"/>
      <c r="AF76" s="320"/>
      <c r="AG76" s="320"/>
      <c r="AH76" s="320"/>
      <c r="AI76" s="320"/>
      <c r="AJ76" s="320"/>
      <c r="AK76" s="320"/>
      <c r="AL76" s="320"/>
      <c r="AM76" s="320"/>
      <c r="AN76" s="320"/>
      <c r="AO76" s="320"/>
      <c r="AP76" s="320"/>
      <c r="AQ76" s="304"/>
      <c r="AR76" s="304" t="s">
        <v>779</v>
      </c>
    </row>
    <row r="77" spans="3:44" x14ac:dyDescent="0.25">
      <c r="D77"/>
      <c r="F77" s="37" t="s">
        <v>437</v>
      </c>
      <c r="G77" s="37" t="s">
        <v>327</v>
      </c>
      <c r="H77" s="308"/>
      <c r="I77" s="308"/>
      <c r="J77" s="309"/>
      <c r="K77" s="309"/>
      <c r="L77" s="309"/>
      <c r="M77" s="309"/>
      <c r="N77" s="309"/>
      <c r="O77" s="309"/>
      <c r="P77" s="309"/>
      <c r="Q77" s="309"/>
      <c r="R77" s="309"/>
      <c r="S77" s="309"/>
      <c r="T77" s="309"/>
      <c r="U77" s="309"/>
      <c r="V77" s="309"/>
      <c r="W77" s="309"/>
      <c r="X77" s="309"/>
      <c r="Y77" s="309"/>
      <c r="Z77" s="309"/>
      <c r="AA77" s="309"/>
      <c r="AB77" s="309"/>
      <c r="AC77" s="309"/>
      <c r="AD77" s="309"/>
      <c r="AE77" s="309"/>
      <c r="AF77" s="309"/>
      <c r="AG77" s="309"/>
      <c r="AH77" s="309"/>
      <c r="AI77" s="309"/>
      <c r="AJ77" s="309"/>
      <c r="AK77" s="309"/>
      <c r="AL77" s="309"/>
      <c r="AM77" s="309"/>
      <c r="AN77" s="309"/>
      <c r="AO77" s="309"/>
      <c r="AP77" s="309"/>
      <c r="AQ77" s="304"/>
      <c r="AR77" s="304"/>
    </row>
    <row r="78" spans="3:44" x14ac:dyDescent="0.25">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C79" s="31" t="str">
        <f ca="1">INDEX('Version control'!$H$34:$H$56,MATCH($A$1,'Version control'!$F$34:$F$56,0),1)&amp;"-C: Initial unit rate 3"</f>
        <v>Section 111-C: Initial unit rate 3</v>
      </c>
      <c r="D79" s="31"/>
      <c r="E79" s="31"/>
      <c r="F79" s="31"/>
      <c r="G79" s="31"/>
      <c r="H79" s="31"/>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3:44" x14ac:dyDescent="0.25">
      <c r="D80" s="32"/>
      <c r="E80" s="32"/>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4:44" x14ac:dyDescent="0.25">
      <c r="D81"/>
      <c r="E81" s="32" t="s">
        <v>733</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4:44" x14ac:dyDescent="0.25">
      <c r="D82"/>
      <c r="F82" s="23" t="s">
        <v>225</v>
      </c>
      <c r="G82" s="23" t="s">
        <v>327</v>
      </c>
      <c r="H82" s="302"/>
      <c r="I82" s="302"/>
      <c r="J82" s="318">
        <f>'Initial unit rates'!J210</f>
        <v>0</v>
      </c>
      <c r="K82" s="318">
        <f>'Initial unit rates'!K210</f>
        <v>0</v>
      </c>
      <c r="L82" s="318">
        <f>'Initial unit rates'!L210</f>
        <v>0</v>
      </c>
      <c r="M82" s="318">
        <f>'Initial unit rates'!M210</f>
        <v>0</v>
      </c>
      <c r="N82" s="318">
        <f>'Initial unit rates'!N210</f>
        <v>0</v>
      </c>
      <c r="O82" s="318">
        <f>'Initial unit rates'!O210</f>
        <v>0</v>
      </c>
      <c r="P82" s="318">
        <f>'Initial unit rates'!P210</f>
        <v>0</v>
      </c>
      <c r="Q82" s="318">
        <f>'Initial unit rates'!Q210</f>
        <v>0</v>
      </c>
      <c r="R82" s="318">
        <f>'Initial unit rates'!R210</f>
        <v>0</v>
      </c>
      <c r="S82" s="318">
        <f>'Initial unit rates'!S210</f>
        <v>0</v>
      </c>
      <c r="T82" s="318">
        <f>'Initial unit rates'!T210</f>
        <v>0</v>
      </c>
      <c r="U82" s="318">
        <f>'Initial unit rates'!U210</f>
        <v>0</v>
      </c>
      <c r="V82" s="318">
        <f>'Initial unit rates'!V210</f>
        <v>0</v>
      </c>
      <c r="W82" s="318">
        <f>'Initial unit rates'!W210</f>
        <v>0</v>
      </c>
      <c r="X82" s="318">
        <f>'Initial unit rates'!X210</f>
        <v>0</v>
      </c>
      <c r="Y82" s="318">
        <f>'Initial unit rates'!Y210</f>
        <v>0</v>
      </c>
      <c r="Z82" s="318">
        <f>'Initial unit rates'!Z210</f>
        <v>0</v>
      </c>
      <c r="AA82" s="318">
        <f>'Initial unit rates'!AA210</f>
        <v>0</v>
      </c>
      <c r="AB82" s="318">
        <f>'Initial unit rates'!AB210</f>
        <v>0</v>
      </c>
      <c r="AC82" s="318">
        <f>'Initial unit rates'!AC210</f>
        <v>0</v>
      </c>
      <c r="AD82" s="318">
        <f>'Initial unit rates'!AD210</f>
        <v>0</v>
      </c>
      <c r="AE82" s="318">
        <f>'Initial unit rates'!AE210</f>
        <v>0</v>
      </c>
      <c r="AF82" s="318">
        <f>'Initial unit rates'!AF210</f>
        <v>0</v>
      </c>
      <c r="AG82" s="318">
        <f>'Initial unit rates'!AG210</f>
        <v>0</v>
      </c>
      <c r="AH82" s="318">
        <f>'Initial unit rates'!AH210</f>
        <v>0</v>
      </c>
      <c r="AI82" s="318">
        <f>'Initial unit rates'!AI210</f>
        <v>0</v>
      </c>
      <c r="AJ82" s="318">
        <f>'Initial unit rates'!AJ210</f>
        <v>0</v>
      </c>
      <c r="AK82" s="318">
        <f>'Initial unit rates'!AK210</f>
        <v>0</v>
      </c>
      <c r="AL82" s="318">
        <f>'Initial unit rates'!AL210</f>
        <v>0</v>
      </c>
      <c r="AM82" s="318">
        <f>'Initial unit rates'!AM210</f>
        <v>0</v>
      </c>
      <c r="AN82" s="318">
        <f>'Initial unit rates'!AN210</f>
        <v>0</v>
      </c>
      <c r="AO82" s="318">
        <f>'Initial unit rates'!AO210</f>
        <v>0</v>
      </c>
      <c r="AP82" s="318">
        <f>'Initial unit rates'!AP210</f>
        <v>0</v>
      </c>
      <c r="AQ82" s="304"/>
      <c r="AR82" s="304"/>
    </row>
    <row r="83" spans="4:44" x14ac:dyDescent="0.25">
      <c r="D83"/>
      <c r="F83" t="s">
        <v>227</v>
      </c>
      <c r="G83" t="s">
        <v>327</v>
      </c>
      <c r="H83" s="304"/>
      <c r="I83" s="304"/>
      <c r="J83" s="319">
        <f>'Initial unit rates'!J211</f>
        <v>0</v>
      </c>
      <c r="K83" s="319">
        <f>'Initial unit rates'!K211</f>
        <v>0</v>
      </c>
      <c r="L83" s="319">
        <f>'Initial unit rates'!L211</f>
        <v>0</v>
      </c>
      <c r="M83" s="319">
        <f>'Initial unit rates'!M211</f>
        <v>0</v>
      </c>
      <c r="N83" s="319">
        <f>'Initial unit rates'!N211</f>
        <v>0</v>
      </c>
      <c r="O83" s="319">
        <f>'Initial unit rates'!O211</f>
        <v>0</v>
      </c>
      <c r="P83" s="319">
        <f>'Initial unit rates'!P211</f>
        <v>0</v>
      </c>
      <c r="Q83" s="319">
        <f>'Initial unit rates'!Q211</f>
        <v>0</v>
      </c>
      <c r="R83" s="319">
        <f>'Initial unit rates'!R211</f>
        <v>0</v>
      </c>
      <c r="S83" s="319">
        <f>'Initial unit rates'!S211</f>
        <v>0</v>
      </c>
      <c r="T83" s="319">
        <f>'Initial unit rates'!T211</f>
        <v>0</v>
      </c>
      <c r="U83" s="319">
        <f>'Initial unit rates'!U211</f>
        <v>0</v>
      </c>
      <c r="V83" s="319">
        <f>'Initial unit rates'!V211</f>
        <v>0</v>
      </c>
      <c r="W83" s="319">
        <f>'Initial unit rates'!W211</f>
        <v>0</v>
      </c>
      <c r="X83" s="319">
        <f>'Initial unit rates'!X211</f>
        <v>0</v>
      </c>
      <c r="Y83" s="319">
        <f>'Initial unit rates'!Y211</f>
        <v>0</v>
      </c>
      <c r="Z83" s="319">
        <f>'Initial unit rates'!Z211</f>
        <v>0</v>
      </c>
      <c r="AA83" s="319">
        <f>'Initial unit rates'!AA211</f>
        <v>0</v>
      </c>
      <c r="AB83" s="319">
        <f>'Initial unit rates'!AB211</f>
        <v>0</v>
      </c>
      <c r="AC83" s="319">
        <f>'Initial unit rates'!AC211</f>
        <v>0</v>
      </c>
      <c r="AD83" s="319">
        <f>'Initial unit rates'!AD211</f>
        <v>0</v>
      </c>
      <c r="AE83" s="319">
        <f>'Initial unit rates'!AE211</f>
        <v>0</v>
      </c>
      <c r="AF83" s="319">
        <f>'Initial unit rates'!AF211</f>
        <v>0</v>
      </c>
      <c r="AG83" s="319">
        <f>'Initial unit rates'!AG211</f>
        <v>0</v>
      </c>
      <c r="AH83" s="319">
        <f>'Initial unit rates'!AH211</f>
        <v>0</v>
      </c>
      <c r="AI83" s="319">
        <f>'Initial unit rates'!AI211</f>
        <v>0</v>
      </c>
      <c r="AJ83" s="319">
        <f>'Initial unit rates'!AJ211</f>
        <v>0</v>
      </c>
      <c r="AK83" s="319">
        <f>'Initial unit rates'!AK211</f>
        <v>0</v>
      </c>
      <c r="AL83" s="319">
        <f>'Initial unit rates'!AL211</f>
        <v>0</v>
      </c>
      <c r="AM83" s="319">
        <f>'Initial unit rates'!AM211</f>
        <v>0</v>
      </c>
      <c r="AN83" s="319">
        <f>'Initial unit rates'!AN211</f>
        <v>0</v>
      </c>
      <c r="AO83" s="319">
        <f>'Initial unit rates'!AO211</f>
        <v>0</v>
      </c>
      <c r="AP83" s="319">
        <f>'Initial unit rates'!AP211</f>
        <v>0</v>
      </c>
      <c r="AQ83" s="304"/>
      <c r="AR83" s="304"/>
    </row>
    <row r="84" spans="4:44" x14ac:dyDescent="0.25">
      <c r="D84"/>
      <c r="F84" t="s">
        <v>228</v>
      </c>
      <c r="G84" t="s">
        <v>327</v>
      </c>
      <c r="H84" s="304"/>
      <c r="I84" s="304"/>
      <c r="J84" s="319">
        <f>'Initial unit rates'!J212</f>
        <v>0</v>
      </c>
      <c r="K84" s="319">
        <f>'Initial unit rates'!K212</f>
        <v>0</v>
      </c>
      <c r="L84" s="319">
        <f>'Initial unit rates'!L212</f>
        <v>0</v>
      </c>
      <c r="M84" s="319">
        <f>'Initial unit rates'!M212</f>
        <v>0</v>
      </c>
      <c r="N84" s="319">
        <f>'Initial unit rates'!N212</f>
        <v>0</v>
      </c>
      <c r="O84" s="319">
        <f>'Initial unit rates'!O212</f>
        <v>0</v>
      </c>
      <c r="P84" s="319">
        <f>'Initial unit rates'!P212</f>
        <v>0</v>
      </c>
      <c r="Q84" s="319">
        <f>'Initial unit rates'!Q212</f>
        <v>0</v>
      </c>
      <c r="R84" s="319">
        <f>'Initial unit rates'!R212</f>
        <v>0</v>
      </c>
      <c r="S84" s="319">
        <f>'Initial unit rates'!S212</f>
        <v>0</v>
      </c>
      <c r="T84" s="319">
        <f>'Initial unit rates'!T212</f>
        <v>0</v>
      </c>
      <c r="U84" s="319">
        <f>'Initial unit rates'!U212</f>
        <v>0</v>
      </c>
      <c r="V84" s="319">
        <f>'Initial unit rates'!V212</f>
        <v>0</v>
      </c>
      <c r="W84" s="319">
        <f>'Initial unit rates'!W212</f>
        <v>0</v>
      </c>
      <c r="X84" s="319">
        <f>'Initial unit rates'!X212</f>
        <v>0</v>
      </c>
      <c r="Y84" s="319">
        <f>'Initial unit rates'!Y212</f>
        <v>0</v>
      </c>
      <c r="Z84" s="319">
        <f>'Initial unit rates'!Z212</f>
        <v>0</v>
      </c>
      <c r="AA84" s="319">
        <f>'Initial unit rates'!AA212</f>
        <v>0</v>
      </c>
      <c r="AB84" s="319">
        <f>'Initial unit rates'!AB212</f>
        <v>0</v>
      </c>
      <c r="AC84" s="319">
        <f>'Initial unit rates'!AC212</f>
        <v>0</v>
      </c>
      <c r="AD84" s="319">
        <f>'Initial unit rates'!AD212</f>
        <v>0</v>
      </c>
      <c r="AE84" s="319">
        <f>'Initial unit rates'!AE212</f>
        <v>0</v>
      </c>
      <c r="AF84" s="319">
        <f>'Initial unit rates'!AF212</f>
        <v>0</v>
      </c>
      <c r="AG84" s="319">
        <f>'Initial unit rates'!AG212</f>
        <v>0</v>
      </c>
      <c r="AH84" s="319">
        <f>'Initial unit rates'!AH212</f>
        <v>0</v>
      </c>
      <c r="AI84" s="319">
        <f>'Initial unit rates'!AI212</f>
        <v>0</v>
      </c>
      <c r="AJ84" s="319">
        <f>'Initial unit rates'!AJ212</f>
        <v>0</v>
      </c>
      <c r="AK84" s="319">
        <f>'Initial unit rates'!AK212</f>
        <v>0</v>
      </c>
      <c r="AL84" s="319">
        <f>'Initial unit rates'!AL212</f>
        <v>0</v>
      </c>
      <c r="AM84" s="319">
        <f>'Initial unit rates'!AM212</f>
        <v>0</v>
      </c>
      <c r="AN84" s="319">
        <f>'Initial unit rates'!AN212</f>
        <v>0</v>
      </c>
      <c r="AO84" s="319">
        <f>'Initial unit rates'!AO212</f>
        <v>0</v>
      </c>
      <c r="AP84" s="319">
        <f>'Initial unit rates'!AP212</f>
        <v>0</v>
      </c>
      <c r="AQ84" s="304"/>
      <c r="AR84" s="304"/>
    </row>
    <row r="85" spans="4:44" x14ac:dyDescent="0.25">
      <c r="D85"/>
      <c r="F85" t="s">
        <v>229</v>
      </c>
      <c r="G85" t="s">
        <v>327</v>
      </c>
      <c r="H85" s="304"/>
      <c r="I85" s="304"/>
      <c r="J85" s="319">
        <f>'Initial unit rates'!J213</f>
        <v>0</v>
      </c>
      <c r="K85" s="319">
        <f>'Initial unit rates'!K213</f>
        <v>0</v>
      </c>
      <c r="L85" s="319">
        <f>'Initial unit rates'!L213</f>
        <v>0</v>
      </c>
      <c r="M85" s="319">
        <f>'Initial unit rates'!M213</f>
        <v>0</v>
      </c>
      <c r="N85" s="319">
        <f>'Initial unit rates'!N213</f>
        <v>0</v>
      </c>
      <c r="O85" s="319">
        <f>'Initial unit rates'!O213</f>
        <v>0</v>
      </c>
      <c r="P85" s="319">
        <f>'Initial unit rates'!P213</f>
        <v>0</v>
      </c>
      <c r="Q85" s="319">
        <f>'Initial unit rates'!Q213</f>
        <v>0</v>
      </c>
      <c r="R85" s="319">
        <f>'Initial unit rates'!R213</f>
        <v>0</v>
      </c>
      <c r="S85" s="319">
        <f>'Initial unit rates'!S213</f>
        <v>0</v>
      </c>
      <c r="T85" s="319">
        <f>'Initial unit rates'!T213</f>
        <v>0</v>
      </c>
      <c r="U85" s="319">
        <f>'Initial unit rates'!U213</f>
        <v>0</v>
      </c>
      <c r="V85" s="319">
        <f>'Initial unit rates'!V213</f>
        <v>0</v>
      </c>
      <c r="W85" s="319">
        <f>'Initial unit rates'!W213</f>
        <v>0</v>
      </c>
      <c r="X85" s="319">
        <f>'Initial unit rates'!X213</f>
        <v>0</v>
      </c>
      <c r="Y85" s="319">
        <f>'Initial unit rates'!Y213</f>
        <v>0</v>
      </c>
      <c r="Z85" s="319">
        <f>'Initial unit rates'!Z213</f>
        <v>0</v>
      </c>
      <c r="AA85" s="319">
        <f>'Initial unit rates'!AA213</f>
        <v>0</v>
      </c>
      <c r="AB85" s="319">
        <f>'Initial unit rates'!AB213</f>
        <v>0</v>
      </c>
      <c r="AC85" s="319">
        <f>'Initial unit rates'!AC213</f>
        <v>0</v>
      </c>
      <c r="AD85" s="319">
        <f>'Initial unit rates'!AD213</f>
        <v>0</v>
      </c>
      <c r="AE85" s="319">
        <f>'Initial unit rates'!AE213</f>
        <v>0</v>
      </c>
      <c r="AF85" s="319">
        <f>'Initial unit rates'!AF213</f>
        <v>0</v>
      </c>
      <c r="AG85" s="319">
        <f>'Initial unit rates'!AG213</f>
        <v>0</v>
      </c>
      <c r="AH85" s="319">
        <f>'Initial unit rates'!AH213</f>
        <v>0</v>
      </c>
      <c r="AI85" s="319">
        <f>'Initial unit rates'!AI213</f>
        <v>0</v>
      </c>
      <c r="AJ85" s="319">
        <f>'Initial unit rates'!AJ213</f>
        <v>0</v>
      </c>
      <c r="AK85" s="319">
        <f>'Initial unit rates'!AK213</f>
        <v>0</v>
      </c>
      <c r="AL85" s="319">
        <f>'Initial unit rates'!AL213</f>
        <v>0</v>
      </c>
      <c r="AM85" s="319">
        <f>'Initial unit rates'!AM213</f>
        <v>0</v>
      </c>
      <c r="AN85" s="319">
        <f>'Initial unit rates'!AN213</f>
        <v>0</v>
      </c>
      <c r="AO85" s="319">
        <f>'Initial unit rates'!AO213</f>
        <v>0</v>
      </c>
      <c r="AP85" s="319">
        <f>'Initial unit rates'!AP213</f>
        <v>0</v>
      </c>
      <c r="AQ85" s="304"/>
      <c r="AR85" s="304"/>
    </row>
    <row r="86" spans="4:44" x14ac:dyDescent="0.25">
      <c r="D86"/>
      <c r="F86" t="s">
        <v>230</v>
      </c>
      <c r="G86" t="s">
        <v>327</v>
      </c>
      <c r="H86" s="304"/>
      <c r="I86" s="304"/>
      <c r="J86" s="319">
        <f>'Initial unit rates'!J214</f>
        <v>0</v>
      </c>
      <c r="K86" s="319">
        <f>'Initial unit rates'!K214</f>
        <v>0</v>
      </c>
      <c r="L86" s="319">
        <f>'Initial unit rates'!L214</f>
        <v>0</v>
      </c>
      <c r="M86" s="319">
        <f>'Initial unit rates'!M214</f>
        <v>0</v>
      </c>
      <c r="N86" s="319">
        <f>'Initial unit rates'!N214</f>
        <v>0</v>
      </c>
      <c r="O86" s="319">
        <f>'Initial unit rates'!O214</f>
        <v>0</v>
      </c>
      <c r="P86" s="319">
        <f>'Initial unit rates'!P214</f>
        <v>0</v>
      </c>
      <c r="Q86" s="319">
        <f>'Initial unit rates'!Q214</f>
        <v>0</v>
      </c>
      <c r="R86" s="319">
        <f>'Initial unit rates'!R214</f>
        <v>0</v>
      </c>
      <c r="S86" s="319">
        <f>'Initial unit rates'!S214</f>
        <v>5.6434284070982943E-2</v>
      </c>
      <c r="T86" s="319">
        <f>'Initial unit rates'!T214</f>
        <v>6.1688027743268314E-2</v>
      </c>
      <c r="U86" s="319">
        <f>'Initial unit rates'!U214</f>
        <v>4.8993523695876749E-2</v>
      </c>
      <c r="V86" s="319">
        <f>'Initial unit rates'!V214</f>
        <v>4.71628271333632E-2</v>
      </c>
      <c r="W86" s="319">
        <f>'Initial unit rates'!W214</f>
        <v>4.3610202281201597E-2</v>
      </c>
      <c r="X86" s="319">
        <f>'Initial unit rates'!X214</f>
        <v>0</v>
      </c>
      <c r="Y86" s="319">
        <f>'Initial unit rates'!Y214</f>
        <v>0</v>
      </c>
      <c r="Z86" s="319">
        <f>'Initial unit rates'!Z214</f>
        <v>0</v>
      </c>
      <c r="AA86" s="319">
        <f>'Initial unit rates'!AA214</f>
        <v>0</v>
      </c>
      <c r="AB86" s="319">
        <f>'Initial unit rates'!AB214</f>
        <v>3.9531770102497317E-2</v>
      </c>
      <c r="AC86" s="319">
        <f>'Initial unit rates'!AC214</f>
        <v>0</v>
      </c>
      <c r="AD86" s="319">
        <f>'Initial unit rates'!AD214</f>
        <v>0</v>
      </c>
      <c r="AE86" s="319">
        <f>'Initial unit rates'!AE214</f>
        <v>0</v>
      </c>
      <c r="AF86" s="319">
        <f>'Initial unit rates'!AF214</f>
        <v>0</v>
      </c>
      <c r="AG86" s="319">
        <f>'Initial unit rates'!AG214</f>
        <v>-4.1168838136752754E-2</v>
      </c>
      <c r="AH86" s="319">
        <f>'Initial unit rates'!AH214</f>
        <v>-4.1168838136752754E-2</v>
      </c>
      <c r="AI86" s="319">
        <f>'Initial unit rates'!AI214</f>
        <v>0</v>
      </c>
      <c r="AJ86" s="319">
        <f>'Initial unit rates'!AJ214</f>
        <v>0</v>
      </c>
      <c r="AK86" s="319">
        <f>'Initial unit rates'!AK214</f>
        <v>-3.9922442119768482E-2</v>
      </c>
      <c r="AL86" s="319">
        <f>'Initial unit rates'!AL214</f>
        <v>-3.9922442119768482E-2</v>
      </c>
      <c r="AM86" s="319">
        <f>'Initial unit rates'!AM214</f>
        <v>0</v>
      </c>
      <c r="AN86" s="319">
        <f>'Initial unit rates'!AN214</f>
        <v>0</v>
      </c>
      <c r="AO86" s="319">
        <f>'Initial unit rates'!AO214</f>
        <v>-3.8884399742104267E-2</v>
      </c>
      <c r="AP86" s="319">
        <f>'Initial unit rates'!AP214</f>
        <v>-3.8884399742104267E-2</v>
      </c>
      <c r="AQ86" s="304"/>
      <c r="AR86" s="304"/>
    </row>
    <row r="87" spans="4:44" x14ac:dyDescent="0.25">
      <c r="D87"/>
      <c r="F87" t="s">
        <v>231</v>
      </c>
      <c r="G87" t="s">
        <v>327</v>
      </c>
      <c r="H87" s="304"/>
      <c r="I87" s="304"/>
      <c r="J87" s="319">
        <f>'Initial unit rates'!J215</f>
        <v>0</v>
      </c>
      <c r="K87" s="319">
        <f>'Initial unit rates'!K215</f>
        <v>0</v>
      </c>
      <c r="L87" s="319">
        <f>'Initial unit rates'!L215</f>
        <v>0</v>
      </c>
      <c r="M87" s="319">
        <f>'Initial unit rates'!M215</f>
        <v>0</v>
      </c>
      <c r="N87" s="319">
        <f>'Initial unit rates'!N215</f>
        <v>0</v>
      </c>
      <c r="O87" s="319">
        <f>'Initial unit rates'!O215</f>
        <v>0</v>
      </c>
      <c r="P87" s="319">
        <f>'Initial unit rates'!P215</f>
        <v>0</v>
      </c>
      <c r="Q87" s="319">
        <f>'Initial unit rates'!Q215</f>
        <v>0</v>
      </c>
      <c r="R87" s="319">
        <f>'Initial unit rates'!R215</f>
        <v>0</v>
      </c>
      <c r="S87" s="319">
        <f>'Initial unit rates'!S215</f>
        <v>5.1178300471938803E-2</v>
      </c>
      <c r="T87" s="319">
        <f>'Initial unit rates'!T215</f>
        <v>5.5942738910186272E-2</v>
      </c>
      <c r="U87" s="319">
        <f>'Initial unit rates'!U215</f>
        <v>4.4430532222803146E-2</v>
      </c>
      <c r="V87" s="319">
        <f>'Initial unit rates'!V215</f>
        <v>4.2770336824002338E-2</v>
      </c>
      <c r="W87" s="319">
        <f>'Initial unit rates'!W215</f>
        <v>3.9623286138911522E-2</v>
      </c>
      <c r="X87" s="319">
        <f>'Initial unit rates'!X215</f>
        <v>0</v>
      </c>
      <c r="Y87" s="319">
        <f>'Initial unit rates'!Y215</f>
        <v>0</v>
      </c>
      <c r="Z87" s="319">
        <f>'Initial unit rates'!Z215</f>
        <v>0</v>
      </c>
      <c r="AA87" s="319">
        <f>'Initial unit rates'!AA215</f>
        <v>0</v>
      </c>
      <c r="AB87" s="319">
        <f>'Initial unit rates'!AB215</f>
        <v>3.5849995119074725E-2</v>
      </c>
      <c r="AC87" s="319">
        <f>'Initial unit rates'!AC215</f>
        <v>0</v>
      </c>
      <c r="AD87" s="319">
        <f>'Initial unit rates'!AD215</f>
        <v>0</v>
      </c>
      <c r="AE87" s="319">
        <f>'Initial unit rates'!AE215</f>
        <v>0</v>
      </c>
      <c r="AF87" s="319">
        <f>'Initial unit rates'!AF215</f>
        <v>0</v>
      </c>
      <c r="AG87" s="319">
        <f>'Initial unit rates'!AG215</f>
        <v>-3.7334595502145927E-2</v>
      </c>
      <c r="AH87" s="319">
        <f>'Initial unit rates'!AH215</f>
        <v>-3.7334595502145927E-2</v>
      </c>
      <c r="AI87" s="319">
        <f>'Initial unit rates'!AI215</f>
        <v>0</v>
      </c>
      <c r="AJ87" s="319">
        <f>'Initial unit rates'!AJ215</f>
        <v>0</v>
      </c>
      <c r="AK87" s="319">
        <f>'Initial unit rates'!AK215</f>
        <v>-3.6204282060337836E-2</v>
      </c>
      <c r="AL87" s="319">
        <f>'Initial unit rates'!AL215</f>
        <v>-3.6204282060337836E-2</v>
      </c>
      <c r="AM87" s="319">
        <f>'Initial unit rates'!AM215</f>
        <v>0</v>
      </c>
      <c r="AN87" s="319">
        <f>'Initial unit rates'!AN215</f>
        <v>0</v>
      </c>
      <c r="AO87" s="319">
        <f>'Initial unit rates'!AO215</f>
        <v>-3.5329524210561916E-2</v>
      </c>
      <c r="AP87" s="319">
        <f>'Initial unit rates'!AP215</f>
        <v>-3.5329524210561916E-2</v>
      </c>
      <c r="AQ87" s="304"/>
      <c r="AR87" s="304"/>
    </row>
    <row r="88" spans="4:44" x14ac:dyDescent="0.25">
      <c r="D88"/>
      <c r="F88" t="s">
        <v>232</v>
      </c>
      <c r="G88" t="s">
        <v>327</v>
      </c>
      <c r="H88" s="304"/>
      <c r="I88" s="304"/>
      <c r="J88" s="319">
        <f>'Initial unit rates'!J216</f>
        <v>0</v>
      </c>
      <c r="K88" s="319">
        <f>'Initial unit rates'!K216</f>
        <v>0</v>
      </c>
      <c r="L88" s="319">
        <f>'Initial unit rates'!L216</f>
        <v>0</v>
      </c>
      <c r="M88" s="319">
        <f>'Initial unit rates'!M216</f>
        <v>0</v>
      </c>
      <c r="N88" s="319">
        <f>'Initial unit rates'!N216</f>
        <v>0</v>
      </c>
      <c r="O88" s="319">
        <f>'Initial unit rates'!O216</f>
        <v>0</v>
      </c>
      <c r="P88" s="319">
        <f>'Initial unit rates'!P216</f>
        <v>0</v>
      </c>
      <c r="Q88" s="319">
        <f>'Initial unit rates'!Q216</f>
        <v>0</v>
      </c>
      <c r="R88" s="319">
        <f>'Initial unit rates'!R216</f>
        <v>0</v>
      </c>
      <c r="S88" s="319">
        <f>'Initial unit rates'!S216</f>
        <v>0</v>
      </c>
      <c r="T88" s="319">
        <f>'Initial unit rates'!T216</f>
        <v>0</v>
      </c>
      <c r="U88" s="319">
        <f>'Initial unit rates'!U216</f>
        <v>0</v>
      </c>
      <c r="V88" s="319">
        <f>'Initial unit rates'!V216</f>
        <v>0</v>
      </c>
      <c r="W88" s="319">
        <f>'Initial unit rates'!W216</f>
        <v>0</v>
      </c>
      <c r="X88" s="319">
        <f>'Initial unit rates'!X216</f>
        <v>0</v>
      </c>
      <c r="Y88" s="319">
        <f>'Initial unit rates'!Y216</f>
        <v>0</v>
      </c>
      <c r="Z88" s="319">
        <f>'Initial unit rates'!Z216</f>
        <v>0</v>
      </c>
      <c r="AA88" s="319">
        <f>'Initial unit rates'!AA216</f>
        <v>0</v>
      </c>
      <c r="AB88" s="319">
        <f>'Initial unit rates'!AB216</f>
        <v>0</v>
      </c>
      <c r="AC88" s="319">
        <f>'Initial unit rates'!AC216</f>
        <v>0</v>
      </c>
      <c r="AD88" s="319">
        <f>'Initial unit rates'!AD216</f>
        <v>0</v>
      </c>
      <c r="AE88" s="319">
        <f>'Initial unit rates'!AE216</f>
        <v>0</v>
      </c>
      <c r="AF88" s="319">
        <f>'Initial unit rates'!AF216</f>
        <v>0</v>
      </c>
      <c r="AG88" s="319">
        <f>'Initial unit rates'!AG216</f>
        <v>0</v>
      </c>
      <c r="AH88" s="319">
        <f>'Initial unit rates'!AH216</f>
        <v>0</v>
      </c>
      <c r="AI88" s="319">
        <f>'Initial unit rates'!AI216</f>
        <v>0</v>
      </c>
      <c r="AJ88" s="319">
        <f>'Initial unit rates'!AJ216</f>
        <v>0</v>
      </c>
      <c r="AK88" s="319">
        <f>'Initial unit rates'!AK216</f>
        <v>0</v>
      </c>
      <c r="AL88" s="319">
        <f>'Initial unit rates'!AL216</f>
        <v>0</v>
      </c>
      <c r="AM88" s="319">
        <f>'Initial unit rates'!AM216</f>
        <v>0</v>
      </c>
      <c r="AN88" s="319">
        <f>'Initial unit rates'!AN216</f>
        <v>0</v>
      </c>
      <c r="AO88" s="319">
        <f>'Initial unit rates'!AO216</f>
        <v>0</v>
      </c>
      <c r="AP88" s="319">
        <f>'Initial unit rates'!AP216</f>
        <v>0</v>
      </c>
      <c r="AQ88" s="304"/>
      <c r="AR88" s="304"/>
    </row>
    <row r="89" spans="4:44" x14ac:dyDescent="0.25">
      <c r="D89"/>
      <c r="F89" t="s">
        <v>233</v>
      </c>
      <c r="G89" t="s">
        <v>327</v>
      </c>
      <c r="H89" s="304"/>
      <c r="I89" s="304"/>
      <c r="J89" s="319">
        <f>'Initial unit rates'!J217</f>
        <v>0</v>
      </c>
      <c r="K89" s="319">
        <f>'Initial unit rates'!K217</f>
        <v>0</v>
      </c>
      <c r="L89" s="319">
        <f>'Initial unit rates'!L217</f>
        <v>0</v>
      </c>
      <c r="M89" s="319">
        <f>'Initial unit rates'!M217</f>
        <v>0</v>
      </c>
      <c r="N89" s="319">
        <f>'Initial unit rates'!N217</f>
        <v>0</v>
      </c>
      <c r="O89" s="319">
        <f>'Initial unit rates'!O217</f>
        <v>0</v>
      </c>
      <c r="P89" s="319">
        <f>'Initial unit rates'!P217</f>
        <v>0</v>
      </c>
      <c r="Q89" s="319">
        <f>'Initial unit rates'!Q217</f>
        <v>0</v>
      </c>
      <c r="R89" s="319">
        <f>'Initial unit rates'!R217</f>
        <v>0</v>
      </c>
      <c r="S89" s="319">
        <f>'Initial unit rates'!S217</f>
        <v>0.12206266742830031</v>
      </c>
      <c r="T89" s="319">
        <f>'Initial unit rates'!T217</f>
        <v>0.13342607846789278</v>
      </c>
      <c r="U89" s="319">
        <f>'Initial unit rates'!U217</f>
        <v>0.10596892097556103</v>
      </c>
      <c r="V89" s="319">
        <f>'Initial unit rates'!V217</f>
        <v>0.10200927641993671</v>
      </c>
      <c r="W89" s="319">
        <f>'Initial unit rates'!W217</f>
        <v>0.10080906412510215</v>
      </c>
      <c r="X89" s="319">
        <f>'Initial unit rates'!X217</f>
        <v>0</v>
      </c>
      <c r="Y89" s="319">
        <f>'Initial unit rates'!Y217</f>
        <v>0</v>
      </c>
      <c r="Z89" s="319">
        <f>'Initial unit rates'!Z217</f>
        <v>0</v>
      </c>
      <c r="AA89" s="319">
        <f>'Initial unit rates'!AA217</f>
        <v>0</v>
      </c>
      <c r="AB89" s="319">
        <f>'Initial unit rates'!AB217</f>
        <v>8.5503934112176119E-2</v>
      </c>
      <c r="AC89" s="319">
        <f>'Initial unit rates'!AC217</f>
        <v>0</v>
      </c>
      <c r="AD89" s="319">
        <f>'Initial unit rates'!AD217</f>
        <v>0</v>
      </c>
      <c r="AE89" s="319">
        <f>'Initial unit rates'!AE217</f>
        <v>0</v>
      </c>
      <c r="AF89" s="319">
        <f>'Initial unit rates'!AF217</f>
        <v>0</v>
      </c>
      <c r="AG89" s="319">
        <f>'Initial unit rates'!AG217</f>
        <v>-8.9044776249403948E-2</v>
      </c>
      <c r="AH89" s="319">
        <f>'Initial unit rates'!AH217</f>
        <v>-8.9044776249403948E-2</v>
      </c>
      <c r="AI89" s="319">
        <f>'Initial unit rates'!AI217</f>
        <v>0</v>
      </c>
      <c r="AJ89" s="319">
        <f>'Initial unit rates'!AJ217</f>
        <v>0</v>
      </c>
      <c r="AK89" s="319">
        <f>'Initial unit rates'!AK217</f>
        <v>-8.6348925225339421E-2</v>
      </c>
      <c r="AL89" s="319">
        <f>'Initial unit rates'!AL217</f>
        <v>-8.6348925225339421E-2</v>
      </c>
      <c r="AM89" s="319">
        <f>'Initial unit rates'!AM217</f>
        <v>0</v>
      </c>
      <c r="AN89" s="319">
        <f>'Initial unit rates'!AN217</f>
        <v>0</v>
      </c>
      <c r="AO89" s="319">
        <f>'Initial unit rates'!AO217</f>
        <v>0</v>
      </c>
      <c r="AP89" s="319">
        <f>'Initial unit rates'!AP217</f>
        <v>0</v>
      </c>
      <c r="AQ89" s="304"/>
      <c r="AR89" s="304"/>
    </row>
    <row r="90" spans="4:44" x14ac:dyDescent="0.25">
      <c r="D90"/>
      <c r="F90" t="s">
        <v>234</v>
      </c>
      <c r="G90" t="s">
        <v>327</v>
      </c>
      <c r="H90" s="304"/>
      <c r="I90" s="304"/>
      <c r="J90" s="319">
        <f>'Initial unit rates'!J218</f>
        <v>0</v>
      </c>
      <c r="K90" s="319">
        <f>'Initial unit rates'!K218</f>
        <v>0</v>
      </c>
      <c r="L90" s="319">
        <f>'Initial unit rates'!L218</f>
        <v>0</v>
      </c>
      <c r="M90" s="319">
        <f>'Initial unit rates'!M218</f>
        <v>0</v>
      </c>
      <c r="N90" s="319">
        <f>'Initial unit rates'!N218</f>
        <v>0</v>
      </c>
      <c r="O90" s="319">
        <f>'Initial unit rates'!O218</f>
        <v>0</v>
      </c>
      <c r="P90" s="319">
        <f>'Initial unit rates'!P218</f>
        <v>0</v>
      </c>
      <c r="Q90" s="319">
        <f>'Initial unit rates'!Q218</f>
        <v>0</v>
      </c>
      <c r="R90" s="319">
        <f>'Initial unit rates'!R218</f>
        <v>0</v>
      </c>
      <c r="S90" s="319">
        <f>'Initial unit rates'!S218</f>
        <v>1.1179272252457162E-2</v>
      </c>
      <c r="T90" s="319">
        <f>'Initial unit rates'!T218</f>
        <v>1.2220005413583613E-2</v>
      </c>
      <c r="U90" s="319">
        <f>'Initial unit rates'!U218</f>
        <v>9.7053050113031693E-3</v>
      </c>
      <c r="V90" s="319">
        <f>'Initial unit rates'!V218</f>
        <v>9.342655681717724E-3</v>
      </c>
      <c r="W90" s="319">
        <f>'Initial unit rates'!W218</f>
        <v>0</v>
      </c>
      <c r="X90" s="319">
        <f>'Initial unit rates'!X218</f>
        <v>0</v>
      </c>
      <c r="Y90" s="319">
        <f>'Initial unit rates'!Y218</f>
        <v>0</v>
      </c>
      <c r="Z90" s="319">
        <f>'Initial unit rates'!Z218</f>
        <v>0</v>
      </c>
      <c r="AA90" s="319">
        <f>'Initial unit rates'!AA218</f>
        <v>0</v>
      </c>
      <c r="AB90" s="319">
        <f>'Initial unit rates'!AB218</f>
        <v>7.830991885030331E-3</v>
      </c>
      <c r="AC90" s="319">
        <f>'Initial unit rates'!AC218</f>
        <v>0</v>
      </c>
      <c r="AD90" s="319">
        <f>'Initial unit rates'!AD218</f>
        <v>0</v>
      </c>
      <c r="AE90" s="319">
        <f>'Initial unit rates'!AE218</f>
        <v>0</v>
      </c>
      <c r="AF90" s="319">
        <f>'Initial unit rates'!AF218</f>
        <v>0</v>
      </c>
      <c r="AG90" s="319">
        <f>'Initial unit rates'!AG218</f>
        <v>-8.1552846363606574E-3</v>
      </c>
      <c r="AH90" s="319">
        <f>'Initial unit rates'!AH218</f>
        <v>-8.1552846363606574E-3</v>
      </c>
      <c r="AI90" s="319">
        <f>'Initial unit rates'!AI218</f>
        <v>0</v>
      </c>
      <c r="AJ90" s="319">
        <f>'Initial unit rates'!AJ218</f>
        <v>0</v>
      </c>
      <c r="AK90" s="319">
        <f>'Initial unit rates'!AK218</f>
        <v>0</v>
      </c>
      <c r="AL90" s="319">
        <f>'Initial unit rates'!AL218</f>
        <v>0</v>
      </c>
      <c r="AM90" s="319">
        <f>'Initial unit rates'!AM218</f>
        <v>0</v>
      </c>
      <c r="AN90" s="319">
        <f>'Initial unit rates'!AN218</f>
        <v>0</v>
      </c>
      <c r="AO90" s="319">
        <f>'Initial unit rates'!AO218</f>
        <v>0</v>
      </c>
      <c r="AP90" s="319">
        <f>'Initial unit rates'!AP218</f>
        <v>0</v>
      </c>
      <c r="AQ90" s="304"/>
      <c r="AR90" s="304"/>
    </row>
    <row r="91" spans="4:44" x14ac:dyDescent="0.25">
      <c r="D91"/>
      <c r="F91" t="s">
        <v>235</v>
      </c>
      <c r="G91" t="s">
        <v>327</v>
      </c>
      <c r="H91" s="304"/>
      <c r="I91" s="304"/>
      <c r="J91" s="319">
        <f>'Initial unit rates'!J219</f>
        <v>0</v>
      </c>
      <c r="K91" s="319">
        <f>'Initial unit rates'!K219</f>
        <v>0</v>
      </c>
      <c r="L91" s="319">
        <f>'Initial unit rates'!L219</f>
        <v>0</v>
      </c>
      <c r="M91" s="319">
        <f>'Initial unit rates'!M219</f>
        <v>0</v>
      </c>
      <c r="N91" s="319">
        <f>'Initial unit rates'!N219</f>
        <v>0</v>
      </c>
      <c r="O91" s="319">
        <f>'Initial unit rates'!O219</f>
        <v>0</v>
      </c>
      <c r="P91" s="319">
        <f>'Initial unit rates'!P219</f>
        <v>0</v>
      </c>
      <c r="Q91" s="319">
        <f>'Initial unit rates'!Q219</f>
        <v>0</v>
      </c>
      <c r="R91" s="319">
        <f>'Initial unit rates'!R219</f>
        <v>0</v>
      </c>
      <c r="S91" s="319">
        <f>'Initial unit rates'!S219</f>
        <v>4.0598870275339923E-3</v>
      </c>
      <c r="T91" s="319">
        <f>'Initial unit rates'!T219</f>
        <v>4.4378417784841744E-3</v>
      </c>
      <c r="U91" s="319">
        <f>'Initial unit rates'!U219</f>
        <v>3.5245981154980702E-3</v>
      </c>
      <c r="V91" s="319">
        <f>'Initial unit rates'!V219</f>
        <v>0</v>
      </c>
      <c r="W91" s="319">
        <f>'Initial unit rates'!W219</f>
        <v>0</v>
      </c>
      <c r="X91" s="319">
        <f>'Initial unit rates'!X219</f>
        <v>0</v>
      </c>
      <c r="Y91" s="319">
        <f>'Initial unit rates'!Y219</f>
        <v>0</v>
      </c>
      <c r="Z91" s="319">
        <f>'Initial unit rates'!Z219</f>
        <v>0</v>
      </c>
      <c r="AA91" s="319">
        <f>'Initial unit rates'!AA219</f>
        <v>0</v>
      </c>
      <c r="AB91" s="319">
        <f>'Initial unit rates'!AB219</f>
        <v>2.8439187854800325E-3</v>
      </c>
      <c r="AC91" s="319">
        <f>'Initial unit rates'!AC219</f>
        <v>0</v>
      </c>
      <c r="AD91" s="319">
        <f>'Initial unit rates'!AD219</f>
        <v>0</v>
      </c>
      <c r="AE91" s="319">
        <f>'Initial unit rates'!AE219</f>
        <v>0</v>
      </c>
      <c r="AF91" s="319">
        <f>'Initial unit rates'!AF219</f>
        <v>0</v>
      </c>
      <c r="AG91" s="319">
        <f>'Initial unit rates'!AG219</f>
        <v>0</v>
      </c>
      <c r="AH91" s="319">
        <f>'Initial unit rates'!AH219</f>
        <v>0</v>
      </c>
      <c r="AI91" s="319">
        <f>'Initial unit rates'!AI219</f>
        <v>0</v>
      </c>
      <c r="AJ91" s="319">
        <f>'Initial unit rates'!AJ219</f>
        <v>0</v>
      </c>
      <c r="AK91" s="319">
        <f>'Initial unit rates'!AK219</f>
        <v>0</v>
      </c>
      <c r="AL91" s="319">
        <f>'Initial unit rates'!AL219</f>
        <v>0</v>
      </c>
      <c r="AM91" s="319">
        <f>'Initial unit rates'!AM219</f>
        <v>0</v>
      </c>
      <c r="AN91" s="319">
        <f>'Initial unit rates'!AN219</f>
        <v>0</v>
      </c>
      <c r="AO91" s="319">
        <f>'Initial unit rates'!AO219</f>
        <v>0</v>
      </c>
      <c r="AP91" s="319">
        <f>'Initial unit rates'!AP219</f>
        <v>0</v>
      </c>
      <c r="AQ91" s="304"/>
      <c r="AR91" s="304"/>
    </row>
    <row r="92" spans="4:44" x14ac:dyDescent="0.25">
      <c r="D92"/>
      <c r="F92" s="23" t="s">
        <v>436</v>
      </c>
      <c r="G92" s="23" t="s">
        <v>327</v>
      </c>
      <c r="H92" s="302"/>
      <c r="I92" s="302"/>
      <c r="J92" s="320"/>
      <c r="K92" s="320"/>
      <c r="L92" s="320"/>
      <c r="M92" s="320"/>
      <c r="N92" s="320"/>
      <c r="O92" s="320"/>
      <c r="P92" s="320"/>
      <c r="Q92" s="320"/>
      <c r="R92" s="320"/>
      <c r="S92" s="320"/>
      <c r="T92" s="320"/>
      <c r="U92" s="320"/>
      <c r="V92" s="320"/>
      <c r="W92" s="320"/>
      <c r="X92" s="320"/>
      <c r="Y92" s="320"/>
      <c r="Z92" s="320"/>
      <c r="AA92" s="320"/>
      <c r="AB92" s="320"/>
      <c r="AC92" s="320"/>
      <c r="AD92" s="320"/>
      <c r="AE92" s="320"/>
      <c r="AF92" s="320"/>
      <c r="AG92" s="320"/>
      <c r="AH92" s="320"/>
      <c r="AI92" s="320"/>
      <c r="AJ92" s="320"/>
      <c r="AK92" s="320"/>
      <c r="AL92" s="320"/>
      <c r="AM92" s="320"/>
      <c r="AN92" s="320"/>
      <c r="AO92" s="320"/>
      <c r="AP92" s="320"/>
      <c r="AQ92" s="304"/>
      <c r="AR92" s="304"/>
    </row>
    <row r="93" spans="4:44" x14ac:dyDescent="0.25">
      <c r="D93"/>
      <c r="F93" s="37" t="s">
        <v>437</v>
      </c>
      <c r="G93" s="37" t="s">
        <v>327</v>
      </c>
      <c r="H93" s="308"/>
      <c r="I93" s="308"/>
      <c r="J93" s="309"/>
      <c r="K93" s="309"/>
      <c r="L93" s="309"/>
      <c r="M93" s="309"/>
      <c r="N93" s="309"/>
      <c r="O93" s="309"/>
      <c r="P93" s="309"/>
      <c r="Q93" s="309"/>
      <c r="R93" s="309"/>
      <c r="S93" s="309"/>
      <c r="T93" s="309"/>
      <c r="U93" s="309"/>
      <c r="V93" s="309"/>
      <c r="W93" s="309"/>
      <c r="X93" s="309"/>
      <c r="Y93" s="309"/>
      <c r="Z93" s="309"/>
      <c r="AA93" s="309"/>
      <c r="AB93" s="309"/>
      <c r="AC93" s="309"/>
      <c r="AD93" s="309"/>
      <c r="AE93" s="309"/>
      <c r="AF93" s="309"/>
      <c r="AG93" s="309"/>
      <c r="AH93" s="309"/>
      <c r="AI93" s="309"/>
      <c r="AJ93" s="309"/>
      <c r="AK93" s="309"/>
      <c r="AL93" s="309"/>
      <c r="AM93" s="309"/>
      <c r="AN93" s="309"/>
      <c r="AO93" s="309"/>
      <c r="AP93" s="309"/>
      <c r="AQ93" s="304"/>
      <c r="AR93" s="304"/>
    </row>
    <row r="94" spans="4:44" x14ac:dyDescent="0.25">
      <c r="D94"/>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4:44" x14ac:dyDescent="0.25">
      <c r="D95"/>
      <c r="E95" s="32" t="s">
        <v>734</v>
      </c>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4:44" x14ac:dyDescent="0.25">
      <c r="D96"/>
      <c r="F96" s="23" t="s">
        <v>225</v>
      </c>
      <c r="G96" s="23" t="s">
        <v>327</v>
      </c>
      <c r="H96" s="302"/>
      <c r="I96" s="302"/>
      <c r="J96" s="318">
        <f>'Initial unit rates'!J222</f>
        <v>0</v>
      </c>
      <c r="K96" s="318">
        <f>'Initial unit rates'!K222</f>
        <v>0</v>
      </c>
      <c r="L96" s="318">
        <f>'Initial unit rates'!L222</f>
        <v>0</v>
      </c>
      <c r="M96" s="318">
        <f>'Initial unit rates'!M222</f>
        <v>0</v>
      </c>
      <c r="N96" s="318">
        <f>'Initial unit rates'!N222</f>
        <v>0</v>
      </c>
      <c r="O96" s="318">
        <f>'Initial unit rates'!O222</f>
        <v>0</v>
      </c>
      <c r="P96" s="318">
        <f>'Initial unit rates'!P222</f>
        <v>0</v>
      </c>
      <c r="Q96" s="318">
        <f>'Initial unit rates'!Q222</f>
        <v>0</v>
      </c>
      <c r="R96" s="318">
        <f>'Initial unit rates'!R222</f>
        <v>0</v>
      </c>
      <c r="S96" s="318">
        <f>'Initial unit rates'!S222</f>
        <v>0.13913607724956753</v>
      </c>
      <c r="T96" s="318">
        <f>'Initial unit rates'!T222</f>
        <v>0.15190136002673416</v>
      </c>
      <c r="U96" s="318">
        <f>'Initial unit rates'!U222</f>
        <v>0.12060062691409253</v>
      </c>
      <c r="V96" s="318">
        <f>'Initial unit rates'!V222</f>
        <v>0.11609425267371128</v>
      </c>
      <c r="W96" s="318">
        <f>'Initial unit rates'!W222</f>
        <v>0.10792102313949463</v>
      </c>
      <c r="X96" s="318">
        <f>'Initial unit rates'!X222</f>
        <v>0</v>
      </c>
      <c r="Y96" s="318">
        <f>'Initial unit rates'!Y222</f>
        <v>0</v>
      </c>
      <c r="Z96" s="318">
        <f>'Initial unit rates'!Z222</f>
        <v>0</v>
      </c>
      <c r="AA96" s="318">
        <f>'Initial unit rates'!AA222</f>
        <v>0</v>
      </c>
      <c r="AB96" s="318">
        <f>'Initial unit rates'!AB222</f>
        <v>9.7309927879022692E-2</v>
      </c>
      <c r="AC96" s="318">
        <f>'Initial unit rates'!AC222</f>
        <v>0</v>
      </c>
      <c r="AD96" s="318">
        <f>'Initial unit rates'!AD222</f>
        <v>0</v>
      </c>
      <c r="AE96" s="318">
        <f>'Initial unit rates'!AE222</f>
        <v>0</v>
      </c>
      <c r="AF96" s="318">
        <f>'Initial unit rates'!AF222</f>
        <v>0</v>
      </c>
      <c r="AG96" s="318">
        <f>'Initial unit rates'!AG222</f>
        <v>-0.10133967337064656</v>
      </c>
      <c r="AH96" s="318">
        <f>'Initial unit rates'!AH222</f>
        <v>-0.10133967337064656</v>
      </c>
      <c r="AI96" s="318">
        <f>'Initial unit rates'!AI222</f>
        <v>0</v>
      </c>
      <c r="AJ96" s="318">
        <f>'Initial unit rates'!AJ222</f>
        <v>0</v>
      </c>
      <c r="AK96" s="318">
        <f>'Initial unit rates'!AK222</f>
        <v>-9.8271591516305878E-2</v>
      </c>
      <c r="AL96" s="318">
        <f>'Initial unit rates'!AL222</f>
        <v>-9.8271591516305878E-2</v>
      </c>
      <c r="AM96" s="318">
        <f>'Initial unit rates'!AM222</f>
        <v>0</v>
      </c>
      <c r="AN96" s="318">
        <f>'Initial unit rates'!AN222</f>
        <v>0</v>
      </c>
      <c r="AO96" s="318">
        <f>'Initial unit rates'!AO222</f>
        <v>-9.6226203613412095E-2</v>
      </c>
      <c r="AP96" s="318">
        <f>'Initial unit rates'!AP222</f>
        <v>-9.6226203613412095E-2</v>
      </c>
      <c r="AQ96" s="304"/>
      <c r="AR96" s="304"/>
    </row>
    <row r="97" spans="3:59" x14ac:dyDescent="0.25">
      <c r="D97"/>
      <c r="F97" t="s">
        <v>227</v>
      </c>
      <c r="G97" t="s">
        <v>327</v>
      </c>
      <c r="H97" s="304"/>
      <c r="I97" s="304"/>
      <c r="J97" s="319">
        <f>'Initial unit rates'!J223</f>
        <v>0</v>
      </c>
      <c r="K97" s="319">
        <f>'Initial unit rates'!K223</f>
        <v>0</v>
      </c>
      <c r="L97" s="319">
        <f>'Initial unit rates'!L223</f>
        <v>0</v>
      </c>
      <c r="M97" s="319">
        <f>'Initial unit rates'!M223</f>
        <v>0</v>
      </c>
      <c r="N97" s="319">
        <f>'Initial unit rates'!N223</f>
        <v>0</v>
      </c>
      <c r="O97" s="319">
        <f>'Initial unit rates'!O223</f>
        <v>0</v>
      </c>
      <c r="P97" s="319">
        <f>'Initial unit rates'!P223</f>
        <v>0</v>
      </c>
      <c r="Q97" s="319">
        <f>'Initial unit rates'!Q223</f>
        <v>0</v>
      </c>
      <c r="R97" s="319">
        <f>'Initial unit rates'!R223</f>
        <v>0</v>
      </c>
      <c r="S97" s="319">
        <f>'Initial unit rates'!S223</f>
        <v>0</v>
      </c>
      <c r="T97" s="319">
        <f>'Initial unit rates'!T223</f>
        <v>0</v>
      </c>
      <c r="U97" s="319">
        <f>'Initial unit rates'!U223</f>
        <v>0</v>
      </c>
      <c r="V97" s="319">
        <f>'Initial unit rates'!V223</f>
        <v>0</v>
      </c>
      <c r="W97" s="319">
        <f>'Initial unit rates'!W223</f>
        <v>0</v>
      </c>
      <c r="X97" s="319">
        <f>'Initial unit rates'!X223</f>
        <v>0</v>
      </c>
      <c r="Y97" s="319">
        <f>'Initial unit rates'!Y223</f>
        <v>0</v>
      </c>
      <c r="Z97" s="319">
        <f>'Initial unit rates'!Z223</f>
        <v>0</v>
      </c>
      <c r="AA97" s="319">
        <f>'Initial unit rates'!AA223</f>
        <v>0</v>
      </c>
      <c r="AB97" s="319">
        <f>'Initial unit rates'!AB223</f>
        <v>0</v>
      </c>
      <c r="AC97" s="319">
        <f>'Initial unit rates'!AC223</f>
        <v>0</v>
      </c>
      <c r="AD97" s="319">
        <f>'Initial unit rates'!AD223</f>
        <v>0</v>
      </c>
      <c r="AE97" s="319">
        <f>'Initial unit rates'!AE223</f>
        <v>0</v>
      </c>
      <c r="AF97" s="319">
        <f>'Initial unit rates'!AF223</f>
        <v>0</v>
      </c>
      <c r="AG97" s="319">
        <f>'Initial unit rates'!AG223</f>
        <v>0</v>
      </c>
      <c r="AH97" s="319">
        <f>'Initial unit rates'!AH223</f>
        <v>0</v>
      </c>
      <c r="AI97" s="319">
        <f>'Initial unit rates'!AI223</f>
        <v>0</v>
      </c>
      <c r="AJ97" s="319">
        <f>'Initial unit rates'!AJ223</f>
        <v>0</v>
      </c>
      <c r="AK97" s="319">
        <f>'Initial unit rates'!AK223</f>
        <v>0</v>
      </c>
      <c r="AL97" s="319">
        <f>'Initial unit rates'!AL223</f>
        <v>0</v>
      </c>
      <c r="AM97" s="319">
        <f>'Initial unit rates'!AM223</f>
        <v>0</v>
      </c>
      <c r="AN97" s="319">
        <f>'Initial unit rates'!AN223</f>
        <v>0</v>
      </c>
      <c r="AO97" s="319">
        <f>'Initial unit rates'!AO223</f>
        <v>0</v>
      </c>
      <c r="AP97" s="319">
        <f>'Initial unit rates'!AP223</f>
        <v>0</v>
      </c>
      <c r="AQ97" s="304"/>
      <c r="AR97" s="304"/>
    </row>
    <row r="98" spans="3:59" x14ac:dyDescent="0.25">
      <c r="D98"/>
      <c r="F98" t="s">
        <v>228</v>
      </c>
      <c r="G98" t="s">
        <v>327</v>
      </c>
      <c r="H98" s="304"/>
      <c r="I98" s="304"/>
      <c r="J98" s="319">
        <f>'Initial unit rates'!J224</f>
        <v>0</v>
      </c>
      <c r="K98" s="319">
        <f>'Initial unit rates'!K224</f>
        <v>0</v>
      </c>
      <c r="L98" s="319">
        <f>'Initial unit rates'!L224</f>
        <v>0</v>
      </c>
      <c r="M98" s="319">
        <f>'Initial unit rates'!M224</f>
        <v>0</v>
      </c>
      <c r="N98" s="319">
        <f>'Initial unit rates'!N224</f>
        <v>0</v>
      </c>
      <c r="O98" s="319">
        <f>'Initial unit rates'!O224</f>
        <v>0</v>
      </c>
      <c r="P98" s="319">
        <f>'Initial unit rates'!P224</f>
        <v>0</v>
      </c>
      <c r="Q98" s="319">
        <f>'Initial unit rates'!Q224</f>
        <v>0</v>
      </c>
      <c r="R98" s="319">
        <f>'Initial unit rates'!R224</f>
        <v>0</v>
      </c>
      <c r="S98" s="319">
        <f>'Initial unit rates'!S224</f>
        <v>0</v>
      </c>
      <c r="T98" s="319">
        <f>'Initial unit rates'!T224</f>
        <v>0</v>
      </c>
      <c r="U98" s="319">
        <f>'Initial unit rates'!U224</f>
        <v>0</v>
      </c>
      <c r="V98" s="319">
        <f>'Initial unit rates'!V224</f>
        <v>0</v>
      </c>
      <c r="W98" s="319">
        <f>'Initial unit rates'!W224</f>
        <v>0</v>
      </c>
      <c r="X98" s="319">
        <f>'Initial unit rates'!X224</f>
        <v>0</v>
      </c>
      <c r="Y98" s="319">
        <f>'Initial unit rates'!Y224</f>
        <v>0</v>
      </c>
      <c r="Z98" s="319">
        <f>'Initial unit rates'!Z224</f>
        <v>0</v>
      </c>
      <c r="AA98" s="319">
        <f>'Initial unit rates'!AA224</f>
        <v>0</v>
      </c>
      <c r="AB98" s="319">
        <f>'Initial unit rates'!AB224</f>
        <v>0</v>
      </c>
      <c r="AC98" s="319">
        <f>'Initial unit rates'!AC224</f>
        <v>0</v>
      </c>
      <c r="AD98" s="319">
        <f>'Initial unit rates'!AD224</f>
        <v>0</v>
      </c>
      <c r="AE98" s="319">
        <f>'Initial unit rates'!AE224</f>
        <v>0</v>
      </c>
      <c r="AF98" s="319">
        <f>'Initial unit rates'!AF224</f>
        <v>0</v>
      </c>
      <c r="AG98" s="319">
        <f>'Initial unit rates'!AG224</f>
        <v>0</v>
      </c>
      <c r="AH98" s="319">
        <f>'Initial unit rates'!AH224</f>
        <v>0</v>
      </c>
      <c r="AI98" s="319">
        <f>'Initial unit rates'!AI224</f>
        <v>0</v>
      </c>
      <c r="AJ98" s="319">
        <f>'Initial unit rates'!AJ224</f>
        <v>0</v>
      </c>
      <c r="AK98" s="319">
        <f>'Initial unit rates'!AK224</f>
        <v>0</v>
      </c>
      <c r="AL98" s="319">
        <f>'Initial unit rates'!AL224</f>
        <v>0</v>
      </c>
      <c r="AM98" s="319">
        <f>'Initial unit rates'!AM224</f>
        <v>0</v>
      </c>
      <c r="AN98" s="319">
        <f>'Initial unit rates'!AN224</f>
        <v>0</v>
      </c>
      <c r="AO98" s="319">
        <f>'Initial unit rates'!AO224</f>
        <v>0</v>
      </c>
      <c r="AP98" s="319">
        <f>'Initial unit rates'!AP224</f>
        <v>0</v>
      </c>
      <c r="AQ98" s="304"/>
      <c r="AR98" s="304"/>
    </row>
    <row r="99" spans="3:59" x14ac:dyDescent="0.25">
      <c r="D99"/>
      <c r="F99" t="s">
        <v>229</v>
      </c>
      <c r="G99" t="s">
        <v>327</v>
      </c>
      <c r="H99" s="304"/>
      <c r="I99" s="304"/>
      <c r="J99" s="319">
        <f>'Initial unit rates'!J225</f>
        <v>0</v>
      </c>
      <c r="K99" s="319">
        <f>'Initial unit rates'!K225</f>
        <v>0</v>
      </c>
      <c r="L99" s="319">
        <f>'Initial unit rates'!L225</f>
        <v>0</v>
      </c>
      <c r="M99" s="319">
        <f>'Initial unit rates'!M225</f>
        <v>0</v>
      </c>
      <c r="N99" s="319">
        <f>'Initial unit rates'!N225</f>
        <v>0</v>
      </c>
      <c r="O99" s="319">
        <f>'Initial unit rates'!O225</f>
        <v>0</v>
      </c>
      <c r="P99" s="319">
        <f>'Initial unit rates'!P225</f>
        <v>0</v>
      </c>
      <c r="Q99" s="319">
        <f>'Initial unit rates'!Q225</f>
        <v>0</v>
      </c>
      <c r="R99" s="319">
        <f>'Initial unit rates'!R225</f>
        <v>0</v>
      </c>
      <c r="S99" s="319">
        <f>'Initial unit rates'!S225</f>
        <v>0</v>
      </c>
      <c r="T99" s="319">
        <f>'Initial unit rates'!T225</f>
        <v>0</v>
      </c>
      <c r="U99" s="319">
        <f>'Initial unit rates'!U225</f>
        <v>0</v>
      </c>
      <c r="V99" s="319">
        <f>'Initial unit rates'!V225</f>
        <v>0</v>
      </c>
      <c r="W99" s="319">
        <f>'Initial unit rates'!W225</f>
        <v>0</v>
      </c>
      <c r="X99" s="319">
        <f>'Initial unit rates'!X225</f>
        <v>0</v>
      </c>
      <c r="Y99" s="319">
        <f>'Initial unit rates'!Y225</f>
        <v>0</v>
      </c>
      <c r="Z99" s="319">
        <f>'Initial unit rates'!Z225</f>
        <v>0</v>
      </c>
      <c r="AA99" s="319">
        <f>'Initial unit rates'!AA225</f>
        <v>0</v>
      </c>
      <c r="AB99" s="319">
        <f>'Initial unit rates'!AB225</f>
        <v>0</v>
      </c>
      <c r="AC99" s="319">
        <f>'Initial unit rates'!AC225</f>
        <v>0</v>
      </c>
      <c r="AD99" s="319">
        <f>'Initial unit rates'!AD225</f>
        <v>0</v>
      </c>
      <c r="AE99" s="319">
        <f>'Initial unit rates'!AE225</f>
        <v>0</v>
      </c>
      <c r="AF99" s="319">
        <f>'Initial unit rates'!AF225</f>
        <v>0</v>
      </c>
      <c r="AG99" s="319">
        <f>'Initial unit rates'!AG225</f>
        <v>0</v>
      </c>
      <c r="AH99" s="319">
        <f>'Initial unit rates'!AH225</f>
        <v>0</v>
      </c>
      <c r="AI99" s="319">
        <f>'Initial unit rates'!AI225</f>
        <v>0</v>
      </c>
      <c r="AJ99" s="319">
        <f>'Initial unit rates'!AJ225</f>
        <v>0</v>
      </c>
      <c r="AK99" s="319">
        <f>'Initial unit rates'!AK225</f>
        <v>0</v>
      </c>
      <c r="AL99" s="319">
        <f>'Initial unit rates'!AL225</f>
        <v>0</v>
      </c>
      <c r="AM99" s="319">
        <f>'Initial unit rates'!AM225</f>
        <v>0</v>
      </c>
      <c r="AN99" s="319">
        <f>'Initial unit rates'!AN225</f>
        <v>0</v>
      </c>
      <c r="AO99" s="319">
        <f>'Initial unit rates'!AO225</f>
        <v>0</v>
      </c>
      <c r="AP99" s="319">
        <f>'Initial unit rates'!AP225</f>
        <v>0</v>
      </c>
      <c r="AQ99" s="304"/>
      <c r="AR99" s="304"/>
    </row>
    <row r="100" spans="3:59" x14ac:dyDescent="0.25">
      <c r="D100"/>
      <c r="F100" t="s">
        <v>230</v>
      </c>
      <c r="G100" t="s">
        <v>327</v>
      </c>
      <c r="H100" s="304"/>
      <c r="I100" s="304"/>
      <c r="J100" s="319">
        <f>'Initial unit rates'!J226</f>
        <v>0</v>
      </c>
      <c r="K100" s="319">
        <f>'Initial unit rates'!K226</f>
        <v>0</v>
      </c>
      <c r="L100" s="319">
        <f>'Initial unit rates'!L226</f>
        <v>0</v>
      </c>
      <c r="M100" s="319">
        <f>'Initial unit rates'!M226</f>
        <v>0</v>
      </c>
      <c r="N100" s="319">
        <f>'Initial unit rates'!N226</f>
        <v>0</v>
      </c>
      <c r="O100" s="319">
        <f>'Initial unit rates'!O226</f>
        <v>0</v>
      </c>
      <c r="P100" s="319">
        <f>'Initial unit rates'!P226</f>
        <v>0</v>
      </c>
      <c r="Q100" s="319">
        <f>'Initial unit rates'!Q226</f>
        <v>0</v>
      </c>
      <c r="R100" s="319">
        <f>'Initial unit rates'!R226</f>
        <v>0</v>
      </c>
      <c r="S100" s="319">
        <f>'Initial unit rates'!S226</f>
        <v>4.4191804850785187E-2</v>
      </c>
      <c r="T100" s="319">
        <f>'Initial unit rates'!T226</f>
        <v>4.8305836222382922E-2</v>
      </c>
      <c r="U100" s="319">
        <f>'Initial unit rates'!U226</f>
        <v>3.8365193671939392E-2</v>
      </c>
      <c r="V100" s="319">
        <f>'Initial unit rates'!V226</f>
        <v>3.6931636277468968E-2</v>
      </c>
      <c r="W100" s="319">
        <f>'Initial unit rates'!W226</f>
        <v>3.4331587322260805E-2</v>
      </c>
      <c r="X100" s="319">
        <f>'Initial unit rates'!X226</f>
        <v>0</v>
      </c>
      <c r="Y100" s="319">
        <f>'Initial unit rates'!Y226</f>
        <v>0</v>
      </c>
      <c r="Z100" s="319">
        <f>'Initial unit rates'!Z226</f>
        <v>0</v>
      </c>
      <c r="AA100" s="319">
        <f>'Initial unit rates'!AA226</f>
        <v>0</v>
      </c>
      <c r="AB100" s="319">
        <f>'Initial unit rates'!AB226</f>
        <v>3.0956010136999643E-2</v>
      </c>
      <c r="AC100" s="319">
        <f>'Initial unit rates'!AC226</f>
        <v>0</v>
      </c>
      <c r="AD100" s="319">
        <f>'Initial unit rates'!AD226</f>
        <v>0</v>
      </c>
      <c r="AE100" s="319">
        <f>'Initial unit rates'!AE226</f>
        <v>0</v>
      </c>
      <c r="AF100" s="319">
        <f>'Initial unit rates'!AF226</f>
        <v>0</v>
      </c>
      <c r="AG100" s="319">
        <f>'Initial unit rates'!AG226</f>
        <v>-3.223794349166538E-2</v>
      </c>
      <c r="AH100" s="319">
        <f>'Initial unit rates'!AH226</f>
        <v>-3.223794349166538E-2</v>
      </c>
      <c r="AI100" s="319">
        <f>'Initial unit rates'!AI226</f>
        <v>0</v>
      </c>
      <c r="AJ100" s="319">
        <f>'Initial unit rates'!AJ226</f>
        <v>0</v>
      </c>
      <c r="AK100" s="319">
        <f>'Initial unit rates'!AK226</f>
        <v>-3.1261932358431471E-2</v>
      </c>
      <c r="AL100" s="319">
        <f>'Initial unit rates'!AL226</f>
        <v>-3.1261932358431471E-2</v>
      </c>
      <c r="AM100" s="319">
        <f>'Initial unit rates'!AM226</f>
        <v>0</v>
      </c>
      <c r="AN100" s="319">
        <f>'Initial unit rates'!AN226</f>
        <v>0</v>
      </c>
      <c r="AO100" s="319">
        <f>'Initial unit rates'!AO226</f>
        <v>-3.0611258269608872E-2</v>
      </c>
      <c r="AP100" s="319">
        <f>'Initial unit rates'!AP226</f>
        <v>-3.0611258269608872E-2</v>
      </c>
      <c r="AQ100" s="304"/>
      <c r="AR100" s="304"/>
    </row>
    <row r="101" spans="3:59" x14ac:dyDescent="0.25">
      <c r="D101"/>
      <c r="F101" t="s">
        <v>231</v>
      </c>
      <c r="G101" t="s">
        <v>327</v>
      </c>
      <c r="H101" s="304"/>
      <c r="I101" s="304"/>
      <c r="J101" s="319">
        <f>'Initial unit rates'!J227</f>
        <v>0</v>
      </c>
      <c r="K101" s="319">
        <f>'Initial unit rates'!K227</f>
        <v>0</v>
      </c>
      <c r="L101" s="319">
        <f>'Initial unit rates'!L227</f>
        <v>0</v>
      </c>
      <c r="M101" s="319">
        <f>'Initial unit rates'!M227</f>
        <v>0</v>
      </c>
      <c r="N101" s="319">
        <f>'Initial unit rates'!N227</f>
        <v>0</v>
      </c>
      <c r="O101" s="319">
        <f>'Initial unit rates'!O227</f>
        <v>0</v>
      </c>
      <c r="P101" s="319">
        <f>'Initial unit rates'!P227</f>
        <v>0</v>
      </c>
      <c r="Q101" s="319">
        <f>'Initial unit rates'!Q227</f>
        <v>0</v>
      </c>
      <c r="R101" s="319">
        <f>'Initial unit rates'!R227</f>
        <v>0</v>
      </c>
      <c r="S101" s="319">
        <f>'Initial unit rates'!S227</f>
        <v>3.9984581753856219E-2</v>
      </c>
      <c r="T101" s="319">
        <f>'Initial unit rates'!T227</f>
        <v>4.3706942138796598E-2</v>
      </c>
      <c r="U101" s="319">
        <f>'Initial unit rates'!U227</f>
        <v>3.4712685486773726E-2</v>
      </c>
      <c r="V101" s="319">
        <f>'Initial unit rates'!V227</f>
        <v>3.3415608052810783E-2</v>
      </c>
      <c r="W101" s="319">
        <f>'Initial unit rates'!W227</f>
        <v>3.1063093364520067E-2</v>
      </c>
      <c r="X101" s="319">
        <f>'Initial unit rates'!X227</f>
        <v>0</v>
      </c>
      <c r="Y101" s="319">
        <f>'Initial unit rates'!Y227</f>
        <v>0</v>
      </c>
      <c r="Z101" s="319">
        <f>'Initial unit rates'!Z227</f>
        <v>0</v>
      </c>
      <c r="AA101" s="319">
        <f>'Initial unit rates'!AA227</f>
        <v>0</v>
      </c>
      <c r="AB101" s="319">
        <f>'Initial unit rates'!AB227</f>
        <v>2.8008883599015801E-2</v>
      </c>
      <c r="AC101" s="319">
        <f>'Initial unit rates'!AC227</f>
        <v>0</v>
      </c>
      <c r="AD101" s="319">
        <f>'Initial unit rates'!AD227</f>
        <v>0</v>
      </c>
      <c r="AE101" s="319">
        <f>'Initial unit rates'!AE227</f>
        <v>0</v>
      </c>
      <c r="AF101" s="319">
        <f>'Initial unit rates'!AF227</f>
        <v>0</v>
      </c>
      <c r="AG101" s="319">
        <f>'Initial unit rates'!AG227</f>
        <v>-2.9168772161967688E-2</v>
      </c>
      <c r="AH101" s="319">
        <f>'Initial unit rates'!AH227</f>
        <v>-2.9168772161967688E-2</v>
      </c>
      <c r="AI101" s="319">
        <f>'Initial unit rates'!AI227</f>
        <v>0</v>
      </c>
      <c r="AJ101" s="319">
        <f>'Initial unit rates'!AJ227</f>
        <v>0</v>
      </c>
      <c r="AK101" s="319">
        <f>'Initial unit rates'!AK227</f>
        <v>-2.8285680894678755E-2</v>
      </c>
      <c r="AL101" s="319">
        <f>'Initial unit rates'!AL227</f>
        <v>-2.8285680894678755E-2</v>
      </c>
      <c r="AM101" s="319">
        <f>'Initial unit rates'!AM227</f>
        <v>0</v>
      </c>
      <c r="AN101" s="319">
        <f>'Initial unit rates'!AN227</f>
        <v>0</v>
      </c>
      <c r="AO101" s="319">
        <f>'Initial unit rates'!AO227</f>
        <v>-2.7696953383152804E-2</v>
      </c>
      <c r="AP101" s="319">
        <f>'Initial unit rates'!AP227</f>
        <v>-2.7696953383152804E-2</v>
      </c>
      <c r="AQ101" s="304"/>
      <c r="AR101" s="304"/>
    </row>
    <row r="102" spans="3:59" x14ac:dyDescent="0.25">
      <c r="D102"/>
      <c r="F102" t="s">
        <v>232</v>
      </c>
      <c r="G102" t="s">
        <v>327</v>
      </c>
      <c r="H102" s="304"/>
      <c r="I102" s="304"/>
      <c r="J102" s="319">
        <f>'Initial unit rates'!J228</f>
        <v>0</v>
      </c>
      <c r="K102" s="319">
        <f>'Initial unit rates'!K228</f>
        <v>0</v>
      </c>
      <c r="L102" s="319">
        <f>'Initial unit rates'!L228</f>
        <v>0</v>
      </c>
      <c r="M102" s="319">
        <f>'Initial unit rates'!M228</f>
        <v>0</v>
      </c>
      <c r="N102" s="319">
        <f>'Initial unit rates'!N228</f>
        <v>0</v>
      </c>
      <c r="O102" s="319">
        <f>'Initial unit rates'!O228</f>
        <v>0</v>
      </c>
      <c r="P102" s="319">
        <f>'Initial unit rates'!P228</f>
        <v>0</v>
      </c>
      <c r="Q102" s="319">
        <f>'Initial unit rates'!Q228</f>
        <v>0</v>
      </c>
      <c r="R102" s="319">
        <f>'Initial unit rates'!R228</f>
        <v>0</v>
      </c>
      <c r="S102" s="319">
        <f>'Initial unit rates'!S228</f>
        <v>0</v>
      </c>
      <c r="T102" s="319">
        <f>'Initial unit rates'!T228</f>
        <v>0</v>
      </c>
      <c r="U102" s="319">
        <f>'Initial unit rates'!U228</f>
        <v>0</v>
      </c>
      <c r="V102" s="319">
        <f>'Initial unit rates'!V228</f>
        <v>0</v>
      </c>
      <c r="W102" s="319">
        <f>'Initial unit rates'!W228</f>
        <v>0</v>
      </c>
      <c r="X102" s="319">
        <f>'Initial unit rates'!X228</f>
        <v>0</v>
      </c>
      <c r="Y102" s="319">
        <f>'Initial unit rates'!Y228</f>
        <v>0</v>
      </c>
      <c r="Z102" s="319">
        <f>'Initial unit rates'!Z228</f>
        <v>0</v>
      </c>
      <c r="AA102" s="319">
        <f>'Initial unit rates'!AA228</f>
        <v>0</v>
      </c>
      <c r="AB102" s="319">
        <f>'Initial unit rates'!AB228</f>
        <v>0</v>
      </c>
      <c r="AC102" s="319">
        <f>'Initial unit rates'!AC228</f>
        <v>0</v>
      </c>
      <c r="AD102" s="319">
        <f>'Initial unit rates'!AD228</f>
        <v>0</v>
      </c>
      <c r="AE102" s="319">
        <f>'Initial unit rates'!AE228</f>
        <v>0</v>
      </c>
      <c r="AF102" s="319">
        <f>'Initial unit rates'!AF228</f>
        <v>0</v>
      </c>
      <c r="AG102" s="319">
        <f>'Initial unit rates'!AG228</f>
        <v>0</v>
      </c>
      <c r="AH102" s="319">
        <f>'Initial unit rates'!AH228</f>
        <v>0</v>
      </c>
      <c r="AI102" s="319">
        <f>'Initial unit rates'!AI228</f>
        <v>0</v>
      </c>
      <c r="AJ102" s="319">
        <f>'Initial unit rates'!AJ228</f>
        <v>0</v>
      </c>
      <c r="AK102" s="319">
        <f>'Initial unit rates'!AK228</f>
        <v>0</v>
      </c>
      <c r="AL102" s="319">
        <f>'Initial unit rates'!AL228</f>
        <v>0</v>
      </c>
      <c r="AM102" s="319">
        <f>'Initial unit rates'!AM228</f>
        <v>0</v>
      </c>
      <c r="AN102" s="319">
        <f>'Initial unit rates'!AN228</f>
        <v>0</v>
      </c>
      <c r="AO102" s="319">
        <f>'Initial unit rates'!AO228</f>
        <v>0</v>
      </c>
      <c r="AP102" s="319">
        <f>'Initial unit rates'!AP228</f>
        <v>0</v>
      </c>
      <c r="AQ102" s="304"/>
      <c r="AR102" s="304"/>
    </row>
    <row r="103" spans="3:59" x14ac:dyDescent="0.25">
      <c r="D103"/>
      <c r="F103" t="s">
        <v>233</v>
      </c>
      <c r="G103" t="s">
        <v>327</v>
      </c>
      <c r="H103" s="304"/>
      <c r="I103" s="304"/>
      <c r="J103" s="319">
        <f>'Initial unit rates'!J229</f>
        <v>0</v>
      </c>
      <c r="K103" s="319">
        <f>'Initial unit rates'!K229</f>
        <v>0</v>
      </c>
      <c r="L103" s="319">
        <f>'Initial unit rates'!L229</f>
        <v>0</v>
      </c>
      <c r="M103" s="319">
        <f>'Initial unit rates'!M229</f>
        <v>0</v>
      </c>
      <c r="N103" s="319">
        <f>'Initial unit rates'!N229</f>
        <v>0</v>
      </c>
      <c r="O103" s="319">
        <f>'Initial unit rates'!O229</f>
        <v>0</v>
      </c>
      <c r="P103" s="319">
        <f>'Initial unit rates'!P229</f>
        <v>0</v>
      </c>
      <c r="Q103" s="319">
        <f>'Initial unit rates'!Q229</f>
        <v>0</v>
      </c>
      <c r="R103" s="319">
        <f>'Initial unit rates'!R229</f>
        <v>0</v>
      </c>
      <c r="S103" s="319">
        <f>'Initial unit rates'!S229</f>
        <v>0.16522646063411872</v>
      </c>
      <c r="T103" s="319">
        <f>'Initial unit rates'!T229</f>
        <v>0.18060820041057743</v>
      </c>
      <c r="U103" s="319">
        <f>'Initial unit rates'!U229</f>
        <v>0.14344164451668479</v>
      </c>
      <c r="V103" s="319">
        <f>'Initial unit rates'!V229</f>
        <v>0.13808179068849227</v>
      </c>
      <c r="W103" s="319">
        <f>'Initial unit rates'!W229</f>
        <v>0.12836060170797814</v>
      </c>
      <c r="X103" s="319">
        <f>'Initial unit rates'!X229</f>
        <v>0</v>
      </c>
      <c r="Y103" s="319">
        <f>'Initial unit rates'!Y229</f>
        <v>0</v>
      </c>
      <c r="Z103" s="319">
        <f>'Initial unit rates'!Z229</f>
        <v>0</v>
      </c>
      <c r="AA103" s="319">
        <f>'Initial unit rates'!AA229</f>
        <v>0</v>
      </c>
      <c r="AB103" s="319">
        <f>'Initial unit rates'!AB229</f>
        <v>0.11573983021423201</v>
      </c>
      <c r="AC103" s="319">
        <f>'Initial unit rates'!AC229</f>
        <v>0</v>
      </c>
      <c r="AD103" s="319">
        <f>'Initial unit rates'!AD229</f>
        <v>0</v>
      </c>
      <c r="AE103" s="319">
        <f>'Initial unit rates'!AE229</f>
        <v>0</v>
      </c>
      <c r="AF103" s="319">
        <f>'Initial unit rates'!AF229</f>
        <v>0</v>
      </c>
      <c r="AG103" s="319">
        <f>'Initial unit rates'!AG229</f>
        <v>-0.12053278473771034</v>
      </c>
      <c r="AH103" s="319">
        <f>'Initial unit rates'!AH229</f>
        <v>-0.12053278473771034</v>
      </c>
      <c r="AI103" s="319">
        <f>'Initial unit rates'!AI229</f>
        <v>0</v>
      </c>
      <c r="AJ103" s="319">
        <f>'Initial unit rates'!AJ229</f>
        <v>0</v>
      </c>
      <c r="AK103" s="319">
        <f>'Initial unit rates'!AK229</f>
        <v>-0.11688362703464203</v>
      </c>
      <c r="AL103" s="319">
        <f>'Initial unit rates'!AL229</f>
        <v>-0.11688362703464203</v>
      </c>
      <c r="AM103" s="319">
        <f>'Initial unit rates'!AM229</f>
        <v>0</v>
      </c>
      <c r="AN103" s="319">
        <f>'Initial unit rates'!AN229</f>
        <v>0</v>
      </c>
      <c r="AO103" s="319">
        <f>'Initial unit rates'!AO229</f>
        <v>0</v>
      </c>
      <c r="AP103" s="319">
        <f>'Initial unit rates'!AP229</f>
        <v>0</v>
      </c>
      <c r="AQ103" s="304"/>
      <c r="AR103" s="304"/>
    </row>
    <row r="104" spans="3:59" x14ac:dyDescent="0.25">
      <c r="D104"/>
      <c r="F104" t="s">
        <v>234</v>
      </c>
      <c r="G104" t="s">
        <v>327</v>
      </c>
      <c r="H104" s="304"/>
      <c r="I104" s="304"/>
      <c r="J104" s="319">
        <f>'Initial unit rates'!J230</f>
        <v>0</v>
      </c>
      <c r="K104" s="319">
        <f>'Initial unit rates'!K230</f>
        <v>0</v>
      </c>
      <c r="L104" s="319">
        <f>'Initial unit rates'!L230</f>
        <v>0</v>
      </c>
      <c r="M104" s="319">
        <f>'Initial unit rates'!M230</f>
        <v>0</v>
      </c>
      <c r="N104" s="319">
        <f>'Initial unit rates'!N230</f>
        <v>0</v>
      </c>
      <c r="O104" s="319">
        <f>'Initial unit rates'!O230</f>
        <v>0</v>
      </c>
      <c r="P104" s="319">
        <f>'Initial unit rates'!P230</f>
        <v>0</v>
      </c>
      <c r="Q104" s="319">
        <f>'Initial unit rates'!Q230</f>
        <v>0</v>
      </c>
      <c r="R104" s="319">
        <f>'Initial unit rates'!R230</f>
        <v>0</v>
      </c>
      <c r="S104" s="319">
        <f>'Initial unit rates'!S230</f>
        <v>4.0009846226427268E-2</v>
      </c>
      <c r="T104" s="319">
        <f>'Initial unit rates'!T230</f>
        <v>4.3734558604754094E-2</v>
      </c>
      <c r="U104" s="319">
        <f>'Initial unit rates'!U230</f>
        <v>3.4734618883395123E-2</v>
      </c>
      <c r="V104" s="319">
        <f>'Initial unit rates'!V230</f>
        <v>3.3436721884094356E-2</v>
      </c>
      <c r="W104" s="319">
        <f>'Initial unit rates'!W230</f>
        <v>0</v>
      </c>
      <c r="X104" s="319">
        <f>'Initial unit rates'!X230</f>
        <v>0</v>
      </c>
      <c r="Y104" s="319">
        <f>'Initial unit rates'!Y230</f>
        <v>0</v>
      </c>
      <c r="Z104" s="319">
        <f>'Initial unit rates'!Z230</f>
        <v>0</v>
      </c>
      <c r="AA104" s="319">
        <f>'Initial unit rates'!AA230</f>
        <v>0</v>
      </c>
      <c r="AB104" s="319">
        <f>'Initial unit rates'!AB230</f>
        <v>2.8026581162436351E-2</v>
      </c>
      <c r="AC104" s="319">
        <f>'Initial unit rates'!AC230</f>
        <v>0</v>
      </c>
      <c r="AD104" s="319">
        <f>'Initial unit rates'!AD230</f>
        <v>0</v>
      </c>
      <c r="AE104" s="319">
        <f>'Initial unit rates'!AE230</f>
        <v>0</v>
      </c>
      <c r="AF104" s="319">
        <f>'Initial unit rates'!AF230</f>
        <v>0</v>
      </c>
      <c r="AG104" s="319">
        <f>'Initial unit rates'!AG230</f>
        <v>-2.9187202607201645E-2</v>
      </c>
      <c r="AH104" s="319">
        <f>'Initial unit rates'!AH230</f>
        <v>-2.9187202607201645E-2</v>
      </c>
      <c r="AI104" s="319">
        <f>'Initial unit rates'!AI230</f>
        <v>0</v>
      </c>
      <c r="AJ104" s="319">
        <f>'Initial unit rates'!AJ230</f>
        <v>0</v>
      </c>
      <c r="AK104" s="319">
        <f>'Initial unit rates'!AK230</f>
        <v>0</v>
      </c>
      <c r="AL104" s="319">
        <f>'Initial unit rates'!AL230</f>
        <v>0</v>
      </c>
      <c r="AM104" s="319">
        <f>'Initial unit rates'!AM230</f>
        <v>0</v>
      </c>
      <c r="AN104" s="319">
        <f>'Initial unit rates'!AN230</f>
        <v>0</v>
      </c>
      <c r="AO104" s="319">
        <f>'Initial unit rates'!AO230</f>
        <v>0</v>
      </c>
      <c r="AP104" s="319">
        <f>'Initial unit rates'!AP230</f>
        <v>0</v>
      </c>
      <c r="AQ104" s="304"/>
      <c r="AR104" s="304"/>
    </row>
    <row r="105" spans="3:59" x14ac:dyDescent="0.25">
      <c r="D105"/>
      <c r="F105" t="s">
        <v>235</v>
      </c>
      <c r="G105" t="s">
        <v>327</v>
      </c>
      <c r="H105" s="304"/>
      <c r="I105" s="304"/>
      <c r="J105" s="319">
        <f>'Initial unit rates'!J231</f>
        <v>0</v>
      </c>
      <c r="K105" s="319">
        <f>'Initial unit rates'!K231</f>
        <v>0</v>
      </c>
      <c r="L105" s="319">
        <f>'Initial unit rates'!L231</f>
        <v>0</v>
      </c>
      <c r="M105" s="319">
        <f>'Initial unit rates'!M231</f>
        <v>0</v>
      </c>
      <c r="N105" s="319">
        <f>'Initial unit rates'!N231</f>
        <v>0</v>
      </c>
      <c r="O105" s="319">
        <f>'Initial unit rates'!O231</f>
        <v>0</v>
      </c>
      <c r="P105" s="319">
        <f>'Initial unit rates'!P231</f>
        <v>0</v>
      </c>
      <c r="Q105" s="319">
        <f>'Initial unit rates'!Q231</f>
        <v>0</v>
      </c>
      <c r="R105" s="319">
        <f>'Initial unit rates'!R231</f>
        <v>0</v>
      </c>
      <c r="S105" s="319">
        <f>'Initial unit rates'!S231</f>
        <v>9.4976603447668687E-2</v>
      </c>
      <c r="T105" s="319">
        <f>'Initial unit rates'!T231</f>
        <v>0.10381844024231511</v>
      </c>
      <c r="U105" s="319">
        <f>'Initial unit rates'!U231</f>
        <v>8.2454106544780637E-2</v>
      </c>
      <c r="V105" s="319">
        <f>'Initial unit rates'!V231</f>
        <v>0</v>
      </c>
      <c r="W105" s="319">
        <f>'Initial unit rates'!W231</f>
        <v>0</v>
      </c>
      <c r="X105" s="319">
        <f>'Initial unit rates'!X231</f>
        <v>0</v>
      </c>
      <c r="Y105" s="319">
        <f>'Initial unit rates'!Y231</f>
        <v>0</v>
      </c>
      <c r="Z105" s="319">
        <f>'Initial unit rates'!Z231</f>
        <v>0</v>
      </c>
      <c r="AA105" s="319">
        <f>'Initial unit rates'!AA231</f>
        <v>0</v>
      </c>
      <c r="AB105" s="319">
        <f>'Initial unit rates'!AB231</f>
        <v>6.6530360301670019E-2</v>
      </c>
      <c r="AC105" s="319">
        <f>'Initial unit rates'!AC231</f>
        <v>0</v>
      </c>
      <c r="AD105" s="319">
        <f>'Initial unit rates'!AD231</f>
        <v>0</v>
      </c>
      <c r="AE105" s="319">
        <f>'Initial unit rates'!AE231</f>
        <v>0</v>
      </c>
      <c r="AF105" s="319">
        <f>'Initial unit rates'!AF231</f>
        <v>0</v>
      </c>
      <c r="AG105" s="319">
        <f>'Initial unit rates'!AG231</f>
        <v>0</v>
      </c>
      <c r="AH105" s="319">
        <f>'Initial unit rates'!AH231</f>
        <v>0</v>
      </c>
      <c r="AI105" s="319">
        <f>'Initial unit rates'!AI231</f>
        <v>0</v>
      </c>
      <c r="AJ105" s="319">
        <f>'Initial unit rates'!AJ231</f>
        <v>0</v>
      </c>
      <c r="AK105" s="319">
        <f>'Initial unit rates'!AK231</f>
        <v>0</v>
      </c>
      <c r="AL105" s="319">
        <f>'Initial unit rates'!AL231</f>
        <v>0</v>
      </c>
      <c r="AM105" s="319">
        <f>'Initial unit rates'!AM231</f>
        <v>0</v>
      </c>
      <c r="AN105" s="319">
        <f>'Initial unit rates'!AN231</f>
        <v>0</v>
      </c>
      <c r="AO105" s="319">
        <f>'Initial unit rates'!AO231</f>
        <v>0</v>
      </c>
      <c r="AP105" s="319">
        <f>'Initial unit rates'!AP231</f>
        <v>0</v>
      </c>
      <c r="AQ105" s="304"/>
      <c r="AR105" s="304"/>
    </row>
    <row r="106" spans="3:59" x14ac:dyDescent="0.25">
      <c r="D106"/>
      <c r="F106" s="23" t="s">
        <v>436</v>
      </c>
      <c r="G106" s="23" t="s">
        <v>327</v>
      </c>
      <c r="H106" s="302"/>
      <c r="I106" s="302" t="s">
        <v>190</v>
      </c>
      <c r="J106" s="320"/>
      <c r="K106" s="320"/>
      <c r="L106" s="320"/>
      <c r="M106" s="320"/>
      <c r="N106" s="320"/>
      <c r="O106" s="320"/>
      <c r="P106" s="320"/>
      <c r="Q106" s="320"/>
      <c r="R106" s="320"/>
      <c r="S106" s="320"/>
      <c r="T106" s="320"/>
      <c r="U106" s="320"/>
      <c r="V106" s="320"/>
      <c r="W106" s="320"/>
      <c r="X106" s="320"/>
      <c r="Y106" s="320"/>
      <c r="Z106" s="320"/>
      <c r="AA106" s="320"/>
      <c r="AB106" s="318">
        <f>'Service model charges'!$AB$44</f>
        <v>1.8575743700341227</v>
      </c>
      <c r="AC106" s="320"/>
      <c r="AD106" s="320"/>
      <c r="AE106" s="320"/>
      <c r="AF106" s="320"/>
      <c r="AG106" s="320"/>
      <c r="AH106" s="320"/>
      <c r="AI106" s="320"/>
      <c r="AJ106" s="320"/>
      <c r="AK106" s="320"/>
      <c r="AL106" s="320"/>
      <c r="AM106" s="320"/>
      <c r="AN106" s="320"/>
      <c r="AO106" s="320"/>
      <c r="AP106" s="320"/>
      <c r="AQ106" s="304"/>
      <c r="AR106" s="304" t="s">
        <v>779</v>
      </c>
    </row>
    <row r="107" spans="3:59" x14ac:dyDescent="0.25">
      <c r="D107"/>
      <c r="F107" s="37" t="s">
        <v>437</v>
      </c>
      <c r="G107" s="37" t="s">
        <v>327</v>
      </c>
      <c r="H107" s="308"/>
      <c r="I107" s="308"/>
      <c r="J107" s="309"/>
      <c r="K107" s="309"/>
      <c r="L107" s="309"/>
      <c r="M107" s="309"/>
      <c r="N107" s="309"/>
      <c r="O107" s="309"/>
      <c r="P107" s="309"/>
      <c r="Q107" s="309"/>
      <c r="R107" s="309"/>
      <c r="S107" s="309"/>
      <c r="T107" s="309"/>
      <c r="U107" s="309"/>
      <c r="V107" s="309"/>
      <c r="W107" s="309"/>
      <c r="X107" s="309"/>
      <c r="Y107" s="309"/>
      <c r="Z107" s="309"/>
      <c r="AA107" s="309"/>
      <c r="AB107" s="309"/>
      <c r="AC107" s="309"/>
      <c r="AD107" s="309"/>
      <c r="AE107" s="309"/>
      <c r="AF107" s="309"/>
      <c r="AG107" s="309"/>
      <c r="AH107" s="309"/>
      <c r="AI107" s="309"/>
      <c r="AJ107" s="309"/>
      <c r="AK107" s="309"/>
      <c r="AL107" s="309"/>
      <c r="AM107" s="309"/>
      <c r="AN107" s="309"/>
      <c r="AO107" s="309"/>
      <c r="AP107" s="309"/>
      <c r="AQ107" s="304"/>
      <c r="AR107" s="304"/>
    </row>
    <row r="109" spans="3:59" x14ac:dyDescent="0.25">
      <c r="C109" s="31" t="str">
        <f ca="1">INDEX('Version control'!$H$34:$H$56,MATCH($A$1,'Version control'!$F$34:$F$56,0),1)&amp;"-D: Standing charge factors"</f>
        <v>Section 111-D: Standing charge factors</v>
      </c>
      <c r="D109" s="31"/>
      <c r="E109" s="31"/>
      <c r="F109" s="31"/>
      <c r="G109" s="31"/>
      <c r="H109" s="31"/>
      <c r="I109" s="31"/>
      <c r="J109" s="31"/>
      <c r="K109" s="31"/>
      <c r="L109" s="31"/>
      <c r="M109" s="31"/>
      <c r="N109" s="31"/>
      <c r="O109" s="31"/>
      <c r="P109" s="31"/>
      <c r="Q109" s="31"/>
      <c r="R109" s="31"/>
      <c r="S109" s="31"/>
      <c r="T109" s="31"/>
      <c r="U109" s="31"/>
      <c r="V109" s="31"/>
      <c r="W109" s="31"/>
      <c r="X109" s="31"/>
      <c r="Y109" s="31"/>
      <c r="Z109" s="31"/>
      <c r="AA109" s="31"/>
      <c r="AB109" s="31"/>
      <c r="AC109" s="31"/>
      <c r="AD109" s="31"/>
      <c r="AE109" s="31"/>
      <c r="AF109" s="31"/>
      <c r="AG109" s="31"/>
      <c r="AH109" s="31"/>
      <c r="AI109" s="31"/>
      <c r="AJ109" s="31"/>
      <c r="AK109" s="31"/>
      <c r="AL109" s="31"/>
      <c r="AM109" s="31"/>
      <c r="AN109" s="31"/>
      <c r="AO109" s="31"/>
      <c r="AP109" s="31"/>
      <c r="AQ109" s="31"/>
      <c r="AR109" s="31"/>
    </row>
    <row r="110" spans="3:59" x14ac:dyDescent="0.25">
      <c r="D110" s="32"/>
      <c r="E110" s="32"/>
      <c r="J110" s="63"/>
      <c r="K110" s="63"/>
      <c r="L110" s="63"/>
      <c r="M110" s="63"/>
      <c r="N110" s="63"/>
      <c r="O110" s="63"/>
      <c r="P110" s="63"/>
      <c r="Q110" s="63"/>
      <c r="R110" s="63"/>
      <c r="S110" s="63"/>
      <c r="T110" s="63"/>
      <c r="U110" s="63"/>
      <c r="V110" s="63"/>
      <c r="W110" s="63"/>
      <c r="X110" s="63"/>
      <c r="Y110" s="63"/>
      <c r="Z110" s="63"/>
      <c r="AA110" s="63"/>
      <c r="AB110" s="63"/>
      <c r="AC110" s="63"/>
      <c r="AD110" s="63"/>
      <c r="AE110" s="63"/>
      <c r="AF110" s="63"/>
      <c r="AG110" s="63"/>
      <c r="AH110" s="63"/>
      <c r="AI110" s="63"/>
      <c r="AJ110" s="63"/>
      <c r="AK110" s="63"/>
      <c r="AL110" s="63"/>
      <c r="AM110" s="63"/>
      <c r="AN110" s="63"/>
      <c r="AO110" s="63"/>
      <c r="AP110" s="63"/>
    </row>
    <row r="111" spans="3:59" x14ac:dyDescent="0.25">
      <c r="D111"/>
      <c r="E111" s="32" t="s">
        <v>121</v>
      </c>
      <c r="H111" s="14"/>
      <c r="I111" t="s">
        <v>190</v>
      </c>
      <c r="J111" s="63"/>
      <c r="K111" s="63"/>
      <c r="L111" s="63"/>
      <c r="M111" s="63"/>
      <c r="N111" s="63"/>
      <c r="O111" s="63"/>
      <c r="P111" s="63"/>
      <c r="Q111" s="63"/>
      <c r="R111" s="63"/>
      <c r="S111" s="63"/>
      <c r="AR111" t="s">
        <v>239</v>
      </c>
      <c r="BG111" s="3"/>
    </row>
    <row r="112" spans="3:59" x14ac:dyDescent="0.25">
      <c r="C112" s="32"/>
      <c r="D112"/>
      <c r="E112"/>
      <c r="F112" s="23" t="s">
        <v>227</v>
      </c>
      <c r="G112" s="23" t="s">
        <v>203</v>
      </c>
      <c r="H112" s="132"/>
      <c r="I112" s="23"/>
      <c r="J112" s="110">
        <f>'Standing charge factors'!J44</f>
        <v>0</v>
      </c>
      <c r="K112" s="110">
        <f>'Standing charge factors'!K44</f>
        <v>0</v>
      </c>
      <c r="L112" s="110">
        <f>'Standing charge factors'!L44</f>
        <v>0</v>
      </c>
      <c r="M112" s="110">
        <f>'Standing charge factors'!M44</f>
        <v>0</v>
      </c>
      <c r="N112" s="110">
        <f>'Standing charge factors'!N44</f>
        <v>0</v>
      </c>
      <c r="O112" s="110">
        <f>'Standing charge factors'!O44</f>
        <v>0</v>
      </c>
      <c r="P112" s="110">
        <f>'Standing charge factors'!P44</f>
        <v>0</v>
      </c>
      <c r="Q112" s="110">
        <f>'Standing charge factors'!Q44</f>
        <v>0</v>
      </c>
      <c r="R112" s="110">
        <f>'Standing charge factors'!R44</f>
        <v>0</v>
      </c>
      <c r="S112" s="110">
        <f>'Standing charge factors'!S44</f>
        <v>0</v>
      </c>
      <c r="T112" s="110">
        <f>'Standing charge factors'!T44</f>
        <v>0</v>
      </c>
      <c r="U112" s="110">
        <f>'Standing charge factors'!U44</f>
        <v>0</v>
      </c>
      <c r="V112" s="110">
        <f>'Standing charge factors'!V44</f>
        <v>0</v>
      </c>
      <c r="W112" s="110">
        <f>'Standing charge factors'!W44</f>
        <v>0</v>
      </c>
      <c r="X112" s="110">
        <f>'Standing charge factors'!X44</f>
        <v>0</v>
      </c>
      <c r="Y112" s="110">
        <f>'Standing charge factors'!Y44</f>
        <v>0</v>
      </c>
      <c r="Z112" s="110">
        <f>'Standing charge factors'!Z44</f>
        <v>0</v>
      </c>
      <c r="AA112" s="110">
        <f>'Standing charge factors'!AA44</f>
        <v>0</v>
      </c>
      <c r="AB112" s="110">
        <f>'Standing charge factors'!AB44</f>
        <v>0</v>
      </c>
      <c r="AC112" s="110">
        <f>'Standing charge factors'!AC44</f>
        <v>0</v>
      </c>
      <c r="AD112" s="110">
        <f>'Standing charge factors'!AD44</f>
        <v>0</v>
      </c>
      <c r="AE112" s="110">
        <f>'Standing charge factors'!AE44</f>
        <v>0</v>
      </c>
      <c r="AF112" s="110">
        <f>'Standing charge factors'!AF44</f>
        <v>0</v>
      </c>
      <c r="AG112" s="110">
        <f>'Standing charge factors'!AG44</f>
        <v>0</v>
      </c>
      <c r="AH112" s="110">
        <f>'Standing charge factors'!AH44</f>
        <v>0</v>
      </c>
      <c r="AI112" s="110">
        <f>'Standing charge factors'!AI44</f>
        <v>0</v>
      </c>
      <c r="AJ112" s="110">
        <f>'Standing charge factors'!AJ44</f>
        <v>0</v>
      </c>
      <c r="AK112" s="110">
        <f>'Standing charge factors'!AK44</f>
        <v>0</v>
      </c>
      <c r="AL112" s="110">
        <f>'Standing charge factors'!AL44</f>
        <v>0</v>
      </c>
      <c r="AM112" s="110">
        <f>'Standing charge factors'!AM44</f>
        <v>0</v>
      </c>
      <c r="AN112" s="110">
        <f>'Standing charge factors'!AN44</f>
        <v>0</v>
      </c>
      <c r="AO112" s="110">
        <f>'Standing charge factors'!AO44</f>
        <v>0</v>
      </c>
      <c r="AP112" s="110">
        <f>'Standing charge factors'!AP44</f>
        <v>0</v>
      </c>
      <c r="BG112" s="3"/>
    </row>
    <row r="113" spans="2:59" x14ac:dyDescent="0.25">
      <c r="C113" s="32"/>
      <c r="D113"/>
      <c r="E113"/>
      <c r="F113" t="s">
        <v>228</v>
      </c>
      <c r="G113" t="s">
        <v>203</v>
      </c>
      <c r="H113" s="63"/>
      <c r="J113" s="25">
        <f>'Standing charge factors'!J45</f>
        <v>0</v>
      </c>
      <c r="K113" s="25">
        <f>'Standing charge factors'!K45</f>
        <v>0</v>
      </c>
      <c r="L113" s="25">
        <f>'Standing charge factors'!L45</f>
        <v>0</v>
      </c>
      <c r="M113" s="25">
        <f>'Standing charge factors'!M45</f>
        <v>0</v>
      </c>
      <c r="N113" s="25">
        <f>'Standing charge factors'!N45</f>
        <v>0</v>
      </c>
      <c r="O113" s="25">
        <f>'Standing charge factors'!O45</f>
        <v>0</v>
      </c>
      <c r="P113" s="25">
        <f>'Standing charge factors'!P45</f>
        <v>0</v>
      </c>
      <c r="Q113" s="25">
        <f>'Standing charge factors'!Q45</f>
        <v>0</v>
      </c>
      <c r="R113" s="25">
        <f>'Standing charge factors'!R45</f>
        <v>0</v>
      </c>
      <c r="S113" s="25">
        <f>'Standing charge factors'!S45</f>
        <v>0</v>
      </c>
      <c r="T113" s="25">
        <f>'Standing charge factors'!T45</f>
        <v>0</v>
      </c>
      <c r="U113" s="25">
        <f>'Standing charge factors'!U45</f>
        <v>0</v>
      </c>
      <c r="V113" s="25">
        <f>'Standing charge factors'!V45</f>
        <v>0</v>
      </c>
      <c r="W113" s="25">
        <f>'Standing charge factors'!W45</f>
        <v>0</v>
      </c>
      <c r="X113" s="25">
        <f>'Standing charge factors'!X45</f>
        <v>0</v>
      </c>
      <c r="Y113" s="25">
        <f>'Standing charge factors'!Y45</f>
        <v>0</v>
      </c>
      <c r="Z113" s="25">
        <f>'Standing charge factors'!Z45</f>
        <v>0</v>
      </c>
      <c r="AA113" s="25">
        <f>'Standing charge factors'!AA45</f>
        <v>0</v>
      </c>
      <c r="AB113" s="25">
        <f>'Standing charge factors'!AB45</f>
        <v>0</v>
      </c>
      <c r="AC113" s="25">
        <f>'Standing charge factors'!AC45</f>
        <v>0</v>
      </c>
      <c r="AD113" s="25">
        <f>'Standing charge factors'!AD45</f>
        <v>0</v>
      </c>
      <c r="AE113" s="25">
        <f>'Standing charge factors'!AE45</f>
        <v>0</v>
      </c>
      <c r="AF113" s="25">
        <f>'Standing charge factors'!AF45</f>
        <v>0</v>
      </c>
      <c r="AG113" s="25">
        <f>'Standing charge factors'!AG45</f>
        <v>0</v>
      </c>
      <c r="AH113" s="25">
        <f>'Standing charge factors'!AH45</f>
        <v>0</v>
      </c>
      <c r="AI113" s="25">
        <f>'Standing charge factors'!AI45</f>
        <v>0</v>
      </c>
      <c r="AJ113" s="25">
        <f>'Standing charge factors'!AJ45</f>
        <v>0</v>
      </c>
      <c r="AK113" s="25">
        <f>'Standing charge factors'!AK45</f>
        <v>0</v>
      </c>
      <c r="AL113" s="25">
        <f>'Standing charge factors'!AL45</f>
        <v>0</v>
      </c>
      <c r="AM113" s="25">
        <f>'Standing charge factors'!AM45</f>
        <v>0</v>
      </c>
      <c r="AN113" s="25">
        <f>'Standing charge factors'!AN45</f>
        <v>0</v>
      </c>
      <c r="AO113" s="25">
        <f>'Standing charge factors'!AO45</f>
        <v>0</v>
      </c>
      <c r="AP113" s="25">
        <f>'Standing charge factors'!AP45</f>
        <v>0</v>
      </c>
      <c r="BG113" s="3"/>
    </row>
    <row r="114" spans="2:59" x14ac:dyDescent="0.25">
      <c r="C114" s="32"/>
      <c r="D114"/>
      <c r="E114"/>
      <c r="F114" t="s">
        <v>229</v>
      </c>
      <c r="G114" t="s">
        <v>203</v>
      </c>
      <c r="H114" s="63"/>
      <c r="J114" s="25">
        <f>'Standing charge factors'!J46</f>
        <v>0</v>
      </c>
      <c r="K114" s="25">
        <f>'Standing charge factors'!K46</f>
        <v>0</v>
      </c>
      <c r="L114" s="25">
        <f>'Standing charge factors'!L46</f>
        <v>0</v>
      </c>
      <c r="M114" s="25">
        <f>'Standing charge factors'!M46</f>
        <v>0</v>
      </c>
      <c r="N114" s="25">
        <f>'Standing charge factors'!N46</f>
        <v>0</v>
      </c>
      <c r="O114" s="25">
        <f>'Standing charge factors'!O46</f>
        <v>0</v>
      </c>
      <c r="P114" s="25">
        <f>'Standing charge factors'!P46</f>
        <v>0</v>
      </c>
      <c r="Q114" s="25">
        <f>'Standing charge factors'!Q46</f>
        <v>0</v>
      </c>
      <c r="R114" s="25">
        <f>'Standing charge factors'!R46</f>
        <v>0</v>
      </c>
      <c r="S114" s="25">
        <f>'Standing charge factors'!S46</f>
        <v>0</v>
      </c>
      <c r="T114" s="25">
        <f>'Standing charge factors'!T46</f>
        <v>0</v>
      </c>
      <c r="U114" s="25">
        <f>'Standing charge factors'!U46</f>
        <v>0</v>
      </c>
      <c r="V114" s="25">
        <f>'Standing charge factors'!V46</f>
        <v>0</v>
      </c>
      <c r="W114" s="25">
        <f>'Standing charge factors'!W46</f>
        <v>0</v>
      </c>
      <c r="X114" s="25">
        <f>'Standing charge factors'!X46</f>
        <v>0</v>
      </c>
      <c r="Y114" s="25">
        <f>'Standing charge factors'!Y46</f>
        <v>0</v>
      </c>
      <c r="Z114" s="25">
        <f>'Standing charge factors'!Z46</f>
        <v>0</v>
      </c>
      <c r="AA114" s="25">
        <f>'Standing charge factors'!AA46</f>
        <v>0</v>
      </c>
      <c r="AB114" s="25">
        <f>'Standing charge factors'!AB46</f>
        <v>0</v>
      </c>
      <c r="AC114" s="25">
        <f>'Standing charge factors'!AC46</f>
        <v>0</v>
      </c>
      <c r="AD114" s="25">
        <f>'Standing charge factors'!AD46</f>
        <v>0</v>
      </c>
      <c r="AE114" s="25">
        <f>'Standing charge factors'!AE46</f>
        <v>0</v>
      </c>
      <c r="AF114" s="25">
        <f>'Standing charge factors'!AF46</f>
        <v>0</v>
      </c>
      <c r="AG114" s="25">
        <f>'Standing charge factors'!AG46</f>
        <v>0</v>
      </c>
      <c r="AH114" s="25">
        <f>'Standing charge factors'!AH46</f>
        <v>0</v>
      </c>
      <c r="AI114" s="25">
        <f>'Standing charge factors'!AI46</f>
        <v>0</v>
      </c>
      <c r="AJ114" s="25">
        <f>'Standing charge factors'!AJ46</f>
        <v>0</v>
      </c>
      <c r="AK114" s="25">
        <f>'Standing charge factors'!AK46</f>
        <v>0</v>
      </c>
      <c r="AL114" s="25">
        <f>'Standing charge factors'!AL46</f>
        <v>0</v>
      </c>
      <c r="AM114" s="25">
        <f>'Standing charge factors'!AM46</f>
        <v>0</v>
      </c>
      <c r="AN114" s="25">
        <f>'Standing charge factors'!AN46</f>
        <v>0</v>
      </c>
      <c r="AO114" s="25">
        <f>'Standing charge factors'!AO46</f>
        <v>0</v>
      </c>
      <c r="AP114" s="25">
        <f>'Standing charge factors'!AP46</f>
        <v>0</v>
      </c>
      <c r="BG114" s="3"/>
    </row>
    <row r="115" spans="2:59" x14ac:dyDescent="0.25">
      <c r="C115" s="32"/>
      <c r="D115"/>
      <c r="E115"/>
      <c r="F115" t="s">
        <v>230</v>
      </c>
      <c r="G115" t="s">
        <v>203</v>
      </c>
      <c r="H115" s="63"/>
      <c r="J115" s="25">
        <f>'Standing charge factors'!J47</f>
        <v>0</v>
      </c>
      <c r="K115" s="25">
        <f>'Standing charge factors'!K47</f>
        <v>0</v>
      </c>
      <c r="L115" s="25">
        <f>'Standing charge factors'!L47</f>
        <v>0</v>
      </c>
      <c r="M115" s="25">
        <f>'Standing charge factors'!M47</f>
        <v>0</v>
      </c>
      <c r="N115" s="25">
        <f>'Standing charge factors'!N47</f>
        <v>0</v>
      </c>
      <c r="O115" s="25">
        <f>'Standing charge factors'!O47</f>
        <v>0</v>
      </c>
      <c r="P115" s="25">
        <f>'Standing charge factors'!P47</f>
        <v>0</v>
      </c>
      <c r="Q115" s="25">
        <f>'Standing charge factors'!Q47</f>
        <v>0</v>
      </c>
      <c r="R115" s="25">
        <f>'Standing charge factors'!R47</f>
        <v>0.2</v>
      </c>
      <c r="S115" s="25">
        <f>'Standing charge factors'!S47</f>
        <v>0</v>
      </c>
      <c r="T115" s="25">
        <f>'Standing charge factors'!T47</f>
        <v>0</v>
      </c>
      <c r="U115" s="25">
        <f>'Standing charge factors'!U47</f>
        <v>0</v>
      </c>
      <c r="V115" s="25">
        <f>'Standing charge factors'!V47</f>
        <v>0</v>
      </c>
      <c r="W115" s="25">
        <f>'Standing charge factors'!W47</f>
        <v>0.2</v>
      </c>
      <c r="X115" s="25">
        <f>'Standing charge factors'!X47</f>
        <v>0</v>
      </c>
      <c r="Y115" s="25">
        <f>'Standing charge factors'!Y47</f>
        <v>0</v>
      </c>
      <c r="Z115" s="25">
        <f>'Standing charge factors'!Z47</f>
        <v>0</v>
      </c>
      <c r="AA115" s="25">
        <f>'Standing charge factors'!AA47</f>
        <v>0</v>
      </c>
      <c r="AB115" s="25">
        <f>'Standing charge factors'!AB47</f>
        <v>0</v>
      </c>
      <c r="AC115" s="25">
        <f>'Standing charge factors'!AC47</f>
        <v>0</v>
      </c>
      <c r="AD115" s="25">
        <f>'Standing charge factors'!AD47</f>
        <v>0</v>
      </c>
      <c r="AE115" s="25">
        <f>'Standing charge factors'!AE47</f>
        <v>0</v>
      </c>
      <c r="AF115" s="25">
        <f>'Standing charge factors'!AF47</f>
        <v>0</v>
      </c>
      <c r="AG115" s="25">
        <f>'Standing charge factors'!AG47</f>
        <v>0</v>
      </c>
      <c r="AH115" s="25">
        <f>'Standing charge factors'!AH47</f>
        <v>0</v>
      </c>
      <c r="AI115" s="25">
        <f>'Standing charge factors'!AI47</f>
        <v>0</v>
      </c>
      <c r="AJ115" s="25">
        <f>'Standing charge factors'!AJ47</f>
        <v>0</v>
      </c>
      <c r="AK115" s="25">
        <f>'Standing charge factors'!AK47</f>
        <v>0</v>
      </c>
      <c r="AL115" s="25">
        <f>'Standing charge factors'!AL47</f>
        <v>0</v>
      </c>
      <c r="AM115" s="25">
        <f>'Standing charge factors'!AM47</f>
        <v>0</v>
      </c>
      <c r="AN115" s="25">
        <f>'Standing charge factors'!AN47</f>
        <v>0</v>
      </c>
      <c r="AO115" s="25">
        <f>'Standing charge factors'!AO47</f>
        <v>0</v>
      </c>
      <c r="AP115" s="25">
        <f>'Standing charge factors'!AP47</f>
        <v>0</v>
      </c>
      <c r="BG115" s="3"/>
    </row>
    <row r="116" spans="2:59" x14ac:dyDescent="0.25">
      <c r="C116" s="32"/>
      <c r="D116"/>
      <c r="E116"/>
      <c r="F116" t="s">
        <v>231</v>
      </c>
      <c r="G116" t="s">
        <v>203</v>
      </c>
      <c r="H116" s="63"/>
      <c r="J116" s="25">
        <f>'Standing charge factors'!J48</f>
        <v>0</v>
      </c>
      <c r="K116" s="25">
        <f>'Standing charge factors'!K48</f>
        <v>0</v>
      </c>
      <c r="L116" s="25">
        <f>'Standing charge factors'!L48</f>
        <v>0</v>
      </c>
      <c r="M116" s="25">
        <f>'Standing charge factors'!M48</f>
        <v>0</v>
      </c>
      <c r="N116" s="25">
        <f>'Standing charge factors'!N48</f>
        <v>0</v>
      </c>
      <c r="O116" s="25">
        <f>'Standing charge factors'!O48</f>
        <v>0</v>
      </c>
      <c r="P116" s="25">
        <f>'Standing charge factors'!P48</f>
        <v>0</v>
      </c>
      <c r="Q116" s="25">
        <f>'Standing charge factors'!Q48</f>
        <v>0</v>
      </c>
      <c r="R116" s="25">
        <f>'Standing charge factors'!R48</f>
        <v>1</v>
      </c>
      <c r="S116" s="25">
        <f>'Standing charge factors'!S48</f>
        <v>0</v>
      </c>
      <c r="T116" s="25">
        <f>'Standing charge factors'!T48</f>
        <v>0</v>
      </c>
      <c r="U116" s="25">
        <f>'Standing charge factors'!U48</f>
        <v>0</v>
      </c>
      <c r="V116" s="25">
        <f>'Standing charge factors'!V48</f>
        <v>0</v>
      </c>
      <c r="W116" s="25">
        <f>'Standing charge factors'!W48</f>
        <v>1</v>
      </c>
      <c r="X116" s="25">
        <f>'Standing charge factors'!X48</f>
        <v>0</v>
      </c>
      <c r="Y116" s="25">
        <f>'Standing charge factors'!Y48</f>
        <v>0</v>
      </c>
      <c r="Z116" s="25">
        <f>'Standing charge factors'!Z48</f>
        <v>0</v>
      </c>
      <c r="AA116" s="25">
        <f>'Standing charge factors'!AA48</f>
        <v>0</v>
      </c>
      <c r="AB116" s="25">
        <f>'Standing charge factors'!AB48</f>
        <v>0</v>
      </c>
      <c r="AC116" s="25">
        <f>'Standing charge factors'!AC48</f>
        <v>0</v>
      </c>
      <c r="AD116" s="25">
        <f>'Standing charge factors'!AD48</f>
        <v>0</v>
      </c>
      <c r="AE116" s="25">
        <f>'Standing charge factors'!AE48</f>
        <v>0</v>
      </c>
      <c r="AF116" s="25">
        <f>'Standing charge factors'!AF48</f>
        <v>0</v>
      </c>
      <c r="AG116" s="25">
        <f>'Standing charge factors'!AG48</f>
        <v>0</v>
      </c>
      <c r="AH116" s="25">
        <f>'Standing charge factors'!AH48</f>
        <v>0</v>
      </c>
      <c r="AI116" s="25">
        <f>'Standing charge factors'!AI48</f>
        <v>0</v>
      </c>
      <c r="AJ116" s="25">
        <f>'Standing charge factors'!AJ48</f>
        <v>0</v>
      </c>
      <c r="AK116" s="25">
        <f>'Standing charge factors'!AK48</f>
        <v>0</v>
      </c>
      <c r="AL116" s="25">
        <f>'Standing charge factors'!AL48</f>
        <v>0</v>
      </c>
      <c r="AM116" s="25">
        <f>'Standing charge factors'!AM48</f>
        <v>0</v>
      </c>
      <c r="AN116" s="25">
        <f>'Standing charge factors'!AN48</f>
        <v>0</v>
      </c>
      <c r="AO116" s="25">
        <f>'Standing charge factors'!AO48</f>
        <v>0</v>
      </c>
      <c r="AP116" s="25">
        <f>'Standing charge factors'!AP48</f>
        <v>0</v>
      </c>
      <c r="BG116" s="3"/>
    </row>
    <row r="117" spans="2:59" x14ac:dyDescent="0.25">
      <c r="C117" s="32"/>
      <c r="D117"/>
      <c r="E117"/>
      <c r="F117" t="s">
        <v>232</v>
      </c>
      <c r="G117" t="s">
        <v>203</v>
      </c>
      <c r="H117" s="63"/>
      <c r="J117" s="25">
        <f>'Standing charge factors'!J49</f>
        <v>0</v>
      </c>
      <c r="K117" s="25">
        <f>'Standing charge factors'!K49</f>
        <v>0</v>
      </c>
      <c r="L117" s="25">
        <f>'Standing charge factors'!L49</f>
        <v>0</v>
      </c>
      <c r="M117" s="25">
        <f>'Standing charge factors'!M49</f>
        <v>0</v>
      </c>
      <c r="N117" s="25">
        <f>'Standing charge factors'!N49</f>
        <v>0</v>
      </c>
      <c r="O117" s="25">
        <f>'Standing charge factors'!O49</f>
        <v>0</v>
      </c>
      <c r="P117" s="25">
        <f>'Standing charge factors'!P49</f>
        <v>0</v>
      </c>
      <c r="Q117" s="25">
        <f>'Standing charge factors'!Q49</f>
        <v>0</v>
      </c>
      <c r="R117" s="25">
        <f>'Standing charge factors'!R49</f>
        <v>1</v>
      </c>
      <c r="S117" s="25">
        <f>'Standing charge factors'!S49</f>
        <v>0</v>
      </c>
      <c r="T117" s="25">
        <f>'Standing charge factors'!T49</f>
        <v>0</v>
      </c>
      <c r="U117" s="25">
        <f>'Standing charge factors'!U49</f>
        <v>0</v>
      </c>
      <c r="V117" s="25">
        <f>'Standing charge factors'!V49</f>
        <v>0</v>
      </c>
      <c r="W117" s="25">
        <f>'Standing charge factors'!W49</f>
        <v>1</v>
      </c>
      <c r="X117" s="25">
        <f>'Standing charge factors'!X49</f>
        <v>0</v>
      </c>
      <c r="Y117" s="25">
        <f>'Standing charge factors'!Y49</f>
        <v>0</v>
      </c>
      <c r="Z117" s="25">
        <f>'Standing charge factors'!Z49</f>
        <v>0</v>
      </c>
      <c r="AA117" s="25">
        <f>'Standing charge factors'!AA49</f>
        <v>0</v>
      </c>
      <c r="AB117" s="25">
        <f>'Standing charge factors'!AB49</f>
        <v>0</v>
      </c>
      <c r="AC117" s="25">
        <f>'Standing charge factors'!AC49</f>
        <v>0</v>
      </c>
      <c r="AD117" s="25">
        <f>'Standing charge factors'!AD49</f>
        <v>0</v>
      </c>
      <c r="AE117" s="25">
        <f>'Standing charge factors'!AE49</f>
        <v>0</v>
      </c>
      <c r="AF117" s="25">
        <f>'Standing charge factors'!AF49</f>
        <v>0</v>
      </c>
      <c r="AG117" s="25">
        <f>'Standing charge factors'!AG49</f>
        <v>0</v>
      </c>
      <c r="AH117" s="25">
        <f>'Standing charge factors'!AH49</f>
        <v>0</v>
      </c>
      <c r="AI117" s="25">
        <f>'Standing charge factors'!AI49</f>
        <v>0</v>
      </c>
      <c r="AJ117" s="25">
        <f>'Standing charge factors'!AJ49</f>
        <v>0</v>
      </c>
      <c r="AK117" s="25">
        <f>'Standing charge factors'!AK49</f>
        <v>0</v>
      </c>
      <c r="AL117" s="25">
        <f>'Standing charge factors'!AL49</f>
        <v>0</v>
      </c>
      <c r="AM117" s="25">
        <f>'Standing charge factors'!AM49</f>
        <v>0</v>
      </c>
      <c r="AN117" s="25">
        <f>'Standing charge factors'!AN49</f>
        <v>0</v>
      </c>
      <c r="AO117" s="25">
        <f>'Standing charge factors'!AO49</f>
        <v>0</v>
      </c>
      <c r="AP117" s="25">
        <f>'Standing charge factors'!AP49</f>
        <v>0</v>
      </c>
      <c r="BG117" s="3"/>
    </row>
    <row r="118" spans="2:59" x14ac:dyDescent="0.25">
      <c r="C118" s="32"/>
      <c r="D118"/>
      <c r="E118"/>
      <c r="F118" t="s">
        <v>233</v>
      </c>
      <c r="G118" t="s">
        <v>203</v>
      </c>
      <c r="H118" s="63"/>
      <c r="J118" s="25">
        <f>'Standing charge factors'!J50</f>
        <v>0</v>
      </c>
      <c r="K118" s="25">
        <f>'Standing charge factors'!K50</f>
        <v>0</v>
      </c>
      <c r="L118" s="25">
        <f>'Standing charge factors'!L50</f>
        <v>0</v>
      </c>
      <c r="M118" s="25">
        <f>'Standing charge factors'!M50</f>
        <v>0</v>
      </c>
      <c r="N118" s="25">
        <f>'Standing charge factors'!N50</f>
        <v>0</v>
      </c>
      <c r="O118" s="25">
        <f>'Standing charge factors'!O50</f>
        <v>0</v>
      </c>
      <c r="P118" s="25">
        <f>'Standing charge factors'!P50</f>
        <v>0</v>
      </c>
      <c r="Q118" s="25">
        <f>'Standing charge factors'!Q50</f>
        <v>0</v>
      </c>
      <c r="R118" s="25">
        <f>'Standing charge factors'!R50</f>
        <v>1</v>
      </c>
      <c r="S118" s="25">
        <f>'Standing charge factors'!S50</f>
        <v>0</v>
      </c>
      <c r="T118" s="25">
        <f>'Standing charge factors'!T50</f>
        <v>0</v>
      </c>
      <c r="U118" s="25">
        <f>'Standing charge factors'!U50</f>
        <v>0.2</v>
      </c>
      <c r="V118" s="25">
        <f>'Standing charge factors'!V50</f>
        <v>1</v>
      </c>
      <c r="W118" s="25">
        <f>'Standing charge factors'!W50</f>
        <v>1</v>
      </c>
      <c r="X118" s="25">
        <f>'Standing charge factors'!X50</f>
        <v>0</v>
      </c>
      <c r="Y118" s="25">
        <f>'Standing charge factors'!Y50</f>
        <v>0</v>
      </c>
      <c r="Z118" s="25">
        <f>'Standing charge factors'!Z50</f>
        <v>0</v>
      </c>
      <c r="AA118" s="25">
        <f>'Standing charge factors'!AA50</f>
        <v>0</v>
      </c>
      <c r="AB118" s="25">
        <f>'Standing charge factors'!AB50</f>
        <v>0</v>
      </c>
      <c r="AC118" s="25">
        <f>'Standing charge factors'!AC50</f>
        <v>0</v>
      </c>
      <c r="AD118" s="25">
        <f>'Standing charge factors'!AD50</f>
        <v>0</v>
      </c>
      <c r="AE118" s="25">
        <f>'Standing charge factors'!AE50</f>
        <v>0</v>
      </c>
      <c r="AF118" s="25">
        <f>'Standing charge factors'!AF50</f>
        <v>0</v>
      </c>
      <c r="AG118" s="25">
        <f>'Standing charge factors'!AG50</f>
        <v>0</v>
      </c>
      <c r="AH118" s="25">
        <f>'Standing charge factors'!AH50</f>
        <v>0</v>
      </c>
      <c r="AI118" s="25">
        <f>'Standing charge factors'!AI50</f>
        <v>0</v>
      </c>
      <c r="AJ118" s="25">
        <f>'Standing charge factors'!AJ50</f>
        <v>0</v>
      </c>
      <c r="AK118" s="25">
        <f>'Standing charge factors'!AK50</f>
        <v>0</v>
      </c>
      <c r="AL118" s="25">
        <f>'Standing charge factors'!AL50</f>
        <v>0</v>
      </c>
      <c r="AM118" s="25">
        <f>'Standing charge factors'!AM50</f>
        <v>0</v>
      </c>
      <c r="AN118" s="25">
        <f>'Standing charge factors'!AN50</f>
        <v>0</v>
      </c>
      <c r="AO118" s="25">
        <f>'Standing charge factors'!AO50</f>
        <v>0</v>
      </c>
      <c r="AP118" s="25">
        <f>'Standing charge factors'!AP50</f>
        <v>0</v>
      </c>
      <c r="BG118" s="3"/>
    </row>
    <row r="119" spans="2:59" x14ac:dyDescent="0.25">
      <c r="C119" s="32"/>
      <c r="D119"/>
      <c r="E119"/>
      <c r="F119" t="s">
        <v>234</v>
      </c>
      <c r="G119" t="s">
        <v>203</v>
      </c>
      <c r="H119" s="63"/>
      <c r="J119" s="25">
        <f>'Standing charge factors'!J51</f>
        <v>0</v>
      </c>
      <c r="K119" s="25">
        <f>'Standing charge factors'!K51</f>
        <v>0</v>
      </c>
      <c r="L119" s="25">
        <f>'Standing charge factors'!L51</f>
        <v>0</v>
      </c>
      <c r="M119" s="25">
        <f>'Standing charge factors'!M51</f>
        <v>0</v>
      </c>
      <c r="N119" s="25">
        <f>'Standing charge factors'!N51</f>
        <v>0</v>
      </c>
      <c r="O119" s="25">
        <f>'Standing charge factors'!O51</f>
        <v>0</v>
      </c>
      <c r="P119" s="25">
        <f>'Standing charge factors'!P51</f>
        <v>0</v>
      </c>
      <c r="Q119" s="25">
        <f>'Standing charge factors'!Q51</f>
        <v>1</v>
      </c>
      <c r="R119" s="25">
        <f>'Standing charge factors'!R51</f>
        <v>0</v>
      </c>
      <c r="S119" s="25">
        <f>'Standing charge factors'!S51</f>
        <v>0</v>
      </c>
      <c r="T119" s="25">
        <f>'Standing charge factors'!T51</f>
        <v>0</v>
      </c>
      <c r="U119" s="25">
        <f>'Standing charge factors'!U51</f>
        <v>1</v>
      </c>
      <c r="V119" s="25">
        <f>'Standing charge factors'!V51</f>
        <v>1</v>
      </c>
      <c r="W119" s="25">
        <f>'Standing charge factors'!W51</f>
        <v>0</v>
      </c>
      <c r="X119" s="25">
        <f>'Standing charge factors'!X51</f>
        <v>0</v>
      </c>
      <c r="Y119" s="25">
        <f>'Standing charge factors'!Y51</f>
        <v>0</v>
      </c>
      <c r="Z119" s="25">
        <f>'Standing charge factors'!Z51</f>
        <v>0</v>
      </c>
      <c r="AA119" s="25">
        <f>'Standing charge factors'!AA51</f>
        <v>0</v>
      </c>
      <c r="AB119" s="25">
        <f>'Standing charge factors'!AB51</f>
        <v>0</v>
      </c>
      <c r="AC119" s="25">
        <f>'Standing charge factors'!AC51</f>
        <v>0</v>
      </c>
      <c r="AD119" s="25">
        <f>'Standing charge factors'!AD51</f>
        <v>0</v>
      </c>
      <c r="AE119" s="25">
        <f>'Standing charge factors'!AE51</f>
        <v>0</v>
      </c>
      <c r="AF119" s="25">
        <f>'Standing charge factors'!AF51</f>
        <v>0</v>
      </c>
      <c r="AG119" s="25">
        <f>'Standing charge factors'!AG51</f>
        <v>0</v>
      </c>
      <c r="AH119" s="25">
        <f>'Standing charge factors'!AH51</f>
        <v>0</v>
      </c>
      <c r="AI119" s="25">
        <f>'Standing charge factors'!AI51</f>
        <v>0</v>
      </c>
      <c r="AJ119" s="25">
        <f>'Standing charge factors'!AJ51</f>
        <v>0</v>
      </c>
      <c r="AK119" s="25">
        <f>'Standing charge factors'!AK51</f>
        <v>0</v>
      </c>
      <c r="AL119" s="25">
        <f>'Standing charge factors'!AL51</f>
        <v>0</v>
      </c>
      <c r="AM119" s="25">
        <f>'Standing charge factors'!AM51</f>
        <v>0</v>
      </c>
      <c r="AN119" s="25">
        <f>'Standing charge factors'!AN51</f>
        <v>0</v>
      </c>
      <c r="AO119" s="25">
        <f>'Standing charge factors'!AO51</f>
        <v>0</v>
      </c>
      <c r="AP119" s="25">
        <f>'Standing charge factors'!AP51</f>
        <v>0</v>
      </c>
      <c r="BG119" s="3"/>
    </row>
    <row r="120" spans="2:59" x14ac:dyDescent="0.25">
      <c r="C120" s="32"/>
      <c r="D120"/>
      <c r="E120"/>
      <c r="F120" s="37" t="s">
        <v>235</v>
      </c>
      <c r="G120" s="37" t="s">
        <v>203</v>
      </c>
      <c r="H120" s="133"/>
      <c r="I120" s="37"/>
      <c r="J120" s="144">
        <f>'Standing charge factors'!J52</f>
        <v>1</v>
      </c>
      <c r="K120" s="144">
        <f>'Standing charge factors'!K52</f>
        <v>1</v>
      </c>
      <c r="L120" s="144">
        <f>'Standing charge factors'!L52</f>
        <v>1</v>
      </c>
      <c r="M120" s="144">
        <f>'Standing charge factors'!M52</f>
        <v>1</v>
      </c>
      <c r="N120" s="144">
        <f>'Standing charge factors'!N52</f>
        <v>1</v>
      </c>
      <c r="O120" s="144">
        <f>'Standing charge factors'!O52</f>
        <v>1</v>
      </c>
      <c r="P120" s="144">
        <f>'Standing charge factors'!P52</f>
        <v>1</v>
      </c>
      <c r="Q120" s="144">
        <f>'Standing charge factors'!Q52</f>
        <v>0</v>
      </c>
      <c r="R120" s="144">
        <f>'Standing charge factors'!R52</f>
        <v>0</v>
      </c>
      <c r="S120" s="144">
        <f>'Standing charge factors'!S52</f>
        <v>1</v>
      </c>
      <c r="T120" s="144">
        <f>'Standing charge factors'!T52</f>
        <v>1</v>
      </c>
      <c r="U120" s="144">
        <f>'Standing charge factors'!U52</f>
        <v>1</v>
      </c>
      <c r="V120" s="144">
        <f>'Standing charge factors'!V52</f>
        <v>0</v>
      </c>
      <c r="W120" s="144">
        <f>'Standing charge factors'!W52</f>
        <v>0</v>
      </c>
      <c r="X120" s="144">
        <f>'Standing charge factors'!X52</f>
        <v>0</v>
      </c>
      <c r="Y120" s="144">
        <f>'Standing charge factors'!Y52</f>
        <v>0</v>
      </c>
      <c r="Z120" s="144">
        <f>'Standing charge factors'!Z52</f>
        <v>0</v>
      </c>
      <c r="AA120" s="144">
        <f>'Standing charge factors'!AA52</f>
        <v>0</v>
      </c>
      <c r="AB120" s="144">
        <f>'Standing charge factors'!AB52</f>
        <v>0</v>
      </c>
      <c r="AC120" s="144">
        <f>'Standing charge factors'!AC52</f>
        <v>0</v>
      </c>
      <c r="AD120" s="144">
        <f>'Standing charge factors'!AD52</f>
        <v>0</v>
      </c>
      <c r="AE120" s="144">
        <f>'Standing charge factors'!AE52</f>
        <v>0</v>
      </c>
      <c r="AF120" s="144">
        <f>'Standing charge factors'!AF52</f>
        <v>0</v>
      </c>
      <c r="AG120" s="144">
        <f>'Standing charge factors'!AG52</f>
        <v>0</v>
      </c>
      <c r="AH120" s="144">
        <f>'Standing charge factors'!AH52</f>
        <v>0</v>
      </c>
      <c r="AI120" s="144">
        <f>'Standing charge factors'!AI52</f>
        <v>0</v>
      </c>
      <c r="AJ120" s="144">
        <f>'Standing charge factors'!AJ52</f>
        <v>0</v>
      </c>
      <c r="AK120" s="144">
        <f>'Standing charge factors'!AK52</f>
        <v>0</v>
      </c>
      <c r="AL120" s="144">
        <f>'Standing charge factors'!AL52</f>
        <v>0</v>
      </c>
      <c r="AM120" s="144">
        <f>'Standing charge factors'!AM52</f>
        <v>0</v>
      </c>
      <c r="AN120" s="144">
        <f>'Standing charge factors'!AN52</f>
        <v>0</v>
      </c>
      <c r="AO120" s="144">
        <f>'Standing charge factors'!AO52</f>
        <v>0</v>
      </c>
      <c r="AP120" s="144">
        <f>'Standing charge factors'!AP52</f>
        <v>0</v>
      </c>
      <c r="BG120" s="3"/>
    </row>
    <row r="122" spans="2:59" x14ac:dyDescent="0.25">
      <c r="B122" s="30" t="s">
        <v>780</v>
      </c>
      <c r="C122" s="30"/>
      <c r="D122" s="30"/>
      <c r="E122" s="30"/>
      <c r="F122" s="30"/>
      <c r="G122" s="30"/>
      <c r="H122" s="30"/>
      <c r="I122" s="30"/>
      <c r="J122" s="30"/>
      <c r="K122" s="30"/>
      <c r="L122" s="30"/>
      <c r="M122" s="30"/>
      <c r="N122" s="30"/>
      <c r="O122" s="30"/>
      <c r="P122" s="30"/>
      <c r="Q122" s="30"/>
      <c r="R122" s="30"/>
      <c r="S122" s="30"/>
      <c r="T122" s="30"/>
      <c r="U122" s="30"/>
      <c r="V122" s="30"/>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row>
    <row r="124" spans="2:59" x14ac:dyDescent="0.25">
      <c r="C124" s="31" t="str">
        <f ca="1">INDEX('Version control'!$H$34:$H$56,MATCH($A$1,'Version control'!$F$34:$F$56,0),1)&amp;"-E: Contributions to unit rate 1 p/kWh by network level (taking account of standing charges)"</f>
        <v>Section 111-E: Contributions to unit rate 1 p/kWh by network level (taking account of standing charges)</v>
      </c>
      <c r="D124" s="31"/>
      <c r="E124" s="31"/>
      <c r="F124" s="31"/>
      <c r="G124" s="31"/>
      <c r="H124" s="31"/>
      <c r="I124" s="31"/>
      <c r="J124" s="31"/>
      <c r="K124" s="31"/>
      <c r="L124" s="31"/>
      <c r="M124" s="31"/>
      <c r="N124" s="31"/>
      <c r="O124" s="31"/>
      <c r="P124" s="31"/>
      <c r="Q124" s="31"/>
      <c r="R124" s="31"/>
      <c r="S124" s="31"/>
      <c r="T124" s="31"/>
      <c r="U124" s="31"/>
      <c r="V124" s="31"/>
      <c r="W124" s="31"/>
      <c r="X124" s="31"/>
      <c r="Y124" s="31"/>
      <c r="Z124" s="31"/>
      <c r="AA124" s="31"/>
      <c r="AB124" s="31"/>
      <c r="AC124" s="31"/>
      <c r="AD124" s="31"/>
      <c r="AE124" s="31"/>
      <c r="AF124" s="31"/>
      <c r="AG124" s="31"/>
      <c r="AH124" s="31"/>
      <c r="AI124" s="31"/>
      <c r="AJ124" s="31"/>
      <c r="AK124" s="31"/>
      <c r="AL124" s="31"/>
      <c r="AM124" s="31"/>
      <c r="AN124" s="31"/>
      <c r="AO124" s="31"/>
      <c r="AP124" s="31"/>
      <c r="AQ124" s="31"/>
      <c r="AR124" s="31"/>
    </row>
    <row r="125" spans="2:59" x14ac:dyDescent="0.25">
      <c r="C125" s="32"/>
      <c r="D125"/>
      <c r="E125" s="32"/>
      <c r="I125" t="s">
        <v>190</v>
      </c>
      <c r="AR125" t="s">
        <v>781</v>
      </c>
    </row>
    <row r="126" spans="2:59" x14ac:dyDescent="0.25">
      <c r="E126" s="32" t="s">
        <v>733</v>
      </c>
    </row>
    <row r="127" spans="2:59" x14ac:dyDescent="0.25">
      <c r="F127" s="23" t="s">
        <v>225</v>
      </c>
      <c r="G127" s="23" t="s">
        <v>327</v>
      </c>
      <c r="H127" s="302"/>
      <c r="I127" s="302"/>
      <c r="J127" s="321">
        <f t="shared" ref="J127:AP127" si="0">J22 * (1 - J$112)</f>
        <v>0</v>
      </c>
      <c r="K127" s="321">
        <f t="shared" si="0"/>
        <v>0</v>
      </c>
      <c r="L127" s="321">
        <f t="shared" si="0"/>
        <v>0</v>
      </c>
      <c r="M127" s="321">
        <f t="shared" si="0"/>
        <v>0</v>
      </c>
      <c r="N127" s="321">
        <f t="shared" si="0"/>
        <v>0</v>
      </c>
      <c r="O127" s="321">
        <f t="shared" si="0"/>
        <v>0</v>
      </c>
      <c r="P127" s="321">
        <f t="shared" si="0"/>
        <v>0</v>
      </c>
      <c r="Q127" s="321">
        <f t="shared" si="0"/>
        <v>0</v>
      </c>
      <c r="R127" s="321">
        <f t="shared" si="0"/>
        <v>0</v>
      </c>
      <c r="S127" s="321">
        <f t="shared" si="0"/>
        <v>0</v>
      </c>
      <c r="T127" s="321">
        <f t="shared" si="0"/>
        <v>0</v>
      </c>
      <c r="U127" s="321">
        <f t="shared" si="0"/>
        <v>0</v>
      </c>
      <c r="V127" s="321">
        <f t="shared" si="0"/>
        <v>0</v>
      </c>
      <c r="W127" s="321">
        <f t="shared" si="0"/>
        <v>0</v>
      </c>
      <c r="X127" s="321">
        <f t="shared" si="0"/>
        <v>0</v>
      </c>
      <c r="Y127" s="321">
        <f t="shared" si="0"/>
        <v>0</v>
      </c>
      <c r="Z127" s="321">
        <f t="shared" si="0"/>
        <v>0</v>
      </c>
      <c r="AA127" s="321">
        <f t="shared" si="0"/>
        <v>0</v>
      </c>
      <c r="AB127" s="321">
        <f t="shared" si="0"/>
        <v>0</v>
      </c>
      <c r="AC127" s="321">
        <f t="shared" si="0"/>
        <v>0</v>
      </c>
      <c r="AD127" s="321">
        <f t="shared" si="0"/>
        <v>0</v>
      </c>
      <c r="AE127" s="321">
        <f t="shared" si="0"/>
        <v>0</v>
      </c>
      <c r="AF127" s="321">
        <f t="shared" si="0"/>
        <v>0</v>
      </c>
      <c r="AG127" s="321">
        <f t="shared" si="0"/>
        <v>0</v>
      </c>
      <c r="AH127" s="321">
        <f t="shared" si="0"/>
        <v>0</v>
      </c>
      <c r="AI127" s="321">
        <f t="shared" si="0"/>
        <v>0</v>
      </c>
      <c r="AJ127" s="321">
        <f t="shared" si="0"/>
        <v>0</v>
      </c>
      <c r="AK127" s="321">
        <f t="shared" si="0"/>
        <v>0</v>
      </c>
      <c r="AL127" s="321">
        <f t="shared" si="0"/>
        <v>0</v>
      </c>
      <c r="AM127" s="321">
        <f t="shared" si="0"/>
        <v>0</v>
      </c>
      <c r="AN127" s="321">
        <f t="shared" si="0"/>
        <v>0</v>
      </c>
      <c r="AO127" s="321">
        <f t="shared" si="0"/>
        <v>0</v>
      </c>
      <c r="AP127" s="321">
        <f t="shared" si="0"/>
        <v>0</v>
      </c>
      <c r="AQ127" s="304"/>
      <c r="AR127" s="304"/>
    </row>
    <row r="128" spans="2:59" x14ac:dyDescent="0.25">
      <c r="F128" t="s">
        <v>227</v>
      </c>
      <c r="G128" t="s">
        <v>327</v>
      </c>
      <c r="H128" s="304"/>
      <c r="I128" s="304"/>
      <c r="J128" s="322">
        <f t="shared" ref="J128:AP128" si="1">J23 * (1 - J$112)</f>
        <v>0</v>
      </c>
      <c r="K128" s="322">
        <f t="shared" si="1"/>
        <v>0</v>
      </c>
      <c r="L128" s="322">
        <f t="shared" si="1"/>
        <v>0</v>
      </c>
      <c r="M128" s="322">
        <f t="shared" si="1"/>
        <v>0</v>
      </c>
      <c r="N128" s="322">
        <f t="shared" si="1"/>
        <v>0</v>
      </c>
      <c r="O128" s="322">
        <f t="shared" si="1"/>
        <v>0</v>
      </c>
      <c r="P128" s="322">
        <f t="shared" si="1"/>
        <v>0</v>
      </c>
      <c r="Q128" s="322">
        <f t="shared" si="1"/>
        <v>0</v>
      </c>
      <c r="R128" s="322">
        <f t="shared" si="1"/>
        <v>0</v>
      </c>
      <c r="S128" s="322">
        <f t="shared" si="1"/>
        <v>0</v>
      </c>
      <c r="T128" s="322">
        <f t="shared" si="1"/>
        <v>0</v>
      </c>
      <c r="U128" s="322">
        <f t="shared" si="1"/>
        <v>0</v>
      </c>
      <c r="V128" s="322">
        <f t="shared" si="1"/>
        <v>0</v>
      </c>
      <c r="W128" s="322">
        <f t="shared" si="1"/>
        <v>0</v>
      </c>
      <c r="X128" s="322">
        <f t="shared" si="1"/>
        <v>0</v>
      </c>
      <c r="Y128" s="322">
        <f t="shared" si="1"/>
        <v>0</v>
      </c>
      <c r="Z128" s="322">
        <f t="shared" si="1"/>
        <v>0</v>
      </c>
      <c r="AA128" s="322">
        <f t="shared" si="1"/>
        <v>0</v>
      </c>
      <c r="AB128" s="322">
        <f t="shared" si="1"/>
        <v>0</v>
      </c>
      <c r="AC128" s="322">
        <f t="shared" si="1"/>
        <v>0</v>
      </c>
      <c r="AD128" s="322">
        <f t="shared" si="1"/>
        <v>0</v>
      </c>
      <c r="AE128" s="322">
        <f t="shared" si="1"/>
        <v>0</v>
      </c>
      <c r="AF128" s="322">
        <f t="shared" si="1"/>
        <v>0</v>
      </c>
      <c r="AG128" s="322">
        <f t="shared" si="1"/>
        <v>0</v>
      </c>
      <c r="AH128" s="322">
        <f t="shared" si="1"/>
        <v>0</v>
      </c>
      <c r="AI128" s="322">
        <f t="shared" si="1"/>
        <v>0</v>
      </c>
      <c r="AJ128" s="322">
        <f t="shared" si="1"/>
        <v>0</v>
      </c>
      <c r="AK128" s="322">
        <f t="shared" si="1"/>
        <v>0</v>
      </c>
      <c r="AL128" s="322">
        <f t="shared" si="1"/>
        <v>0</v>
      </c>
      <c r="AM128" s="322">
        <f t="shared" si="1"/>
        <v>0</v>
      </c>
      <c r="AN128" s="322">
        <f t="shared" si="1"/>
        <v>0</v>
      </c>
      <c r="AO128" s="322">
        <f t="shared" si="1"/>
        <v>0</v>
      </c>
      <c r="AP128" s="322">
        <f t="shared" si="1"/>
        <v>0</v>
      </c>
      <c r="AQ128" s="304"/>
      <c r="AR128" s="304"/>
    </row>
    <row r="129" spans="4:44" x14ac:dyDescent="0.25">
      <c r="F129" t="s">
        <v>228</v>
      </c>
      <c r="G129" t="s">
        <v>327</v>
      </c>
      <c r="H129" s="304"/>
      <c r="I129" s="304"/>
      <c r="J129" s="322">
        <f t="shared" ref="J129:AP129" si="2">J24 * (1 - J$113)</f>
        <v>0</v>
      </c>
      <c r="K129" s="322">
        <f t="shared" si="2"/>
        <v>0</v>
      </c>
      <c r="L129" s="322">
        <f t="shared" si="2"/>
        <v>0</v>
      </c>
      <c r="M129" s="322">
        <f t="shared" si="2"/>
        <v>0</v>
      </c>
      <c r="N129" s="322">
        <f t="shared" si="2"/>
        <v>0</v>
      </c>
      <c r="O129" s="322">
        <f t="shared" si="2"/>
        <v>0</v>
      </c>
      <c r="P129" s="322">
        <f t="shared" si="2"/>
        <v>0</v>
      </c>
      <c r="Q129" s="322">
        <f t="shared" si="2"/>
        <v>0</v>
      </c>
      <c r="R129" s="322">
        <f t="shared" si="2"/>
        <v>0</v>
      </c>
      <c r="S129" s="322">
        <f t="shared" si="2"/>
        <v>0</v>
      </c>
      <c r="T129" s="322">
        <f t="shared" si="2"/>
        <v>0</v>
      </c>
      <c r="U129" s="322">
        <f t="shared" si="2"/>
        <v>0</v>
      </c>
      <c r="V129" s="322">
        <f t="shared" si="2"/>
        <v>0</v>
      </c>
      <c r="W129" s="322">
        <f t="shared" si="2"/>
        <v>0</v>
      </c>
      <c r="X129" s="322">
        <f t="shared" si="2"/>
        <v>0</v>
      </c>
      <c r="Y129" s="322">
        <f t="shared" si="2"/>
        <v>0</v>
      </c>
      <c r="Z129" s="322">
        <f t="shared" si="2"/>
        <v>0</v>
      </c>
      <c r="AA129" s="322">
        <f t="shared" si="2"/>
        <v>0</v>
      </c>
      <c r="AB129" s="322">
        <f t="shared" si="2"/>
        <v>0</v>
      </c>
      <c r="AC129" s="322">
        <f t="shared" si="2"/>
        <v>0</v>
      </c>
      <c r="AD129" s="322">
        <f t="shared" si="2"/>
        <v>0</v>
      </c>
      <c r="AE129" s="322">
        <f t="shared" si="2"/>
        <v>0</v>
      </c>
      <c r="AF129" s="322">
        <f t="shared" si="2"/>
        <v>0</v>
      </c>
      <c r="AG129" s="322">
        <f t="shared" si="2"/>
        <v>0</v>
      </c>
      <c r="AH129" s="322">
        <f t="shared" si="2"/>
        <v>0</v>
      </c>
      <c r="AI129" s="322">
        <f t="shared" si="2"/>
        <v>0</v>
      </c>
      <c r="AJ129" s="322">
        <f t="shared" si="2"/>
        <v>0</v>
      </c>
      <c r="AK129" s="322">
        <f t="shared" si="2"/>
        <v>0</v>
      </c>
      <c r="AL129" s="322">
        <f t="shared" si="2"/>
        <v>0</v>
      </c>
      <c r="AM129" s="322">
        <f t="shared" si="2"/>
        <v>0</v>
      </c>
      <c r="AN129" s="322">
        <f t="shared" si="2"/>
        <v>0</v>
      </c>
      <c r="AO129" s="322">
        <f t="shared" si="2"/>
        <v>0</v>
      </c>
      <c r="AP129" s="322">
        <f t="shared" si="2"/>
        <v>0</v>
      </c>
      <c r="AQ129" s="304"/>
      <c r="AR129" s="304"/>
    </row>
    <row r="130" spans="4:44" x14ac:dyDescent="0.25">
      <c r="F130" t="s">
        <v>229</v>
      </c>
      <c r="G130" t="s">
        <v>327</v>
      </c>
      <c r="H130" s="304"/>
      <c r="I130" s="304"/>
      <c r="J130" s="322">
        <f t="shared" ref="J130:AP130" si="3">J25 * (1 - J$114)</f>
        <v>0</v>
      </c>
      <c r="K130" s="322">
        <f t="shared" si="3"/>
        <v>0</v>
      </c>
      <c r="L130" s="322">
        <f t="shared" si="3"/>
        <v>0</v>
      </c>
      <c r="M130" s="322">
        <f t="shared" si="3"/>
        <v>0</v>
      </c>
      <c r="N130" s="322">
        <f t="shared" si="3"/>
        <v>0</v>
      </c>
      <c r="O130" s="322">
        <f t="shared" si="3"/>
        <v>0</v>
      </c>
      <c r="P130" s="322">
        <f t="shared" si="3"/>
        <v>0</v>
      </c>
      <c r="Q130" s="322">
        <f t="shared" si="3"/>
        <v>0</v>
      </c>
      <c r="R130" s="322">
        <f t="shared" si="3"/>
        <v>0</v>
      </c>
      <c r="S130" s="322">
        <f t="shared" si="3"/>
        <v>0</v>
      </c>
      <c r="T130" s="322">
        <f t="shared" si="3"/>
        <v>0</v>
      </c>
      <c r="U130" s="322">
        <f t="shared" si="3"/>
        <v>0</v>
      </c>
      <c r="V130" s="322">
        <f t="shared" si="3"/>
        <v>0</v>
      </c>
      <c r="W130" s="322">
        <f t="shared" si="3"/>
        <v>0</v>
      </c>
      <c r="X130" s="322">
        <f t="shared" si="3"/>
        <v>0</v>
      </c>
      <c r="Y130" s="322">
        <f t="shared" si="3"/>
        <v>0</v>
      </c>
      <c r="Z130" s="322">
        <f t="shared" si="3"/>
        <v>0</v>
      </c>
      <c r="AA130" s="322">
        <f t="shared" si="3"/>
        <v>0</v>
      </c>
      <c r="AB130" s="322">
        <f t="shared" si="3"/>
        <v>0</v>
      </c>
      <c r="AC130" s="322">
        <f t="shared" si="3"/>
        <v>0</v>
      </c>
      <c r="AD130" s="322">
        <f t="shared" si="3"/>
        <v>0</v>
      </c>
      <c r="AE130" s="322">
        <f t="shared" si="3"/>
        <v>0</v>
      </c>
      <c r="AF130" s="322">
        <f t="shared" si="3"/>
        <v>0</v>
      </c>
      <c r="AG130" s="322">
        <f t="shared" si="3"/>
        <v>0</v>
      </c>
      <c r="AH130" s="322">
        <f t="shared" si="3"/>
        <v>0</v>
      </c>
      <c r="AI130" s="322">
        <f t="shared" si="3"/>
        <v>0</v>
      </c>
      <c r="AJ130" s="322">
        <f t="shared" si="3"/>
        <v>0</v>
      </c>
      <c r="AK130" s="322">
        <f t="shared" si="3"/>
        <v>0</v>
      </c>
      <c r="AL130" s="322">
        <f t="shared" si="3"/>
        <v>0</v>
      </c>
      <c r="AM130" s="322">
        <f t="shared" si="3"/>
        <v>0</v>
      </c>
      <c r="AN130" s="322">
        <f t="shared" si="3"/>
        <v>0</v>
      </c>
      <c r="AO130" s="322">
        <f t="shared" si="3"/>
        <v>0</v>
      </c>
      <c r="AP130" s="322">
        <f t="shared" si="3"/>
        <v>0</v>
      </c>
      <c r="AQ130" s="304"/>
      <c r="AR130" s="304"/>
    </row>
    <row r="131" spans="4:44" x14ac:dyDescent="0.25">
      <c r="F131" t="s">
        <v>230</v>
      </c>
      <c r="G131" t="s">
        <v>327</v>
      </c>
      <c r="H131" s="304"/>
      <c r="I131" s="304"/>
      <c r="J131" s="322">
        <f t="shared" ref="J131:AP131" si="4">J26 * (1 - J$115)</f>
        <v>0.17889718427478851</v>
      </c>
      <c r="K131" s="322">
        <f t="shared" si="4"/>
        <v>0.20664134615633994</v>
      </c>
      <c r="L131" s="322">
        <f t="shared" si="4"/>
        <v>7.1520946310332498E-2</v>
      </c>
      <c r="M131" s="322">
        <f t="shared" si="4"/>
        <v>0.18420815783087982</v>
      </c>
      <c r="N131" s="322">
        <f t="shared" si="4"/>
        <v>0.19972006770306797</v>
      </c>
      <c r="O131" s="322">
        <f t="shared" si="4"/>
        <v>6.4935681506658419E-2</v>
      </c>
      <c r="P131" s="322">
        <f t="shared" si="4"/>
        <v>0.17326453977290304</v>
      </c>
      <c r="Q131" s="322">
        <f t="shared" si="4"/>
        <v>0.13675492529196476</v>
      </c>
      <c r="R131" s="322">
        <f t="shared" si="4"/>
        <v>0.14819310656938398</v>
      </c>
      <c r="S131" s="322">
        <f t="shared" si="4"/>
        <v>0.74579592562287644</v>
      </c>
      <c r="T131" s="322">
        <f t="shared" si="4"/>
        <v>0.81522571798329779</v>
      </c>
      <c r="U131" s="322">
        <f t="shared" si="4"/>
        <v>0.64746405409048546</v>
      </c>
      <c r="V131" s="322">
        <f t="shared" si="4"/>
        <v>0.62327085203520471</v>
      </c>
      <c r="W131" s="322">
        <f t="shared" si="4"/>
        <v>0.46105748251896811</v>
      </c>
      <c r="X131" s="322">
        <f t="shared" si="4"/>
        <v>0.10184180735277856</v>
      </c>
      <c r="Y131" s="322">
        <f t="shared" si="4"/>
        <v>0.10678712142205964</v>
      </c>
      <c r="Z131" s="322">
        <f t="shared" si="4"/>
        <v>0.16726272808180856</v>
      </c>
      <c r="AA131" s="322">
        <f t="shared" si="4"/>
        <v>0.10297184219502425</v>
      </c>
      <c r="AB131" s="322">
        <f t="shared" si="4"/>
        <v>1.1508028728166</v>
      </c>
      <c r="AC131" s="322">
        <f t="shared" si="4"/>
        <v>-0.10571714383350229</v>
      </c>
      <c r="AD131" s="322">
        <f t="shared" si="4"/>
        <v>-0.10251653305689165</v>
      </c>
      <c r="AE131" s="322">
        <f t="shared" si="4"/>
        <v>-0.10571714383350229</v>
      </c>
      <c r="AF131" s="322">
        <f t="shared" si="4"/>
        <v>-0.10571714383350229</v>
      </c>
      <c r="AG131" s="322">
        <f t="shared" si="4"/>
        <v>-0.54405849654084415</v>
      </c>
      <c r="AH131" s="322">
        <f t="shared" si="4"/>
        <v>-0.54405849654084415</v>
      </c>
      <c r="AI131" s="322">
        <f t="shared" si="4"/>
        <v>-0.10251653305689165</v>
      </c>
      <c r="AJ131" s="322">
        <f t="shared" si="4"/>
        <v>-0.10251653305689165</v>
      </c>
      <c r="AK131" s="322">
        <f t="shared" si="4"/>
        <v>-0.52758700077401099</v>
      </c>
      <c r="AL131" s="322">
        <f t="shared" si="4"/>
        <v>-0.52758700077401099</v>
      </c>
      <c r="AM131" s="322">
        <f t="shared" si="4"/>
        <v>-9.9850951993363149E-2</v>
      </c>
      <c r="AN131" s="322">
        <f t="shared" si="4"/>
        <v>-9.9850951993363149E-2</v>
      </c>
      <c r="AO131" s="322">
        <f t="shared" si="4"/>
        <v>-0.51386896060339238</v>
      </c>
      <c r="AP131" s="322">
        <f t="shared" si="4"/>
        <v>-0.51386896060339238</v>
      </c>
      <c r="AQ131" s="304"/>
      <c r="AR131" s="304"/>
    </row>
    <row r="132" spans="4:44" x14ac:dyDescent="0.25">
      <c r="F132" t="s">
        <v>231</v>
      </c>
      <c r="G132" t="s">
        <v>327</v>
      </c>
      <c r="H132" s="304"/>
      <c r="I132" s="304"/>
      <c r="J132" s="322">
        <f t="shared" ref="J132:AP132" si="5">J27 * (1 - J$116)</f>
        <v>0.16223566934743014</v>
      </c>
      <c r="K132" s="322">
        <f t="shared" si="5"/>
        <v>0.18739589023957798</v>
      </c>
      <c r="L132" s="322">
        <f t="shared" si="5"/>
        <v>6.4859872691990825E-2</v>
      </c>
      <c r="M132" s="322">
        <f t="shared" si="5"/>
        <v>0.16705200758803376</v>
      </c>
      <c r="N132" s="322">
        <f t="shared" si="5"/>
        <v>0.18111922217932624</v>
      </c>
      <c r="O132" s="322">
        <f t="shared" si="5"/>
        <v>5.8887923789692202E-2</v>
      </c>
      <c r="P132" s="322">
        <f t="shared" si="5"/>
        <v>0.15712761885091769</v>
      </c>
      <c r="Q132" s="322">
        <f t="shared" si="5"/>
        <v>0.12401831214526493</v>
      </c>
      <c r="R132" s="322">
        <f t="shared" si="5"/>
        <v>0</v>
      </c>
      <c r="S132" s="322">
        <f t="shared" si="5"/>
        <v>0.67633653196108479</v>
      </c>
      <c r="T132" s="322">
        <f t="shared" si="5"/>
        <v>0.73930000945743501</v>
      </c>
      <c r="U132" s="322">
        <f t="shared" si="5"/>
        <v>0.58716275842790822</v>
      </c>
      <c r="V132" s="322">
        <f t="shared" si="5"/>
        <v>0.56522278019400118</v>
      </c>
      <c r="W132" s="322">
        <f t="shared" si="5"/>
        <v>0</v>
      </c>
      <c r="X132" s="322">
        <f t="shared" si="5"/>
        <v>9.2356812939277305E-2</v>
      </c>
      <c r="Y132" s="322">
        <f t="shared" si="5"/>
        <v>9.6841547237446701E-2</v>
      </c>
      <c r="Z132" s="322">
        <f t="shared" si="5"/>
        <v>0.15168478339797775</v>
      </c>
      <c r="AA132" s="322">
        <f t="shared" si="5"/>
        <v>9.3381602456009141E-2</v>
      </c>
      <c r="AB132" s="322">
        <f t="shared" si="5"/>
        <v>1.0436233254044451</v>
      </c>
      <c r="AC132" s="322">
        <f t="shared" si="5"/>
        <v>-9.5871221567034162E-2</v>
      </c>
      <c r="AD132" s="322">
        <f t="shared" si="5"/>
        <v>-9.2968698345279904E-2</v>
      </c>
      <c r="AE132" s="322">
        <f t="shared" si="5"/>
        <v>-9.5871221567034162E-2</v>
      </c>
      <c r="AF132" s="322">
        <f t="shared" si="5"/>
        <v>-9.5871221567034162E-2</v>
      </c>
      <c r="AG132" s="322">
        <f t="shared" si="5"/>
        <v>-0.49338783451662949</v>
      </c>
      <c r="AH132" s="322">
        <f t="shared" si="5"/>
        <v>-0.49338783451662949</v>
      </c>
      <c r="AI132" s="322">
        <f t="shared" si="5"/>
        <v>-9.2968698345279904E-2</v>
      </c>
      <c r="AJ132" s="322">
        <f t="shared" si="5"/>
        <v>-9.2968698345279904E-2</v>
      </c>
      <c r="AK132" s="322">
        <f t="shared" si="5"/>
        <v>-0.47845040466429123</v>
      </c>
      <c r="AL132" s="322">
        <f t="shared" si="5"/>
        <v>-0.47845040466429123</v>
      </c>
      <c r="AM132" s="322">
        <f t="shared" si="5"/>
        <v>-9.0722414369106955E-2</v>
      </c>
      <c r="AN132" s="322">
        <f t="shared" si="5"/>
        <v>-9.0722414369106955E-2</v>
      </c>
      <c r="AO132" s="322">
        <f t="shared" si="5"/>
        <v>-0.46689021831641558</v>
      </c>
      <c r="AP132" s="322">
        <f t="shared" si="5"/>
        <v>-0.46689021831641558</v>
      </c>
      <c r="AQ132" s="304"/>
      <c r="AR132" s="304"/>
    </row>
    <row r="133" spans="4:44" x14ac:dyDescent="0.25">
      <c r="F133" t="s">
        <v>232</v>
      </c>
      <c r="G133" t="s">
        <v>327</v>
      </c>
      <c r="H133" s="304"/>
      <c r="I133" s="304"/>
      <c r="J133" s="322">
        <f t="shared" ref="J133:AP133" si="6">J28 * (1 - J$117)</f>
        <v>0</v>
      </c>
      <c r="K133" s="322">
        <f t="shared" si="6"/>
        <v>0</v>
      </c>
      <c r="L133" s="322">
        <f t="shared" si="6"/>
        <v>0</v>
      </c>
      <c r="M133" s="322">
        <f t="shared" si="6"/>
        <v>0</v>
      </c>
      <c r="N133" s="322">
        <f t="shared" si="6"/>
        <v>0</v>
      </c>
      <c r="O133" s="322">
        <f t="shared" si="6"/>
        <v>0</v>
      </c>
      <c r="P133" s="322">
        <f t="shared" si="6"/>
        <v>0</v>
      </c>
      <c r="Q133" s="322">
        <f t="shared" si="6"/>
        <v>0</v>
      </c>
      <c r="R133" s="322">
        <f t="shared" si="6"/>
        <v>0</v>
      </c>
      <c r="S133" s="322">
        <f t="shared" si="6"/>
        <v>0</v>
      </c>
      <c r="T133" s="322">
        <f t="shared" si="6"/>
        <v>0</v>
      </c>
      <c r="U133" s="322">
        <f t="shared" si="6"/>
        <v>0</v>
      </c>
      <c r="V133" s="322">
        <f t="shared" si="6"/>
        <v>0</v>
      </c>
      <c r="W133" s="322">
        <f t="shared" si="6"/>
        <v>0</v>
      </c>
      <c r="X133" s="322">
        <f t="shared" si="6"/>
        <v>0</v>
      </c>
      <c r="Y133" s="322">
        <f t="shared" si="6"/>
        <v>0</v>
      </c>
      <c r="Z133" s="322">
        <f t="shared" si="6"/>
        <v>0</v>
      </c>
      <c r="AA133" s="322">
        <f t="shared" si="6"/>
        <v>0</v>
      </c>
      <c r="AB133" s="322">
        <f t="shared" si="6"/>
        <v>0</v>
      </c>
      <c r="AC133" s="322">
        <f t="shared" si="6"/>
        <v>0</v>
      </c>
      <c r="AD133" s="322">
        <f t="shared" si="6"/>
        <v>0</v>
      </c>
      <c r="AE133" s="322">
        <f t="shared" si="6"/>
        <v>0</v>
      </c>
      <c r="AF133" s="322">
        <f t="shared" si="6"/>
        <v>0</v>
      </c>
      <c r="AG133" s="322">
        <f t="shared" si="6"/>
        <v>0</v>
      </c>
      <c r="AH133" s="322">
        <f t="shared" si="6"/>
        <v>0</v>
      </c>
      <c r="AI133" s="322">
        <f t="shared" si="6"/>
        <v>0</v>
      </c>
      <c r="AJ133" s="322">
        <f t="shared" si="6"/>
        <v>0</v>
      </c>
      <c r="AK133" s="322">
        <f t="shared" si="6"/>
        <v>0</v>
      </c>
      <c r="AL133" s="322">
        <f t="shared" si="6"/>
        <v>0</v>
      </c>
      <c r="AM133" s="322">
        <f t="shared" si="6"/>
        <v>0</v>
      </c>
      <c r="AN133" s="322">
        <f t="shared" si="6"/>
        <v>0</v>
      </c>
      <c r="AO133" s="322">
        <f t="shared" si="6"/>
        <v>0</v>
      </c>
      <c r="AP133" s="322">
        <f t="shared" si="6"/>
        <v>0</v>
      </c>
      <c r="AQ133" s="304"/>
      <c r="AR133" s="304"/>
    </row>
    <row r="134" spans="4:44" x14ac:dyDescent="0.25">
      <c r="F134" t="s">
        <v>233</v>
      </c>
      <c r="G134" t="s">
        <v>327</v>
      </c>
      <c r="H134" s="304"/>
      <c r="I134" s="304"/>
      <c r="J134" s="322">
        <f t="shared" ref="J134:AP134" si="7">J29 * (1 - J$118)</f>
        <v>0.38693974535987291</v>
      </c>
      <c r="K134" s="322">
        <f t="shared" si="7"/>
        <v>0.44694806230007134</v>
      </c>
      <c r="L134" s="322">
        <f t="shared" si="7"/>
        <v>0.15469386432996671</v>
      </c>
      <c r="M134" s="322">
        <f t="shared" si="7"/>
        <v>0.39842693988301547</v>
      </c>
      <c r="N134" s="322">
        <f t="shared" si="7"/>
        <v>0.43197791208149544</v>
      </c>
      <c r="O134" s="322">
        <f t="shared" si="7"/>
        <v>0.1404504837167366</v>
      </c>
      <c r="P134" s="322">
        <f t="shared" si="7"/>
        <v>0.37475680330800398</v>
      </c>
      <c r="Q134" s="322">
        <f t="shared" si="7"/>
        <v>0.29578954070010238</v>
      </c>
      <c r="R134" s="322">
        <f t="shared" si="7"/>
        <v>0</v>
      </c>
      <c r="S134" s="322">
        <f t="shared" si="7"/>
        <v>1.6130946203585104</v>
      </c>
      <c r="T134" s="322">
        <f t="shared" si="7"/>
        <v>1.7632654924448203</v>
      </c>
      <c r="U134" s="322">
        <f t="shared" si="7"/>
        <v>1.1203287619535769</v>
      </c>
      <c r="V134" s="322">
        <f t="shared" si="7"/>
        <v>0</v>
      </c>
      <c r="W134" s="322">
        <f t="shared" si="7"/>
        <v>0</v>
      </c>
      <c r="X134" s="322">
        <f t="shared" si="7"/>
        <v>0.22027536746215201</v>
      </c>
      <c r="Y134" s="322">
        <f t="shared" si="7"/>
        <v>0.23097167089727477</v>
      </c>
      <c r="Z134" s="322">
        <f t="shared" si="7"/>
        <v>0.361775383299275</v>
      </c>
      <c r="AA134" s="322">
        <f t="shared" si="7"/>
        <v>0.22271953893348551</v>
      </c>
      <c r="AB134" s="322">
        <f t="shared" si="7"/>
        <v>2.4890909958822589</v>
      </c>
      <c r="AC134" s="322">
        <f t="shared" si="7"/>
        <v>-0.22865739827562631</v>
      </c>
      <c r="AD134" s="322">
        <f t="shared" si="7"/>
        <v>-0.22173474309847427</v>
      </c>
      <c r="AE134" s="322">
        <f t="shared" si="7"/>
        <v>-0.22865739827562631</v>
      </c>
      <c r="AF134" s="322">
        <f t="shared" si="7"/>
        <v>-0.22865739827562631</v>
      </c>
      <c r="AG134" s="322">
        <f t="shared" si="7"/>
        <v>-1.1767533232330318</v>
      </c>
      <c r="AH134" s="322">
        <f t="shared" si="7"/>
        <v>-1.1767533232330318</v>
      </c>
      <c r="AI134" s="322">
        <f t="shared" si="7"/>
        <v>-0.22173474309847427</v>
      </c>
      <c r="AJ134" s="322">
        <f t="shared" si="7"/>
        <v>-0.22173474309847427</v>
      </c>
      <c r="AK134" s="322">
        <f t="shared" si="7"/>
        <v>-1.1411268464746003</v>
      </c>
      <c r="AL134" s="322">
        <f t="shared" si="7"/>
        <v>-1.1411268464746003</v>
      </c>
      <c r="AM134" s="322">
        <f t="shared" si="7"/>
        <v>0</v>
      </c>
      <c r="AN134" s="322">
        <f t="shared" si="7"/>
        <v>0</v>
      </c>
      <c r="AO134" s="322">
        <f t="shared" si="7"/>
        <v>0</v>
      </c>
      <c r="AP134" s="322">
        <f t="shared" si="7"/>
        <v>0</v>
      </c>
      <c r="AQ134" s="304"/>
      <c r="AR134" s="304"/>
    </row>
    <row r="135" spans="4:44" x14ac:dyDescent="0.25">
      <c r="F135" t="s">
        <v>234</v>
      </c>
      <c r="G135" t="s">
        <v>327</v>
      </c>
      <c r="H135" s="304"/>
      <c r="I135" s="304"/>
      <c r="J135" s="322">
        <f t="shared" ref="J135:AP135" si="8">J30 * (1 - J$119)</f>
        <v>3.5438392833872713E-2</v>
      </c>
      <c r="K135" s="322">
        <f t="shared" si="8"/>
        <v>4.0934334603949733E-2</v>
      </c>
      <c r="L135" s="322">
        <f t="shared" si="8"/>
        <v>1.4167843957245973E-2</v>
      </c>
      <c r="M135" s="322">
        <f t="shared" si="8"/>
        <v>3.6490462870492055E-2</v>
      </c>
      <c r="N135" s="322">
        <f t="shared" si="8"/>
        <v>3.956327342300392E-2</v>
      </c>
      <c r="O135" s="322">
        <f t="shared" si="8"/>
        <v>1.2863344940261916E-2</v>
      </c>
      <c r="P135" s="322">
        <f t="shared" si="8"/>
        <v>3.4322601831568482E-2</v>
      </c>
      <c r="Q135" s="322">
        <f t="shared" si="8"/>
        <v>0</v>
      </c>
      <c r="R135" s="322">
        <f t="shared" si="8"/>
        <v>0</v>
      </c>
      <c r="S135" s="322">
        <f t="shared" si="8"/>
        <v>0.14773742299671222</v>
      </c>
      <c r="T135" s="322">
        <f t="shared" si="8"/>
        <v>0.16149102267474574</v>
      </c>
      <c r="U135" s="322">
        <f t="shared" si="8"/>
        <v>0</v>
      </c>
      <c r="V135" s="322">
        <f t="shared" si="8"/>
        <v>0</v>
      </c>
      <c r="W135" s="322">
        <f t="shared" si="8"/>
        <v>0</v>
      </c>
      <c r="X135" s="322">
        <f t="shared" si="8"/>
        <v>2.0174213420462286E-2</v>
      </c>
      <c r="Y135" s="322">
        <f t="shared" si="8"/>
        <v>2.1153848641578273E-2</v>
      </c>
      <c r="Z135" s="322">
        <f t="shared" si="8"/>
        <v>3.3133681160255765E-2</v>
      </c>
      <c r="AA135" s="322">
        <f t="shared" si="8"/>
        <v>2.039806612567845E-2</v>
      </c>
      <c r="AB135" s="322">
        <f t="shared" si="8"/>
        <v>0.22796671980360117</v>
      </c>
      <c r="AC135" s="322">
        <f t="shared" si="8"/>
        <v>-2.0941892895821584E-2</v>
      </c>
      <c r="AD135" s="322">
        <f t="shared" si="8"/>
        <v>0</v>
      </c>
      <c r="AE135" s="322">
        <f t="shared" si="8"/>
        <v>-2.0941892895821584E-2</v>
      </c>
      <c r="AF135" s="322">
        <f t="shared" si="8"/>
        <v>-2.0941892895821584E-2</v>
      </c>
      <c r="AG135" s="322">
        <f t="shared" si="8"/>
        <v>-0.10777452313282589</v>
      </c>
      <c r="AH135" s="322">
        <f t="shared" si="8"/>
        <v>-0.10777452313282589</v>
      </c>
      <c r="AI135" s="322">
        <f t="shared" si="8"/>
        <v>0</v>
      </c>
      <c r="AJ135" s="322">
        <f t="shared" si="8"/>
        <v>0</v>
      </c>
      <c r="AK135" s="322">
        <f t="shared" si="8"/>
        <v>0</v>
      </c>
      <c r="AL135" s="322">
        <f t="shared" si="8"/>
        <v>0</v>
      </c>
      <c r="AM135" s="322">
        <f t="shared" si="8"/>
        <v>0</v>
      </c>
      <c r="AN135" s="322">
        <f t="shared" si="8"/>
        <v>0</v>
      </c>
      <c r="AO135" s="322">
        <f t="shared" si="8"/>
        <v>0</v>
      </c>
      <c r="AP135" s="322">
        <f t="shared" si="8"/>
        <v>0</v>
      </c>
      <c r="AQ135" s="304"/>
      <c r="AR135" s="304"/>
    </row>
    <row r="136" spans="4:44" x14ac:dyDescent="0.25">
      <c r="F136" t="s">
        <v>235</v>
      </c>
      <c r="G136" t="s">
        <v>327</v>
      </c>
      <c r="H136" s="304"/>
      <c r="I136" s="304"/>
      <c r="J136" s="322">
        <f t="shared" ref="J136:AP136" si="9">J31 * (1 - J$120)</f>
        <v>0</v>
      </c>
      <c r="K136" s="322">
        <f t="shared" si="9"/>
        <v>0</v>
      </c>
      <c r="L136" s="322">
        <f t="shared" si="9"/>
        <v>0</v>
      </c>
      <c r="M136" s="322">
        <f t="shared" si="9"/>
        <v>0</v>
      </c>
      <c r="N136" s="322">
        <f t="shared" si="9"/>
        <v>0</v>
      </c>
      <c r="O136" s="322">
        <f t="shared" si="9"/>
        <v>0</v>
      </c>
      <c r="P136" s="322">
        <f t="shared" si="9"/>
        <v>0</v>
      </c>
      <c r="Q136" s="322">
        <f t="shared" si="9"/>
        <v>0</v>
      </c>
      <c r="R136" s="322">
        <f t="shared" si="9"/>
        <v>0</v>
      </c>
      <c r="S136" s="322">
        <f t="shared" si="9"/>
        <v>0</v>
      </c>
      <c r="T136" s="322">
        <f t="shared" si="9"/>
        <v>0</v>
      </c>
      <c r="U136" s="322">
        <f t="shared" si="9"/>
        <v>0</v>
      </c>
      <c r="V136" s="322">
        <f t="shared" si="9"/>
        <v>0</v>
      </c>
      <c r="W136" s="322">
        <f t="shared" si="9"/>
        <v>0</v>
      </c>
      <c r="X136" s="322">
        <f t="shared" si="9"/>
        <v>7.3265079789459984E-3</v>
      </c>
      <c r="Y136" s="322">
        <f t="shared" si="9"/>
        <v>7.6822742789437477E-3</v>
      </c>
      <c r="Z136" s="322">
        <f t="shared" si="9"/>
        <v>1.2032894385178163E-2</v>
      </c>
      <c r="AA136" s="322">
        <f t="shared" si="9"/>
        <v>7.4078027782372262E-3</v>
      </c>
      <c r="AB136" s="322">
        <f t="shared" si="9"/>
        <v>8.2788853114896754E-2</v>
      </c>
      <c r="AC136" s="322">
        <f t="shared" si="9"/>
        <v>0</v>
      </c>
      <c r="AD136" s="322">
        <f t="shared" si="9"/>
        <v>0</v>
      </c>
      <c r="AE136" s="322">
        <f t="shared" si="9"/>
        <v>0</v>
      </c>
      <c r="AF136" s="322">
        <f t="shared" si="9"/>
        <v>0</v>
      </c>
      <c r="AG136" s="322">
        <f t="shared" si="9"/>
        <v>0</v>
      </c>
      <c r="AH136" s="322">
        <f t="shared" si="9"/>
        <v>0</v>
      </c>
      <c r="AI136" s="322">
        <f t="shared" si="9"/>
        <v>0</v>
      </c>
      <c r="AJ136" s="322">
        <f t="shared" si="9"/>
        <v>0</v>
      </c>
      <c r="AK136" s="322">
        <f t="shared" si="9"/>
        <v>0</v>
      </c>
      <c r="AL136" s="322">
        <f t="shared" si="9"/>
        <v>0</v>
      </c>
      <c r="AM136" s="322">
        <f t="shared" si="9"/>
        <v>0</v>
      </c>
      <c r="AN136" s="322">
        <f t="shared" si="9"/>
        <v>0</v>
      </c>
      <c r="AO136" s="322">
        <f t="shared" si="9"/>
        <v>0</v>
      </c>
      <c r="AP136" s="322">
        <f t="shared" si="9"/>
        <v>0</v>
      </c>
      <c r="AQ136" s="304"/>
      <c r="AR136" s="304"/>
    </row>
    <row r="137" spans="4:44" x14ac:dyDescent="0.25">
      <c r="D137"/>
      <c r="F137" s="23" t="s">
        <v>436</v>
      </c>
      <c r="G137" s="23" t="s">
        <v>327</v>
      </c>
      <c r="H137" s="302"/>
      <c r="I137" s="302"/>
      <c r="J137" s="320"/>
      <c r="K137" s="320"/>
      <c r="L137" s="320"/>
      <c r="M137" s="320"/>
      <c r="N137" s="320"/>
      <c r="O137" s="320"/>
      <c r="P137" s="320"/>
      <c r="Q137" s="320"/>
      <c r="R137" s="320"/>
      <c r="S137" s="320"/>
      <c r="T137" s="320"/>
      <c r="U137" s="320"/>
      <c r="V137" s="320"/>
      <c r="W137" s="320"/>
      <c r="X137" s="320"/>
      <c r="Y137" s="320"/>
      <c r="Z137" s="320"/>
      <c r="AA137" s="320"/>
      <c r="AB137" s="320"/>
      <c r="AC137" s="320"/>
      <c r="AD137" s="320"/>
      <c r="AE137" s="320"/>
      <c r="AF137" s="320"/>
      <c r="AG137" s="320"/>
      <c r="AH137" s="320"/>
      <c r="AI137" s="320"/>
      <c r="AJ137" s="320"/>
      <c r="AK137" s="320"/>
      <c r="AL137" s="320"/>
      <c r="AM137" s="320"/>
      <c r="AN137" s="320"/>
      <c r="AO137" s="320"/>
      <c r="AP137" s="320"/>
      <c r="AQ137" s="304"/>
      <c r="AR137" s="304"/>
    </row>
    <row r="138" spans="4:44" x14ac:dyDescent="0.25">
      <c r="D138"/>
      <c r="F138" s="37" t="s">
        <v>437</v>
      </c>
      <c r="G138" s="37" t="s">
        <v>327</v>
      </c>
      <c r="H138" s="308"/>
      <c r="I138" s="308"/>
      <c r="J138" s="309"/>
      <c r="K138" s="309"/>
      <c r="L138" s="309"/>
      <c r="M138" s="309"/>
      <c r="N138" s="309"/>
      <c r="O138" s="309"/>
      <c r="P138" s="309"/>
      <c r="Q138" s="309"/>
      <c r="R138" s="309"/>
      <c r="S138" s="309"/>
      <c r="T138" s="309"/>
      <c r="U138" s="309"/>
      <c r="V138" s="309"/>
      <c r="W138" s="309"/>
      <c r="X138" s="309"/>
      <c r="Y138" s="309"/>
      <c r="Z138" s="309"/>
      <c r="AA138" s="309"/>
      <c r="AB138" s="309"/>
      <c r="AC138" s="309"/>
      <c r="AD138" s="309"/>
      <c r="AE138" s="309"/>
      <c r="AF138" s="309"/>
      <c r="AG138" s="309"/>
      <c r="AH138" s="309"/>
      <c r="AI138" s="309"/>
      <c r="AJ138" s="309"/>
      <c r="AK138" s="309"/>
      <c r="AL138" s="309"/>
      <c r="AM138" s="309"/>
      <c r="AN138" s="309"/>
      <c r="AO138" s="309"/>
      <c r="AP138" s="309"/>
      <c r="AQ138" s="304"/>
      <c r="AR138" s="304"/>
    </row>
    <row r="139" spans="4:44" x14ac:dyDescent="0.25">
      <c r="E139"/>
      <c r="J139" s="92"/>
      <c r="K139" s="92"/>
      <c r="L139" s="92"/>
      <c r="M139" s="92"/>
      <c r="N139" s="92"/>
      <c r="O139" s="92"/>
      <c r="P139" s="92"/>
      <c r="Q139" s="92"/>
      <c r="R139" s="92"/>
      <c r="S139" s="92"/>
      <c r="T139" s="92"/>
      <c r="U139" s="92"/>
      <c r="V139" s="92"/>
      <c r="W139" s="92"/>
      <c r="X139" s="92"/>
      <c r="Y139" s="92"/>
      <c r="Z139" s="92"/>
      <c r="AA139" s="92"/>
      <c r="AB139" s="92"/>
      <c r="AC139" s="92"/>
      <c r="AD139" s="92"/>
      <c r="AE139" s="92"/>
      <c r="AF139" s="92"/>
      <c r="AG139" s="92"/>
      <c r="AH139" s="92"/>
      <c r="AI139" s="92"/>
      <c r="AJ139" s="92"/>
      <c r="AK139" s="92"/>
      <c r="AL139" s="92"/>
      <c r="AM139" s="92"/>
      <c r="AN139" s="92"/>
      <c r="AO139" s="92"/>
      <c r="AP139" s="92"/>
    </row>
    <row r="140" spans="4:44" x14ac:dyDescent="0.25">
      <c r="E140" s="32" t="s">
        <v>734</v>
      </c>
      <c r="J140" s="92"/>
      <c r="K140" s="92"/>
      <c r="L140" s="92"/>
      <c r="M140" s="92"/>
      <c r="N140" s="92"/>
      <c r="O140" s="92"/>
      <c r="P140" s="92"/>
      <c r="Q140" s="92"/>
      <c r="R140" s="92"/>
      <c r="S140" s="92"/>
      <c r="T140" s="92"/>
      <c r="U140" s="92"/>
      <c r="V140" s="92"/>
      <c r="W140" s="92"/>
      <c r="X140" s="92"/>
      <c r="Y140" s="92"/>
      <c r="Z140" s="92"/>
      <c r="AA140" s="92"/>
      <c r="AB140" s="92"/>
      <c r="AC140" s="92"/>
      <c r="AD140" s="92"/>
      <c r="AE140" s="92"/>
      <c r="AF140" s="92"/>
      <c r="AG140" s="92"/>
      <c r="AH140" s="92"/>
      <c r="AI140" s="92"/>
      <c r="AJ140" s="92"/>
      <c r="AK140" s="92"/>
      <c r="AL140" s="92"/>
      <c r="AM140" s="92"/>
      <c r="AN140" s="92"/>
      <c r="AO140" s="92"/>
      <c r="AP140" s="92"/>
    </row>
    <row r="141" spans="4:44" x14ac:dyDescent="0.25">
      <c r="F141" s="23" t="s">
        <v>225</v>
      </c>
      <c r="G141" s="23" t="s">
        <v>327</v>
      </c>
      <c r="H141" s="302"/>
      <c r="I141" s="302"/>
      <c r="J141" s="321">
        <f t="shared" ref="J141:AP141" si="10">J36 * (1 - J$112)</f>
        <v>0.5003030566907789</v>
      </c>
      <c r="K141" s="321">
        <f t="shared" si="10"/>
        <v>0.58493298978196628</v>
      </c>
      <c r="L141" s="321">
        <f t="shared" si="10"/>
        <v>0.18552522026250171</v>
      </c>
      <c r="M141" s="321">
        <f t="shared" si="10"/>
        <v>0.50894682203747921</v>
      </c>
      <c r="N141" s="321">
        <f t="shared" si="10"/>
        <v>0.55910467436217759</v>
      </c>
      <c r="O141" s="321">
        <f t="shared" si="10"/>
        <v>0.16694877078911688</v>
      </c>
      <c r="P141" s="321">
        <f t="shared" si="10"/>
        <v>0.4850294120004619</v>
      </c>
      <c r="Q141" s="321">
        <f t="shared" si="10"/>
        <v>0.38282594401293757</v>
      </c>
      <c r="R141" s="321">
        <f t="shared" si="10"/>
        <v>0.52103303957497282</v>
      </c>
      <c r="S141" s="321">
        <f t="shared" si="10"/>
        <v>2.2784199010139909</v>
      </c>
      <c r="T141" s="321">
        <f t="shared" si="10"/>
        <v>2.4874575201312714</v>
      </c>
      <c r="U141" s="321">
        <f t="shared" si="10"/>
        <v>1.9748930246392009</v>
      </c>
      <c r="V141" s="321">
        <f t="shared" si="10"/>
        <v>1.9010989882277474</v>
      </c>
      <c r="W141" s="321">
        <f t="shared" si="10"/>
        <v>1.7672584402229887</v>
      </c>
      <c r="X141" s="321">
        <f t="shared" si="10"/>
        <v>0.28037516132809603</v>
      </c>
      <c r="Y141" s="321">
        <f t="shared" si="10"/>
        <v>0.31152506890375126</v>
      </c>
      <c r="Z141" s="321">
        <f t="shared" si="10"/>
        <v>0.50381377089222457</v>
      </c>
      <c r="AA141" s="321">
        <f t="shared" si="10"/>
        <v>0.27063372044558648</v>
      </c>
      <c r="AB141" s="321">
        <f t="shared" si="10"/>
        <v>3.7416845763420481</v>
      </c>
      <c r="AC141" s="321">
        <f t="shared" si="10"/>
        <v>-0.2908445903747941</v>
      </c>
      <c r="AD141" s="321">
        <f t="shared" si="10"/>
        <v>-0.28203920369372232</v>
      </c>
      <c r="AE141" s="321">
        <f t="shared" si="10"/>
        <v>-0.2908445903747941</v>
      </c>
      <c r="AF141" s="321">
        <f t="shared" si="10"/>
        <v>-0.2908445903747941</v>
      </c>
      <c r="AG141" s="321">
        <f t="shared" si="10"/>
        <v>-1.6594856857706644</v>
      </c>
      <c r="AH141" s="321">
        <f t="shared" si="10"/>
        <v>-1.6594856857706644</v>
      </c>
      <c r="AI141" s="321">
        <f t="shared" si="10"/>
        <v>-0.28203920369372232</v>
      </c>
      <c r="AJ141" s="321">
        <f t="shared" si="10"/>
        <v>-0.28203920369372232</v>
      </c>
      <c r="AK141" s="321">
        <f t="shared" si="10"/>
        <v>-1.6092443760179744</v>
      </c>
      <c r="AL141" s="321">
        <f t="shared" si="10"/>
        <v>-1.6092443760179744</v>
      </c>
      <c r="AM141" s="321">
        <f t="shared" si="10"/>
        <v>-0.27616894590634117</v>
      </c>
      <c r="AN141" s="321">
        <f t="shared" si="10"/>
        <v>-0.27616894590634117</v>
      </c>
      <c r="AO141" s="321">
        <f t="shared" si="10"/>
        <v>-1.5757501695161811</v>
      </c>
      <c r="AP141" s="321">
        <f t="shared" si="10"/>
        <v>-1.5757501695161811</v>
      </c>
      <c r="AQ141" s="304"/>
      <c r="AR141" s="304"/>
    </row>
    <row r="142" spans="4:44" x14ac:dyDescent="0.25">
      <c r="F142" t="s">
        <v>227</v>
      </c>
      <c r="G142" t="s">
        <v>327</v>
      </c>
      <c r="H142" s="304"/>
      <c r="I142" s="304"/>
      <c r="J142" s="322">
        <f t="shared" ref="J142:AP142" si="11">J37 * (1 - J$112)</f>
        <v>0</v>
      </c>
      <c r="K142" s="322">
        <f t="shared" si="11"/>
        <v>0</v>
      </c>
      <c r="L142" s="322">
        <f t="shared" si="11"/>
        <v>0</v>
      </c>
      <c r="M142" s="322">
        <f t="shared" si="11"/>
        <v>0</v>
      </c>
      <c r="N142" s="322">
        <f t="shared" si="11"/>
        <v>0</v>
      </c>
      <c r="O142" s="322">
        <f t="shared" si="11"/>
        <v>0</v>
      </c>
      <c r="P142" s="322">
        <f t="shared" si="11"/>
        <v>0</v>
      </c>
      <c r="Q142" s="322">
        <f t="shared" si="11"/>
        <v>0</v>
      </c>
      <c r="R142" s="322">
        <f t="shared" si="11"/>
        <v>0</v>
      </c>
      <c r="S142" s="322">
        <f t="shared" si="11"/>
        <v>0</v>
      </c>
      <c r="T142" s="322">
        <f t="shared" si="11"/>
        <v>0</v>
      </c>
      <c r="U142" s="322">
        <f t="shared" si="11"/>
        <v>0</v>
      </c>
      <c r="V142" s="322">
        <f t="shared" si="11"/>
        <v>0</v>
      </c>
      <c r="W142" s="322">
        <f t="shared" si="11"/>
        <v>0</v>
      </c>
      <c r="X142" s="322">
        <f t="shared" si="11"/>
        <v>0</v>
      </c>
      <c r="Y142" s="322">
        <f t="shared" si="11"/>
        <v>0</v>
      </c>
      <c r="Z142" s="322">
        <f t="shared" si="11"/>
        <v>0</v>
      </c>
      <c r="AA142" s="322">
        <f t="shared" si="11"/>
        <v>0</v>
      </c>
      <c r="AB142" s="322">
        <f t="shared" si="11"/>
        <v>0</v>
      </c>
      <c r="AC142" s="322">
        <f t="shared" si="11"/>
        <v>0</v>
      </c>
      <c r="AD142" s="322">
        <f t="shared" si="11"/>
        <v>0</v>
      </c>
      <c r="AE142" s="322">
        <f t="shared" si="11"/>
        <v>0</v>
      </c>
      <c r="AF142" s="322">
        <f t="shared" si="11"/>
        <v>0</v>
      </c>
      <c r="AG142" s="322">
        <f t="shared" si="11"/>
        <v>0</v>
      </c>
      <c r="AH142" s="322">
        <f t="shared" si="11"/>
        <v>0</v>
      </c>
      <c r="AI142" s="322">
        <f t="shared" si="11"/>
        <v>0</v>
      </c>
      <c r="AJ142" s="322">
        <f t="shared" si="11"/>
        <v>0</v>
      </c>
      <c r="AK142" s="322">
        <f t="shared" si="11"/>
        <v>0</v>
      </c>
      <c r="AL142" s="322">
        <f t="shared" si="11"/>
        <v>0</v>
      </c>
      <c r="AM142" s="322">
        <f t="shared" si="11"/>
        <v>0</v>
      </c>
      <c r="AN142" s="322">
        <f t="shared" si="11"/>
        <v>0</v>
      </c>
      <c r="AO142" s="322">
        <f t="shared" si="11"/>
        <v>0</v>
      </c>
      <c r="AP142" s="322">
        <f t="shared" si="11"/>
        <v>0</v>
      </c>
      <c r="AQ142" s="304"/>
      <c r="AR142" s="304"/>
    </row>
    <row r="143" spans="4:44" x14ac:dyDescent="0.25">
      <c r="F143" t="s">
        <v>228</v>
      </c>
      <c r="G143" t="s">
        <v>327</v>
      </c>
      <c r="H143" s="304"/>
      <c r="I143" s="304"/>
      <c r="J143" s="322">
        <f t="shared" ref="J143:AP143" si="12">J38 * (1 - J$113)</f>
        <v>0</v>
      </c>
      <c r="K143" s="322">
        <f t="shared" si="12"/>
        <v>0</v>
      </c>
      <c r="L143" s="322">
        <f t="shared" si="12"/>
        <v>0</v>
      </c>
      <c r="M143" s="322">
        <f t="shared" si="12"/>
        <v>0</v>
      </c>
      <c r="N143" s="322">
        <f t="shared" si="12"/>
        <v>0</v>
      </c>
      <c r="O143" s="322">
        <f t="shared" si="12"/>
        <v>0</v>
      </c>
      <c r="P143" s="322">
        <f t="shared" si="12"/>
        <v>0</v>
      </c>
      <c r="Q143" s="322">
        <f t="shared" si="12"/>
        <v>0</v>
      </c>
      <c r="R143" s="322">
        <f t="shared" si="12"/>
        <v>0</v>
      </c>
      <c r="S143" s="322">
        <f t="shared" si="12"/>
        <v>0</v>
      </c>
      <c r="T143" s="322">
        <f t="shared" si="12"/>
        <v>0</v>
      </c>
      <c r="U143" s="322">
        <f t="shared" si="12"/>
        <v>0</v>
      </c>
      <c r="V143" s="322">
        <f t="shared" si="12"/>
        <v>0</v>
      </c>
      <c r="W143" s="322">
        <f t="shared" si="12"/>
        <v>0</v>
      </c>
      <c r="X143" s="322">
        <f t="shared" si="12"/>
        <v>0</v>
      </c>
      <c r="Y143" s="322">
        <f t="shared" si="12"/>
        <v>0</v>
      </c>
      <c r="Z143" s="322">
        <f t="shared" si="12"/>
        <v>0</v>
      </c>
      <c r="AA143" s="322">
        <f t="shared" si="12"/>
        <v>0</v>
      </c>
      <c r="AB143" s="322">
        <f t="shared" si="12"/>
        <v>0</v>
      </c>
      <c r="AC143" s="322">
        <f t="shared" si="12"/>
        <v>0</v>
      </c>
      <c r="AD143" s="322">
        <f t="shared" si="12"/>
        <v>0</v>
      </c>
      <c r="AE143" s="322">
        <f t="shared" si="12"/>
        <v>0</v>
      </c>
      <c r="AF143" s="322">
        <f t="shared" si="12"/>
        <v>0</v>
      </c>
      <c r="AG143" s="322">
        <f t="shared" si="12"/>
        <v>0</v>
      </c>
      <c r="AH143" s="322">
        <f t="shared" si="12"/>
        <v>0</v>
      </c>
      <c r="AI143" s="322">
        <f t="shared" si="12"/>
        <v>0</v>
      </c>
      <c r="AJ143" s="322">
        <f t="shared" si="12"/>
        <v>0</v>
      </c>
      <c r="AK143" s="322">
        <f t="shared" si="12"/>
        <v>0</v>
      </c>
      <c r="AL143" s="322">
        <f t="shared" si="12"/>
        <v>0</v>
      </c>
      <c r="AM143" s="322">
        <f t="shared" si="12"/>
        <v>0</v>
      </c>
      <c r="AN143" s="322">
        <f t="shared" si="12"/>
        <v>0</v>
      </c>
      <c r="AO143" s="322">
        <f t="shared" si="12"/>
        <v>0</v>
      </c>
      <c r="AP143" s="322">
        <f t="shared" si="12"/>
        <v>0</v>
      </c>
      <c r="AQ143" s="304"/>
      <c r="AR143" s="304"/>
    </row>
    <row r="144" spans="4:44" x14ac:dyDescent="0.25">
      <c r="F144" t="s">
        <v>229</v>
      </c>
      <c r="G144" t="s">
        <v>327</v>
      </c>
      <c r="H144" s="304"/>
      <c r="I144" s="304"/>
      <c r="J144" s="322">
        <f t="shared" ref="J144:AP144" si="13">J39 * (1 - J$114)</f>
        <v>0</v>
      </c>
      <c r="K144" s="322">
        <f t="shared" si="13"/>
        <v>0</v>
      </c>
      <c r="L144" s="322">
        <f t="shared" si="13"/>
        <v>0</v>
      </c>
      <c r="M144" s="322">
        <f t="shared" si="13"/>
        <v>0</v>
      </c>
      <c r="N144" s="322">
        <f t="shared" si="13"/>
        <v>0</v>
      </c>
      <c r="O144" s="322">
        <f t="shared" si="13"/>
        <v>0</v>
      </c>
      <c r="P144" s="322">
        <f t="shared" si="13"/>
        <v>0</v>
      </c>
      <c r="Q144" s="322">
        <f t="shared" si="13"/>
        <v>0</v>
      </c>
      <c r="R144" s="322">
        <f t="shared" si="13"/>
        <v>0</v>
      </c>
      <c r="S144" s="322">
        <f t="shared" si="13"/>
        <v>0</v>
      </c>
      <c r="T144" s="322">
        <f t="shared" si="13"/>
        <v>0</v>
      </c>
      <c r="U144" s="322">
        <f t="shared" si="13"/>
        <v>0</v>
      </c>
      <c r="V144" s="322">
        <f t="shared" si="13"/>
        <v>0</v>
      </c>
      <c r="W144" s="322">
        <f t="shared" si="13"/>
        <v>0</v>
      </c>
      <c r="X144" s="322">
        <f t="shared" si="13"/>
        <v>0</v>
      </c>
      <c r="Y144" s="322">
        <f t="shared" si="13"/>
        <v>0</v>
      </c>
      <c r="Z144" s="322">
        <f t="shared" si="13"/>
        <v>0</v>
      </c>
      <c r="AA144" s="322">
        <f t="shared" si="13"/>
        <v>0</v>
      </c>
      <c r="AB144" s="322">
        <f t="shared" si="13"/>
        <v>0</v>
      </c>
      <c r="AC144" s="322">
        <f t="shared" si="13"/>
        <v>0</v>
      </c>
      <c r="AD144" s="322">
        <f t="shared" si="13"/>
        <v>0</v>
      </c>
      <c r="AE144" s="322">
        <f t="shared" si="13"/>
        <v>0</v>
      </c>
      <c r="AF144" s="322">
        <f t="shared" si="13"/>
        <v>0</v>
      </c>
      <c r="AG144" s="322">
        <f t="shared" si="13"/>
        <v>0</v>
      </c>
      <c r="AH144" s="322">
        <f t="shared" si="13"/>
        <v>0</v>
      </c>
      <c r="AI144" s="322">
        <f t="shared" si="13"/>
        <v>0</v>
      </c>
      <c r="AJ144" s="322">
        <f t="shared" si="13"/>
        <v>0</v>
      </c>
      <c r="AK144" s="322">
        <f t="shared" si="13"/>
        <v>0</v>
      </c>
      <c r="AL144" s="322">
        <f t="shared" si="13"/>
        <v>0</v>
      </c>
      <c r="AM144" s="322">
        <f t="shared" si="13"/>
        <v>0</v>
      </c>
      <c r="AN144" s="322">
        <f t="shared" si="13"/>
        <v>0</v>
      </c>
      <c r="AO144" s="322">
        <f t="shared" si="13"/>
        <v>0</v>
      </c>
      <c r="AP144" s="322">
        <f t="shared" si="13"/>
        <v>0</v>
      </c>
      <c r="AQ144" s="304"/>
      <c r="AR144" s="304"/>
    </row>
    <row r="145" spans="3:44" x14ac:dyDescent="0.25">
      <c r="F145" t="s">
        <v>230</v>
      </c>
      <c r="G145" t="s">
        <v>327</v>
      </c>
      <c r="H145" s="304"/>
      <c r="I145" s="304"/>
      <c r="J145" s="322">
        <f t="shared" ref="J145:AP145" si="14">J40 * (1 - J$115)</f>
        <v>0.14008841586228898</v>
      </c>
      <c r="K145" s="322">
        <f t="shared" si="14"/>
        <v>0.16181394331074517</v>
      </c>
      <c r="L145" s="322">
        <f t="shared" si="14"/>
        <v>5.6005666663800517E-2</v>
      </c>
      <c r="M145" s="322">
        <f t="shared" si="14"/>
        <v>0.14424726204634369</v>
      </c>
      <c r="N145" s="322">
        <f t="shared" si="14"/>
        <v>0.15639412109168016</v>
      </c>
      <c r="O145" s="322">
        <f t="shared" si="14"/>
        <v>5.0848965522191786E-2</v>
      </c>
      <c r="P145" s="322">
        <f t="shared" si="14"/>
        <v>0.13567767989356325</v>
      </c>
      <c r="Q145" s="322">
        <f t="shared" si="14"/>
        <v>0.10708821898555099</v>
      </c>
      <c r="R145" s="322">
        <f t="shared" si="14"/>
        <v>0.11666317312490404</v>
      </c>
      <c r="S145" s="322">
        <f t="shared" si="14"/>
        <v>0.58400790487892518</v>
      </c>
      <c r="T145" s="322">
        <f t="shared" si="14"/>
        <v>0.63837605865869274</v>
      </c>
      <c r="U145" s="322">
        <f t="shared" si="14"/>
        <v>0.507007497256031</v>
      </c>
      <c r="V145" s="322">
        <f t="shared" si="14"/>
        <v>0.48806260796501383</v>
      </c>
      <c r="W145" s="322">
        <f t="shared" si="14"/>
        <v>0.36296174733646641</v>
      </c>
      <c r="X145" s="322">
        <f t="shared" si="14"/>
        <v>7.9748921250147112E-2</v>
      </c>
      <c r="Y145" s="322">
        <f t="shared" si="14"/>
        <v>8.3621431690797485E-2</v>
      </c>
      <c r="Z145" s="322">
        <f t="shared" si="14"/>
        <v>0.13097786141672385</v>
      </c>
      <c r="AA145" s="322">
        <f t="shared" si="14"/>
        <v>8.0633813829989118E-2</v>
      </c>
      <c r="AB145" s="322">
        <f t="shared" si="14"/>
        <v>0.90115533162904105</v>
      </c>
      <c r="AC145" s="322">
        <f t="shared" si="14"/>
        <v>-8.2783567942428402E-2</v>
      </c>
      <c r="AD145" s="322">
        <f t="shared" si="14"/>
        <v>-8.0277276435914507E-2</v>
      </c>
      <c r="AE145" s="322">
        <f t="shared" si="14"/>
        <v>-8.2783567942428402E-2</v>
      </c>
      <c r="AF145" s="322">
        <f t="shared" si="14"/>
        <v>-8.2783567942428402E-2</v>
      </c>
      <c r="AG145" s="322">
        <f t="shared" si="14"/>
        <v>-0.42603405540333272</v>
      </c>
      <c r="AH145" s="322">
        <f t="shared" si="14"/>
        <v>-0.42603405540333272</v>
      </c>
      <c r="AI145" s="322">
        <f t="shared" si="14"/>
        <v>-8.0277276435914507E-2</v>
      </c>
      <c r="AJ145" s="322">
        <f t="shared" si="14"/>
        <v>-8.0277276435914507E-2</v>
      </c>
      <c r="AK145" s="322">
        <f t="shared" si="14"/>
        <v>-0.41313577666176393</v>
      </c>
      <c r="AL145" s="322">
        <f t="shared" si="14"/>
        <v>-0.41313577666176393</v>
      </c>
      <c r="AM145" s="322">
        <f t="shared" si="14"/>
        <v>-7.8606415431571916E-2</v>
      </c>
      <c r="AN145" s="322">
        <f t="shared" si="14"/>
        <v>-7.8606415431571916E-2</v>
      </c>
      <c r="AO145" s="322">
        <f t="shared" si="14"/>
        <v>-0.40453692416738474</v>
      </c>
      <c r="AP145" s="322">
        <f t="shared" si="14"/>
        <v>-0.40453692416738474</v>
      </c>
      <c r="AQ145" s="304"/>
      <c r="AR145" s="304"/>
    </row>
    <row r="146" spans="3:44" x14ac:dyDescent="0.25">
      <c r="F146" t="s">
        <v>231</v>
      </c>
      <c r="G146" t="s">
        <v>327</v>
      </c>
      <c r="H146" s="304"/>
      <c r="I146" s="304"/>
      <c r="J146" s="322">
        <f t="shared" ref="J146:AP146" si="15">J41 * (1 - J$116)</f>
        <v>0.12675148108856613</v>
      </c>
      <c r="K146" s="322">
        <f t="shared" si="15"/>
        <v>0.14640865805478384</v>
      </c>
      <c r="L146" s="322">
        <f t="shared" si="15"/>
        <v>5.0673720273684712E-2</v>
      </c>
      <c r="M146" s="322">
        <f t="shared" si="15"/>
        <v>0.1305143897502406</v>
      </c>
      <c r="N146" s="322">
        <f t="shared" si="15"/>
        <v>0.14150482293555086</v>
      </c>
      <c r="O146" s="322">
        <f t="shared" si="15"/>
        <v>4.6007956133182662E-2</v>
      </c>
      <c r="P146" s="322">
        <f t="shared" si="15"/>
        <v>0.12276066348037658</v>
      </c>
      <c r="Q146" s="322">
        <f t="shared" si="15"/>
        <v>9.6893024880076659E-2</v>
      </c>
      <c r="R146" s="322">
        <f t="shared" si="15"/>
        <v>0</v>
      </c>
      <c r="S146" s="322">
        <f t="shared" si="15"/>
        <v>0.52840819460476895</v>
      </c>
      <c r="T146" s="322">
        <f t="shared" si="15"/>
        <v>0.57760029927108725</v>
      </c>
      <c r="U146" s="322">
        <f t="shared" si="15"/>
        <v>0.45873851028041024</v>
      </c>
      <c r="V146" s="322">
        <f t="shared" si="15"/>
        <v>0.44159724444544007</v>
      </c>
      <c r="W146" s="322">
        <f t="shared" si="15"/>
        <v>0</v>
      </c>
      <c r="X146" s="322">
        <f t="shared" si="15"/>
        <v>7.2156529299384167E-2</v>
      </c>
      <c r="Y146" s="322">
        <f t="shared" si="15"/>
        <v>7.5660362438348963E-2</v>
      </c>
      <c r="Z146" s="322">
        <f t="shared" si="15"/>
        <v>0.11850828508691683</v>
      </c>
      <c r="AA146" s="322">
        <f t="shared" si="15"/>
        <v>7.2957176836219162E-2</v>
      </c>
      <c r="AB146" s="322">
        <f t="shared" si="15"/>
        <v>0.81536201456602408</v>
      </c>
      <c r="AC146" s="322">
        <f t="shared" si="15"/>
        <v>-7.4902266414473617E-2</v>
      </c>
      <c r="AD146" s="322">
        <f t="shared" si="15"/>
        <v>-7.2634583119356513E-2</v>
      </c>
      <c r="AE146" s="322">
        <f t="shared" si="15"/>
        <v>-7.4902266414473617E-2</v>
      </c>
      <c r="AF146" s="322">
        <f t="shared" si="15"/>
        <v>-7.4902266414473617E-2</v>
      </c>
      <c r="AG146" s="322">
        <f t="shared" si="15"/>
        <v>-0.38547403926406504</v>
      </c>
      <c r="AH146" s="322">
        <f t="shared" si="15"/>
        <v>-0.38547403926406504</v>
      </c>
      <c r="AI146" s="322">
        <f t="shared" si="15"/>
        <v>-7.2634583119356513E-2</v>
      </c>
      <c r="AJ146" s="322">
        <f t="shared" si="15"/>
        <v>-7.2634583119356513E-2</v>
      </c>
      <c r="AK146" s="322">
        <f t="shared" si="15"/>
        <v>-0.37380372431386849</v>
      </c>
      <c r="AL146" s="322">
        <f t="shared" si="15"/>
        <v>-0.37380372431386849</v>
      </c>
      <c r="AM146" s="322">
        <f t="shared" si="15"/>
        <v>-7.1122794255945115E-2</v>
      </c>
      <c r="AN146" s="322">
        <f t="shared" si="15"/>
        <v>-7.1122794255945115E-2</v>
      </c>
      <c r="AO146" s="322">
        <f t="shared" si="15"/>
        <v>-0.36602351434707092</v>
      </c>
      <c r="AP146" s="322">
        <f t="shared" si="15"/>
        <v>-0.36602351434707092</v>
      </c>
      <c r="AQ146" s="304"/>
      <c r="AR146" s="304"/>
    </row>
    <row r="147" spans="3:44" x14ac:dyDescent="0.25">
      <c r="F147" t="s">
        <v>232</v>
      </c>
      <c r="G147" t="s">
        <v>327</v>
      </c>
      <c r="H147" s="304"/>
      <c r="I147" s="304"/>
      <c r="J147" s="322">
        <f t="shared" ref="J147:AP147" si="16">J42 * (1 - J$117)</f>
        <v>0</v>
      </c>
      <c r="K147" s="322">
        <f t="shared" si="16"/>
        <v>0</v>
      </c>
      <c r="L147" s="322">
        <f t="shared" si="16"/>
        <v>0</v>
      </c>
      <c r="M147" s="322">
        <f t="shared" si="16"/>
        <v>0</v>
      </c>
      <c r="N147" s="322">
        <f t="shared" si="16"/>
        <v>0</v>
      </c>
      <c r="O147" s="322">
        <f t="shared" si="16"/>
        <v>0</v>
      </c>
      <c r="P147" s="322">
        <f t="shared" si="16"/>
        <v>0</v>
      </c>
      <c r="Q147" s="322">
        <f t="shared" si="16"/>
        <v>0</v>
      </c>
      <c r="R147" s="322">
        <f t="shared" si="16"/>
        <v>0</v>
      </c>
      <c r="S147" s="322">
        <f t="shared" si="16"/>
        <v>0</v>
      </c>
      <c r="T147" s="322">
        <f t="shared" si="16"/>
        <v>0</v>
      </c>
      <c r="U147" s="322">
        <f t="shared" si="16"/>
        <v>0</v>
      </c>
      <c r="V147" s="322">
        <f t="shared" si="16"/>
        <v>0</v>
      </c>
      <c r="W147" s="322">
        <f t="shared" si="16"/>
        <v>0</v>
      </c>
      <c r="X147" s="322">
        <f t="shared" si="16"/>
        <v>0</v>
      </c>
      <c r="Y147" s="322">
        <f t="shared" si="16"/>
        <v>0</v>
      </c>
      <c r="Z147" s="322">
        <f t="shared" si="16"/>
        <v>0</v>
      </c>
      <c r="AA147" s="322">
        <f t="shared" si="16"/>
        <v>0</v>
      </c>
      <c r="AB147" s="322">
        <f t="shared" si="16"/>
        <v>0</v>
      </c>
      <c r="AC147" s="322">
        <f t="shared" si="16"/>
        <v>0</v>
      </c>
      <c r="AD147" s="322">
        <f t="shared" si="16"/>
        <v>0</v>
      </c>
      <c r="AE147" s="322">
        <f t="shared" si="16"/>
        <v>0</v>
      </c>
      <c r="AF147" s="322">
        <f t="shared" si="16"/>
        <v>0</v>
      </c>
      <c r="AG147" s="322">
        <f t="shared" si="16"/>
        <v>0</v>
      </c>
      <c r="AH147" s="322">
        <f t="shared" si="16"/>
        <v>0</v>
      </c>
      <c r="AI147" s="322">
        <f t="shared" si="16"/>
        <v>0</v>
      </c>
      <c r="AJ147" s="322">
        <f t="shared" si="16"/>
        <v>0</v>
      </c>
      <c r="AK147" s="322">
        <f t="shared" si="16"/>
        <v>0</v>
      </c>
      <c r="AL147" s="322">
        <f t="shared" si="16"/>
        <v>0</v>
      </c>
      <c r="AM147" s="322">
        <f t="shared" si="16"/>
        <v>0</v>
      </c>
      <c r="AN147" s="322">
        <f t="shared" si="16"/>
        <v>0</v>
      </c>
      <c r="AO147" s="322">
        <f t="shared" si="16"/>
        <v>0</v>
      </c>
      <c r="AP147" s="322">
        <f t="shared" si="16"/>
        <v>0</v>
      </c>
      <c r="AQ147" s="304"/>
      <c r="AR147" s="304"/>
    </row>
    <row r="148" spans="3:44" x14ac:dyDescent="0.25">
      <c r="F148" t="s">
        <v>233</v>
      </c>
      <c r="G148" t="s">
        <v>327</v>
      </c>
      <c r="H148" s="304"/>
      <c r="I148" s="304"/>
      <c r="J148" s="322">
        <f t="shared" ref="J148:AP148" si="17">J43 * (1 - J$118)</f>
        <v>0.52376935513090472</v>
      </c>
      <c r="K148" s="322">
        <f t="shared" si="17"/>
        <v>0.60499780954317195</v>
      </c>
      <c r="L148" s="322">
        <f t="shared" si="17"/>
        <v>0.2093966994459516</v>
      </c>
      <c r="M148" s="322">
        <f t="shared" si="17"/>
        <v>0.53931865069901419</v>
      </c>
      <c r="N148" s="322">
        <f t="shared" si="17"/>
        <v>0.58473391569348787</v>
      </c>
      <c r="O148" s="322">
        <f t="shared" si="17"/>
        <v>0.19011657542628754</v>
      </c>
      <c r="P148" s="322">
        <f t="shared" si="17"/>
        <v>0.50727828183428636</v>
      </c>
      <c r="Q148" s="322">
        <f t="shared" si="17"/>
        <v>0.40038662051341062</v>
      </c>
      <c r="R148" s="322">
        <f t="shared" si="17"/>
        <v>0</v>
      </c>
      <c r="S148" s="322">
        <f t="shared" si="17"/>
        <v>2.1835170441964293</v>
      </c>
      <c r="T148" s="322">
        <f t="shared" si="17"/>
        <v>2.3867913311501749</v>
      </c>
      <c r="U148" s="322">
        <f t="shared" si="17"/>
        <v>1.5164993522112415</v>
      </c>
      <c r="V148" s="322">
        <f t="shared" si="17"/>
        <v>0</v>
      </c>
      <c r="W148" s="322">
        <f t="shared" si="17"/>
        <v>0</v>
      </c>
      <c r="X148" s="322">
        <f t="shared" si="17"/>
        <v>0.29816912982038446</v>
      </c>
      <c r="Y148" s="322">
        <f t="shared" si="17"/>
        <v>0.31264785944090517</v>
      </c>
      <c r="Z148" s="322">
        <f t="shared" si="17"/>
        <v>0.48970637285313023</v>
      </c>
      <c r="AA148" s="322">
        <f t="shared" si="17"/>
        <v>0.30147760906223409</v>
      </c>
      <c r="AB148" s="322">
        <f t="shared" si="17"/>
        <v>3.3692832060011786</v>
      </c>
      <c r="AC148" s="322">
        <f t="shared" si="17"/>
        <v>-0.30951521387225062</v>
      </c>
      <c r="AD148" s="322">
        <f t="shared" si="17"/>
        <v>-0.30014456978254023</v>
      </c>
      <c r="AE148" s="322">
        <f t="shared" si="17"/>
        <v>-0.30951521387225062</v>
      </c>
      <c r="AF148" s="322">
        <f t="shared" si="17"/>
        <v>-0.30951521387225062</v>
      </c>
      <c r="AG148" s="322">
        <f t="shared" si="17"/>
        <v>-1.5928767634988776</v>
      </c>
      <c r="AH148" s="322">
        <f t="shared" si="17"/>
        <v>-1.5928767634988776</v>
      </c>
      <c r="AI148" s="322">
        <f t="shared" si="17"/>
        <v>-0.30014456978254023</v>
      </c>
      <c r="AJ148" s="322">
        <f t="shared" si="17"/>
        <v>-0.30014456978254023</v>
      </c>
      <c r="AK148" s="322">
        <f t="shared" si="17"/>
        <v>-1.5446520541452415</v>
      </c>
      <c r="AL148" s="322">
        <f t="shared" si="17"/>
        <v>-1.5446520541452415</v>
      </c>
      <c r="AM148" s="322">
        <f t="shared" si="17"/>
        <v>0</v>
      </c>
      <c r="AN148" s="322">
        <f t="shared" si="17"/>
        <v>0</v>
      </c>
      <c r="AO148" s="322">
        <f t="shared" si="17"/>
        <v>0</v>
      </c>
      <c r="AP148" s="322">
        <f t="shared" si="17"/>
        <v>0</v>
      </c>
      <c r="AQ148" s="304"/>
      <c r="AR148" s="304"/>
    </row>
    <row r="149" spans="3:44" x14ac:dyDescent="0.25">
      <c r="F149" t="s">
        <v>234</v>
      </c>
      <c r="G149" t="s">
        <v>327</v>
      </c>
      <c r="H149" s="304"/>
      <c r="I149" s="304"/>
      <c r="J149" s="322">
        <f t="shared" ref="J149:AP149" si="18">J44 * (1 - J$119)</f>
        <v>0.12683156969214374</v>
      </c>
      <c r="K149" s="322">
        <f t="shared" si="18"/>
        <v>0.14650116715112399</v>
      </c>
      <c r="L149" s="322">
        <f t="shared" si="18"/>
        <v>5.0705738735796146E-2</v>
      </c>
      <c r="M149" s="322">
        <f t="shared" si="18"/>
        <v>0.13059685596785095</v>
      </c>
      <c r="N149" s="322">
        <f t="shared" si="18"/>
        <v>0.14159423351735295</v>
      </c>
      <c r="O149" s="322">
        <f t="shared" si="18"/>
        <v>4.6037026507181632E-2</v>
      </c>
      <c r="P149" s="322">
        <f t="shared" si="18"/>
        <v>0.12283823046443047</v>
      </c>
      <c r="Q149" s="322">
        <f t="shared" si="18"/>
        <v>0</v>
      </c>
      <c r="R149" s="322">
        <f t="shared" si="18"/>
        <v>0</v>
      </c>
      <c r="S149" s="322">
        <f t="shared" si="18"/>
        <v>0.5287420721583993</v>
      </c>
      <c r="T149" s="322">
        <f t="shared" si="18"/>
        <v>0.57796525912005592</v>
      </c>
      <c r="U149" s="322">
        <f t="shared" si="18"/>
        <v>0</v>
      </c>
      <c r="V149" s="322">
        <f t="shared" si="18"/>
        <v>0</v>
      </c>
      <c r="W149" s="322">
        <f t="shared" si="18"/>
        <v>0</v>
      </c>
      <c r="X149" s="322">
        <f t="shared" si="18"/>
        <v>7.2202121789672752E-2</v>
      </c>
      <c r="Y149" s="322">
        <f t="shared" si="18"/>
        <v>7.5708168844410853E-2</v>
      </c>
      <c r="Z149" s="322">
        <f t="shared" si="18"/>
        <v>0.11858316518286111</v>
      </c>
      <c r="AA149" s="322">
        <f t="shared" si="18"/>
        <v>7.3003275219950828E-2</v>
      </c>
      <c r="AB149" s="322">
        <f t="shared" si="18"/>
        <v>0.81587720543082498</v>
      </c>
      <c r="AC149" s="322">
        <f t="shared" si="18"/>
        <v>-7.4949593813494239E-2</v>
      </c>
      <c r="AD149" s="322">
        <f t="shared" si="18"/>
        <v>0</v>
      </c>
      <c r="AE149" s="322">
        <f t="shared" si="18"/>
        <v>-7.4949593813494239E-2</v>
      </c>
      <c r="AF149" s="322">
        <f t="shared" si="18"/>
        <v>-7.4949593813494239E-2</v>
      </c>
      <c r="AG149" s="322">
        <f t="shared" si="18"/>
        <v>-0.38571760310454206</v>
      </c>
      <c r="AH149" s="322">
        <f t="shared" si="18"/>
        <v>-0.38571760310454206</v>
      </c>
      <c r="AI149" s="322">
        <f t="shared" si="18"/>
        <v>0</v>
      </c>
      <c r="AJ149" s="322">
        <f t="shared" si="18"/>
        <v>0</v>
      </c>
      <c r="AK149" s="322">
        <f t="shared" si="18"/>
        <v>0</v>
      </c>
      <c r="AL149" s="322">
        <f t="shared" si="18"/>
        <v>0</v>
      </c>
      <c r="AM149" s="322">
        <f t="shared" si="18"/>
        <v>0</v>
      </c>
      <c r="AN149" s="322">
        <f t="shared" si="18"/>
        <v>0</v>
      </c>
      <c r="AO149" s="322">
        <f t="shared" si="18"/>
        <v>0</v>
      </c>
      <c r="AP149" s="322">
        <f t="shared" si="18"/>
        <v>0</v>
      </c>
      <c r="AQ149" s="304"/>
      <c r="AR149" s="304"/>
    </row>
    <row r="150" spans="3:44" x14ac:dyDescent="0.25">
      <c r="F150" t="s">
        <v>235</v>
      </c>
      <c r="G150" t="s">
        <v>327</v>
      </c>
      <c r="H150" s="304"/>
      <c r="I150" s="304"/>
      <c r="J150" s="322">
        <f t="shared" ref="J150:AP150" si="19">J45 * (1 - J$120)</f>
        <v>0</v>
      </c>
      <c r="K150" s="322">
        <f t="shared" si="19"/>
        <v>0</v>
      </c>
      <c r="L150" s="322">
        <f t="shared" si="19"/>
        <v>0</v>
      </c>
      <c r="M150" s="322">
        <f t="shared" si="19"/>
        <v>0</v>
      </c>
      <c r="N150" s="322">
        <f t="shared" si="19"/>
        <v>0</v>
      </c>
      <c r="O150" s="322">
        <f t="shared" si="19"/>
        <v>0</v>
      </c>
      <c r="P150" s="322">
        <f t="shared" si="19"/>
        <v>0</v>
      </c>
      <c r="Q150" s="322">
        <f t="shared" si="19"/>
        <v>0</v>
      </c>
      <c r="R150" s="322">
        <f t="shared" si="19"/>
        <v>0</v>
      </c>
      <c r="S150" s="322">
        <f t="shared" si="19"/>
        <v>0</v>
      </c>
      <c r="T150" s="322">
        <f t="shared" si="19"/>
        <v>0</v>
      </c>
      <c r="U150" s="322">
        <f t="shared" si="19"/>
        <v>0</v>
      </c>
      <c r="V150" s="322">
        <f t="shared" si="19"/>
        <v>0</v>
      </c>
      <c r="W150" s="322">
        <f t="shared" si="19"/>
        <v>0</v>
      </c>
      <c r="X150" s="322">
        <f t="shared" si="19"/>
        <v>0.17139561723105323</v>
      </c>
      <c r="Y150" s="322">
        <f t="shared" si="19"/>
        <v>0.17971837955566269</v>
      </c>
      <c r="Z150" s="322">
        <f t="shared" si="19"/>
        <v>0.28149636445497789</v>
      </c>
      <c r="AA150" s="322">
        <f t="shared" si="19"/>
        <v>0.1732974198827715</v>
      </c>
      <c r="AB150" s="322">
        <f t="shared" si="19"/>
        <v>1.9367544019954885</v>
      </c>
      <c r="AC150" s="322">
        <f t="shared" si="19"/>
        <v>0</v>
      </c>
      <c r="AD150" s="322">
        <f t="shared" si="19"/>
        <v>0</v>
      </c>
      <c r="AE150" s="322">
        <f t="shared" si="19"/>
        <v>0</v>
      </c>
      <c r="AF150" s="322">
        <f t="shared" si="19"/>
        <v>0</v>
      </c>
      <c r="AG150" s="322">
        <f t="shared" si="19"/>
        <v>0</v>
      </c>
      <c r="AH150" s="322">
        <f t="shared" si="19"/>
        <v>0</v>
      </c>
      <c r="AI150" s="322">
        <f t="shared" si="19"/>
        <v>0</v>
      </c>
      <c r="AJ150" s="322">
        <f t="shared" si="19"/>
        <v>0</v>
      </c>
      <c r="AK150" s="322">
        <f t="shared" si="19"/>
        <v>0</v>
      </c>
      <c r="AL150" s="322">
        <f t="shared" si="19"/>
        <v>0</v>
      </c>
      <c r="AM150" s="322">
        <f t="shared" si="19"/>
        <v>0</v>
      </c>
      <c r="AN150" s="322">
        <f t="shared" si="19"/>
        <v>0</v>
      </c>
      <c r="AO150" s="322">
        <f t="shared" si="19"/>
        <v>0</v>
      </c>
      <c r="AP150" s="322">
        <f t="shared" si="19"/>
        <v>0</v>
      </c>
      <c r="AQ150" s="304"/>
      <c r="AR150" s="304"/>
    </row>
    <row r="151" spans="3:44" x14ac:dyDescent="0.25">
      <c r="D151"/>
      <c r="F151" s="23" t="s">
        <v>436</v>
      </c>
      <c r="G151" s="23" t="s">
        <v>327</v>
      </c>
      <c r="H151" s="302"/>
      <c r="I151" s="302" t="s">
        <v>190</v>
      </c>
      <c r="J151" s="320"/>
      <c r="K151" s="320"/>
      <c r="L151" s="320"/>
      <c r="M151" s="320"/>
      <c r="N151" s="320"/>
      <c r="O151" s="320"/>
      <c r="P151" s="320"/>
      <c r="Q151" s="320"/>
      <c r="R151" s="320"/>
      <c r="S151" s="320"/>
      <c r="T151" s="320"/>
      <c r="U151" s="320"/>
      <c r="V151" s="320"/>
      <c r="W151" s="320"/>
      <c r="X151" s="321">
        <f>X46</f>
        <v>1.8575743700341227</v>
      </c>
      <c r="Y151" s="321">
        <f>Y46</f>
        <v>1.8575743700341227</v>
      </c>
      <c r="Z151" s="321">
        <f>Z46</f>
        <v>1.8575743700341227</v>
      </c>
      <c r="AA151" s="321">
        <f>AA46</f>
        <v>1.8575743700341227</v>
      </c>
      <c r="AB151" s="321">
        <f>AB46</f>
        <v>1.8575743700341227</v>
      </c>
      <c r="AC151" s="320"/>
      <c r="AD151" s="320"/>
      <c r="AE151" s="320"/>
      <c r="AF151" s="320"/>
      <c r="AG151" s="320"/>
      <c r="AH151" s="320"/>
      <c r="AI151" s="320"/>
      <c r="AJ151" s="320"/>
      <c r="AK151" s="320"/>
      <c r="AL151" s="320"/>
      <c r="AM151" s="320"/>
      <c r="AN151" s="320"/>
      <c r="AO151" s="320"/>
      <c r="AP151" s="320"/>
      <c r="AQ151" s="304"/>
      <c r="AR151" s="304" t="s">
        <v>779</v>
      </c>
    </row>
    <row r="152" spans="3:44" x14ac:dyDescent="0.25">
      <c r="D152"/>
      <c r="F152" s="37" t="s">
        <v>437</v>
      </c>
      <c r="G152" s="37" t="s">
        <v>327</v>
      </c>
      <c r="H152" s="308"/>
      <c r="I152" s="308"/>
      <c r="J152" s="309"/>
      <c r="K152" s="309"/>
      <c r="L152" s="309"/>
      <c r="M152" s="309"/>
      <c r="N152" s="309"/>
      <c r="O152" s="309"/>
      <c r="P152" s="309"/>
      <c r="Q152" s="309"/>
      <c r="R152" s="309"/>
      <c r="S152" s="309"/>
      <c r="T152" s="309"/>
      <c r="U152" s="309"/>
      <c r="V152" s="309"/>
      <c r="W152" s="309"/>
      <c r="X152" s="309"/>
      <c r="Y152" s="309"/>
      <c r="Z152" s="309"/>
      <c r="AA152" s="309"/>
      <c r="AB152" s="309"/>
      <c r="AC152" s="309"/>
      <c r="AD152" s="309"/>
      <c r="AE152" s="309"/>
      <c r="AF152" s="309"/>
      <c r="AG152" s="309"/>
      <c r="AH152" s="309"/>
      <c r="AI152" s="309"/>
      <c r="AJ152" s="309"/>
      <c r="AK152" s="309"/>
      <c r="AL152" s="309"/>
      <c r="AM152" s="309"/>
      <c r="AN152" s="309"/>
      <c r="AO152" s="309"/>
      <c r="AP152" s="309"/>
      <c r="AQ152" s="304"/>
      <c r="AR152" s="304"/>
    </row>
    <row r="153" spans="3:44" x14ac:dyDescent="0.25">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3:44" x14ac:dyDescent="0.25">
      <c r="C154" s="31" t="str">
        <f ca="1">INDEX('Version control'!$H$34:$H$56,MATCH($A$1,'Version control'!$F$34:$F$56,0),1)&amp;"-F: Contributions to unit rate 2 p/kWh by network level (taking account of standing charges)"</f>
        <v>Section 111-F: Contributions to unit rate 2 p/kWh by network level (taking account of standing charges)</v>
      </c>
      <c r="D154" s="31"/>
      <c r="E154" s="31"/>
      <c r="F154" s="31"/>
      <c r="G154" s="31"/>
      <c r="H154" s="31"/>
      <c r="I154" s="31"/>
      <c r="J154" s="93"/>
      <c r="K154" s="93"/>
      <c r="L154" s="93"/>
      <c r="M154" s="93"/>
      <c r="N154" s="93"/>
      <c r="O154" s="93"/>
      <c r="P154" s="93"/>
      <c r="Q154" s="93"/>
      <c r="R154" s="93"/>
      <c r="S154" s="93"/>
      <c r="T154" s="93"/>
      <c r="U154" s="93"/>
      <c r="V154" s="93"/>
      <c r="W154" s="93"/>
      <c r="X154" s="93"/>
      <c r="Y154" s="93"/>
      <c r="Z154" s="93"/>
      <c r="AA154" s="93"/>
      <c r="AB154" s="93"/>
      <c r="AC154" s="93"/>
      <c r="AD154" s="93"/>
      <c r="AE154" s="93"/>
      <c r="AF154" s="93"/>
      <c r="AG154" s="93"/>
      <c r="AH154" s="93"/>
      <c r="AI154" s="93"/>
      <c r="AJ154" s="93"/>
      <c r="AK154" s="93"/>
      <c r="AL154" s="93"/>
      <c r="AM154" s="93"/>
      <c r="AN154" s="93"/>
      <c r="AO154" s="93"/>
      <c r="AP154" s="93"/>
      <c r="AQ154" s="31"/>
      <c r="AR154" s="31"/>
    </row>
    <row r="155" spans="3:44" x14ac:dyDescent="0.25">
      <c r="C155" s="32"/>
      <c r="D155" s="32"/>
      <c r="E155"/>
      <c r="I155" t="s">
        <v>190</v>
      </c>
      <c r="J155" s="92"/>
      <c r="K155" s="92"/>
      <c r="L155" s="92"/>
      <c r="M155" s="92"/>
      <c r="N155" s="92"/>
      <c r="O155" s="92"/>
      <c r="P155" s="92"/>
      <c r="Q155" s="92"/>
      <c r="R155" s="92"/>
      <c r="S155" s="92"/>
      <c r="T155" s="92"/>
      <c r="U155" s="92"/>
      <c r="V155" s="92"/>
      <c r="W155" s="92"/>
      <c r="X155" s="92"/>
      <c r="Y155" s="92"/>
      <c r="Z155" s="92"/>
      <c r="AA155" s="92"/>
      <c r="AB155" s="92"/>
      <c r="AC155" s="92"/>
      <c r="AD155" s="92"/>
      <c r="AE155" s="92"/>
      <c r="AF155" s="92"/>
      <c r="AG155" s="92"/>
      <c r="AH155" s="92"/>
      <c r="AI155" s="92"/>
      <c r="AJ155" s="92"/>
      <c r="AK155" s="92"/>
      <c r="AL155" s="92"/>
      <c r="AM155" s="92"/>
      <c r="AN155" s="92"/>
      <c r="AO155" s="92"/>
      <c r="AP155" s="92"/>
      <c r="AR155" t="s">
        <v>781</v>
      </c>
    </row>
    <row r="156" spans="3:44" x14ac:dyDescent="0.25">
      <c r="E156" s="32" t="s">
        <v>733</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row>
    <row r="157" spans="3:44" x14ac:dyDescent="0.25">
      <c r="F157" s="23" t="s">
        <v>225</v>
      </c>
      <c r="G157" s="23" t="s">
        <v>327</v>
      </c>
      <c r="H157" s="302"/>
      <c r="I157" s="302"/>
      <c r="J157" s="321">
        <f t="shared" ref="J157:AP157" si="20">J52 * (1 - J$112)</f>
        <v>0</v>
      </c>
      <c r="K157" s="321">
        <f t="shared" si="20"/>
        <v>0</v>
      </c>
      <c r="L157" s="321">
        <f t="shared" si="20"/>
        <v>0</v>
      </c>
      <c r="M157" s="321">
        <f t="shared" si="20"/>
        <v>0</v>
      </c>
      <c r="N157" s="321">
        <f t="shared" si="20"/>
        <v>0</v>
      </c>
      <c r="O157" s="321">
        <f t="shared" si="20"/>
        <v>0</v>
      </c>
      <c r="P157" s="321">
        <f t="shared" si="20"/>
        <v>0</v>
      </c>
      <c r="Q157" s="321">
        <f t="shared" si="20"/>
        <v>0</v>
      </c>
      <c r="R157" s="321">
        <f t="shared" si="20"/>
        <v>0</v>
      </c>
      <c r="S157" s="321">
        <f t="shared" si="20"/>
        <v>0</v>
      </c>
      <c r="T157" s="321">
        <f t="shared" si="20"/>
        <v>0</v>
      </c>
      <c r="U157" s="321">
        <f t="shared" si="20"/>
        <v>0</v>
      </c>
      <c r="V157" s="321">
        <f t="shared" si="20"/>
        <v>0</v>
      </c>
      <c r="W157" s="321">
        <f t="shared" si="20"/>
        <v>0</v>
      </c>
      <c r="X157" s="321">
        <f t="shared" si="20"/>
        <v>0</v>
      </c>
      <c r="Y157" s="321">
        <f t="shared" si="20"/>
        <v>0</v>
      </c>
      <c r="Z157" s="321">
        <f t="shared" si="20"/>
        <v>0</v>
      </c>
      <c r="AA157" s="321">
        <f t="shared" si="20"/>
        <v>0</v>
      </c>
      <c r="AB157" s="321">
        <f t="shared" si="20"/>
        <v>0</v>
      </c>
      <c r="AC157" s="321">
        <f t="shared" si="20"/>
        <v>0</v>
      </c>
      <c r="AD157" s="321">
        <f t="shared" si="20"/>
        <v>0</v>
      </c>
      <c r="AE157" s="321">
        <f t="shared" si="20"/>
        <v>0</v>
      </c>
      <c r="AF157" s="321">
        <f t="shared" si="20"/>
        <v>0</v>
      </c>
      <c r="AG157" s="321">
        <f t="shared" si="20"/>
        <v>0</v>
      </c>
      <c r="AH157" s="321">
        <f t="shared" si="20"/>
        <v>0</v>
      </c>
      <c r="AI157" s="321">
        <f t="shared" si="20"/>
        <v>0</v>
      </c>
      <c r="AJ157" s="321">
        <f t="shared" si="20"/>
        <v>0</v>
      </c>
      <c r="AK157" s="321">
        <f t="shared" si="20"/>
        <v>0</v>
      </c>
      <c r="AL157" s="321">
        <f t="shared" si="20"/>
        <v>0</v>
      </c>
      <c r="AM157" s="321">
        <f t="shared" si="20"/>
        <v>0</v>
      </c>
      <c r="AN157" s="321">
        <f t="shared" si="20"/>
        <v>0</v>
      </c>
      <c r="AO157" s="321">
        <f t="shared" si="20"/>
        <v>0</v>
      </c>
      <c r="AP157" s="321">
        <f t="shared" si="20"/>
        <v>0</v>
      </c>
      <c r="AQ157" s="304"/>
      <c r="AR157" s="304"/>
    </row>
    <row r="158" spans="3:44" x14ac:dyDescent="0.25">
      <c r="F158" t="s">
        <v>227</v>
      </c>
      <c r="G158" t="s">
        <v>327</v>
      </c>
      <c r="H158" s="304"/>
      <c r="I158" s="304"/>
      <c r="J158" s="322">
        <f t="shared" ref="J158:AP158" si="21">J53 * (1 - J$112)</f>
        <v>0</v>
      </c>
      <c r="K158" s="322">
        <f t="shared" si="21"/>
        <v>0</v>
      </c>
      <c r="L158" s="322">
        <f t="shared" si="21"/>
        <v>0</v>
      </c>
      <c r="M158" s="322">
        <f t="shared" si="21"/>
        <v>0</v>
      </c>
      <c r="N158" s="322">
        <f t="shared" si="21"/>
        <v>0</v>
      </c>
      <c r="O158" s="322">
        <f t="shared" si="21"/>
        <v>0</v>
      </c>
      <c r="P158" s="322">
        <f t="shared" si="21"/>
        <v>0</v>
      </c>
      <c r="Q158" s="322">
        <f t="shared" si="21"/>
        <v>0</v>
      </c>
      <c r="R158" s="322">
        <f t="shared" si="21"/>
        <v>0</v>
      </c>
      <c r="S158" s="322">
        <f t="shared" si="21"/>
        <v>0</v>
      </c>
      <c r="T158" s="322">
        <f t="shared" si="21"/>
        <v>0</v>
      </c>
      <c r="U158" s="322">
        <f t="shared" si="21"/>
        <v>0</v>
      </c>
      <c r="V158" s="322">
        <f t="shared" si="21"/>
        <v>0</v>
      </c>
      <c r="W158" s="322">
        <f t="shared" si="21"/>
        <v>0</v>
      </c>
      <c r="X158" s="322">
        <f t="shared" si="21"/>
        <v>0</v>
      </c>
      <c r="Y158" s="322">
        <f t="shared" si="21"/>
        <v>0</v>
      </c>
      <c r="Z158" s="322">
        <f t="shared" si="21"/>
        <v>0</v>
      </c>
      <c r="AA158" s="322">
        <f t="shared" si="21"/>
        <v>0</v>
      </c>
      <c r="AB158" s="322">
        <f t="shared" si="21"/>
        <v>0</v>
      </c>
      <c r="AC158" s="322">
        <f t="shared" si="21"/>
        <v>0</v>
      </c>
      <c r="AD158" s="322">
        <f t="shared" si="21"/>
        <v>0</v>
      </c>
      <c r="AE158" s="322">
        <f t="shared" si="21"/>
        <v>0</v>
      </c>
      <c r="AF158" s="322">
        <f t="shared" si="21"/>
        <v>0</v>
      </c>
      <c r="AG158" s="322">
        <f t="shared" si="21"/>
        <v>0</v>
      </c>
      <c r="AH158" s="322">
        <f t="shared" si="21"/>
        <v>0</v>
      </c>
      <c r="AI158" s="322">
        <f t="shared" si="21"/>
        <v>0</v>
      </c>
      <c r="AJ158" s="322">
        <f t="shared" si="21"/>
        <v>0</v>
      </c>
      <c r="AK158" s="322">
        <f t="shared" si="21"/>
        <v>0</v>
      </c>
      <c r="AL158" s="322">
        <f t="shared" si="21"/>
        <v>0</v>
      </c>
      <c r="AM158" s="322">
        <f t="shared" si="21"/>
        <v>0</v>
      </c>
      <c r="AN158" s="322">
        <f t="shared" si="21"/>
        <v>0</v>
      </c>
      <c r="AO158" s="322">
        <f t="shared" si="21"/>
        <v>0</v>
      </c>
      <c r="AP158" s="322">
        <f t="shared" si="21"/>
        <v>0</v>
      </c>
      <c r="AQ158" s="304"/>
      <c r="AR158" s="304"/>
    </row>
    <row r="159" spans="3:44" x14ac:dyDescent="0.25">
      <c r="F159" t="s">
        <v>228</v>
      </c>
      <c r="G159" t="s">
        <v>327</v>
      </c>
      <c r="H159" s="304"/>
      <c r="I159" s="304"/>
      <c r="J159" s="322">
        <f t="shared" ref="J159:AP159" si="22">J54 * (1 - J$113)</f>
        <v>0</v>
      </c>
      <c r="K159" s="322">
        <f t="shared" si="22"/>
        <v>0</v>
      </c>
      <c r="L159" s="322">
        <f t="shared" si="22"/>
        <v>0</v>
      </c>
      <c r="M159" s="322">
        <f t="shared" si="22"/>
        <v>0</v>
      </c>
      <c r="N159" s="322">
        <f t="shared" si="22"/>
        <v>0</v>
      </c>
      <c r="O159" s="322">
        <f t="shared" si="22"/>
        <v>0</v>
      </c>
      <c r="P159" s="322">
        <f t="shared" si="22"/>
        <v>0</v>
      </c>
      <c r="Q159" s="322">
        <f t="shared" si="22"/>
        <v>0</v>
      </c>
      <c r="R159" s="322">
        <f t="shared" si="22"/>
        <v>0</v>
      </c>
      <c r="S159" s="322">
        <f t="shared" si="22"/>
        <v>0</v>
      </c>
      <c r="T159" s="322">
        <f t="shared" si="22"/>
        <v>0</v>
      </c>
      <c r="U159" s="322">
        <f t="shared" si="22"/>
        <v>0</v>
      </c>
      <c r="V159" s="322">
        <f t="shared" si="22"/>
        <v>0</v>
      </c>
      <c r="W159" s="322">
        <f t="shared" si="22"/>
        <v>0</v>
      </c>
      <c r="X159" s="322">
        <f t="shared" si="22"/>
        <v>0</v>
      </c>
      <c r="Y159" s="322">
        <f t="shared" si="22"/>
        <v>0</v>
      </c>
      <c r="Z159" s="322">
        <f t="shared" si="22"/>
        <v>0</v>
      </c>
      <c r="AA159" s="322">
        <f t="shared" si="22"/>
        <v>0</v>
      </c>
      <c r="AB159" s="322">
        <f t="shared" si="22"/>
        <v>0</v>
      </c>
      <c r="AC159" s="322">
        <f t="shared" si="22"/>
        <v>0</v>
      </c>
      <c r="AD159" s="322">
        <f t="shared" si="22"/>
        <v>0</v>
      </c>
      <c r="AE159" s="322">
        <f t="shared" si="22"/>
        <v>0</v>
      </c>
      <c r="AF159" s="322">
        <f t="shared" si="22"/>
        <v>0</v>
      </c>
      <c r="AG159" s="322">
        <f t="shared" si="22"/>
        <v>0</v>
      </c>
      <c r="AH159" s="322">
        <f t="shared" si="22"/>
        <v>0</v>
      </c>
      <c r="AI159" s="322">
        <f t="shared" si="22"/>
        <v>0</v>
      </c>
      <c r="AJ159" s="322">
        <f t="shared" si="22"/>
        <v>0</v>
      </c>
      <c r="AK159" s="322">
        <f t="shared" si="22"/>
        <v>0</v>
      </c>
      <c r="AL159" s="322">
        <f t="shared" si="22"/>
        <v>0</v>
      </c>
      <c r="AM159" s="322">
        <f t="shared" si="22"/>
        <v>0</v>
      </c>
      <c r="AN159" s="322">
        <f t="shared" si="22"/>
        <v>0</v>
      </c>
      <c r="AO159" s="322">
        <f t="shared" si="22"/>
        <v>0</v>
      </c>
      <c r="AP159" s="322">
        <f t="shared" si="22"/>
        <v>0</v>
      </c>
      <c r="AQ159" s="304"/>
      <c r="AR159" s="304"/>
    </row>
    <row r="160" spans="3:44" x14ac:dyDescent="0.25">
      <c r="F160" t="s">
        <v>229</v>
      </c>
      <c r="G160" t="s">
        <v>327</v>
      </c>
      <c r="H160" s="304"/>
      <c r="I160" s="304"/>
      <c r="J160" s="322">
        <f t="shared" ref="J160:AP160" si="23">J55 * (1 - J$114)</f>
        <v>0</v>
      </c>
      <c r="K160" s="322">
        <f t="shared" si="23"/>
        <v>0</v>
      </c>
      <c r="L160" s="322">
        <f t="shared" si="23"/>
        <v>0</v>
      </c>
      <c r="M160" s="322">
        <f t="shared" si="23"/>
        <v>0</v>
      </c>
      <c r="N160" s="322">
        <f t="shared" si="23"/>
        <v>0</v>
      </c>
      <c r="O160" s="322">
        <f t="shared" si="23"/>
        <v>0</v>
      </c>
      <c r="P160" s="322">
        <f t="shared" si="23"/>
        <v>0</v>
      </c>
      <c r="Q160" s="322">
        <f t="shared" si="23"/>
        <v>0</v>
      </c>
      <c r="R160" s="322">
        <f t="shared" si="23"/>
        <v>0</v>
      </c>
      <c r="S160" s="322">
        <f t="shared" si="23"/>
        <v>0</v>
      </c>
      <c r="T160" s="322">
        <f t="shared" si="23"/>
        <v>0</v>
      </c>
      <c r="U160" s="322">
        <f t="shared" si="23"/>
        <v>0</v>
      </c>
      <c r="V160" s="322">
        <f t="shared" si="23"/>
        <v>0</v>
      </c>
      <c r="W160" s="322">
        <f t="shared" si="23"/>
        <v>0</v>
      </c>
      <c r="X160" s="322">
        <f t="shared" si="23"/>
        <v>0</v>
      </c>
      <c r="Y160" s="322">
        <f t="shared" si="23"/>
        <v>0</v>
      </c>
      <c r="Z160" s="322">
        <f t="shared" si="23"/>
        <v>0</v>
      </c>
      <c r="AA160" s="322">
        <f t="shared" si="23"/>
        <v>0</v>
      </c>
      <c r="AB160" s="322">
        <f t="shared" si="23"/>
        <v>0</v>
      </c>
      <c r="AC160" s="322">
        <f t="shared" si="23"/>
        <v>0</v>
      </c>
      <c r="AD160" s="322">
        <f t="shared" si="23"/>
        <v>0</v>
      </c>
      <c r="AE160" s="322">
        <f t="shared" si="23"/>
        <v>0</v>
      </c>
      <c r="AF160" s="322">
        <f t="shared" si="23"/>
        <v>0</v>
      </c>
      <c r="AG160" s="322">
        <f t="shared" si="23"/>
        <v>0</v>
      </c>
      <c r="AH160" s="322">
        <f t="shared" si="23"/>
        <v>0</v>
      </c>
      <c r="AI160" s="322">
        <f t="shared" si="23"/>
        <v>0</v>
      </c>
      <c r="AJ160" s="322">
        <f t="shared" si="23"/>
        <v>0</v>
      </c>
      <c r="AK160" s="322">
        <f t="shared" si="23"/>
        <v>0</v>
      </c>
      <c r="AL160" s="322">
        <f t="shared" si="23"/>
        <v>0</v>
      </c>
      <c r="AM160" s="322">
        <f t="shared" si="23"/>
        <v>0</v>
      </c>
      <c r="AN160" s="322">
        <f t="shared" si="23"/>
        <v>0</v>
      </c>
      <c r="AO160" s="322">
        <f t="shared" si="23"/>
        <v>0</v>
      </c>
      <c r="AP160" s="322">
        <f t="shared" si="23"/>
        <v>0</v>
      </c>
      <c r="AQ160" s="304"/>
      <c r="AR160" s="304"/>
    </row>
    <row r="161" spans="4:44" x14ac:dyDescent="0.25">
      <c r="F161" t="s">
        <v>230</v>
      </c>
      <c r="G161" t="s">
        <v>327</v>
      </c>
      <c r="H161" s="304"/>
      <c r="I161" s="304"/>
      <c r="J161" s="322">
        <f t="shared" ref="J161:AP161" si="24">J56 * (1 - J$115)</f>
        <v>0</v>
      </c>
      <c r="K161" s="322">
        <f t="shared" si="24"/>
        <v>7.3258935303222084E-2</v>
      </c>
      <c r="L161" s="322">
        <f t="shared" si="24"/>
        <v>0</v>
      </c>
      <c r="M161" s="322">
        <f t="shared" si="24"/>
        <v>0</v>
      </c>
      <c r="N161" s="322">
        <f t="shared" si="24"/>
        <v>6.2675118650471484E-2</v>
      </c>
      <c r="O161" s="322">
        <f t="shared" si="24"/>
        <v>0</v>
      </c>
      <c r="P161" s="322">
        <f t="shared" si="24"/>
        <v>5.8967812080897568E-2</v>
      </c>
      <c r="Q161" s="322">
        <f t="shared" si="24"/>
        <v>4.6542349325045911E-2</v>
      </c>
      <c r="R161" s="322">
        <f t="shared" si="24"/>
        <v>5.0036658049628216E-2</v>
      </c>
      <c r="S161" s="322">
        <f t="shared" si="24"/>
        <v>0.11998812561903346</v>
      </c>
      <c r="T161" s="322">
        <f t="shared" si="24"/>
        <v>0.13115840740957549</v>
      </c>
      <c r="U161" s="322">
        <f t="shared" si="24"/>
        <v>0.10416790382856292</v>
      </c>
      <c r="V161" s="322">
        <f t="shared" si="24"/>
        <v>0.10027555624713674</v>
      </c>
      <c r="W161" s="322">
        <f t="shared" si="24"/>
        <v>7.4177695572522379E-2</v>
      </c>
      <c r="X161" s="322">
        <f t="shared" si="24"/>
        <v>0</v>
      </c>
      <c r="Y161" s="322">
        <f t="shared" si="24"/>
        <v>0</v>
      </c>
      <c r="Z161" s="322">
        <f t="shared" si="24"/>
        <v>0</v>
      </c>
      <c r="AA161" s="322">
        <f t="shared" si="24"/>
        <v>0</v>
      </c>
      <c r="AB161" s="322">
        <f t="shared" si="24"/>
        <v>0.10088471930323216</v>
      </c>
      <c r="AC161" s="322">
        <f t="shared" si="24"/>
        <v>0</v>
      </c>
      <c r="AD161" s="322">
        <f t="shared" si="24"/>
        <v>0</v>
      </c>
      <c r="AE161" s="322">
        <f t="shared" si="24"/>
        <v>0</v>
      </c>
      <c r="AF161" s="322">
        <f t="shared" si="24"/>
        <v>0</v>
      </c>
      <c r="AG161" s="322">
        <f t="shared" si="24"/>
        <v>-8.7531396973674847E-2</v>
      </c>
      <c r="AH161" s="322">
        <f t="shared" si="24"/>
        <v>-8.7531396973674847E-2</v>
      </c>
      <c r="AI161" s="322">
        <f t="shared" si="24"/>
        <v>0</v>
      </c>
      <c r="AJ161" s="322">
        <f t="shared" si="24"/>
        <v>0</v>
      </c>
      <c r="AK161" s="322">
        <f t="shared" si="24"/>
        <v>-8.4881363854288364E-2</v>
      </c>
      <c r="AL161" s="322">
        <f t="shared" si="24"/>
        <v>-8.4881363854288364E-2</v>
      </c>
      <c r="AM161" s="322">
        <f t="shared" si="24"/>
        <v>0</v>
      </c>
      <c r="AN161" s="322">
        <f t="shared" si="24"/>
        <v>0</v>
      </c>
      <c r="AO161" s="322">
        <f t="shared" si="24"/>
        <v>-8.2674323200553984E-2</v>
      </c>
      <c r="AP161" s="322">
        <f t="shared" si="24"/>
        <v>-8.2674323200553984E-2</v>
      </c>
      <c r="AQ161" s="304"/>
      <c r="AR161" s="304"/>
    </row>
    <row r="162" spans="4:44" x14ac:dyDescent="0.25">
      <c r="F162" t="s">
        <v>231</v>
      </c>
      <c r="G162" t="s">
        <v>327</v>
      </c>
      <c r="H162" s="304"/>
      <c r="I162" s="304"/>
      <c r="J162" s="322">
        <f t="shared" ref="J162:AP162" si="25">J57 * (1 - J$116)</f>
        <v>0</v>
      </c>
      <c r="K162" s="322">
        <f t="shared" si="25"/>
        <v>6.6435994802145515E-2</v>
      </c>
      <c r="L162" s="322">
        <f t="shared" si="25"/>
        <v>0</v>
      </c>
      <c r="M162" s="322">
        <f t="shared" si="25"/>
        <v>0</v>
      </c>
      <c r="N162" s="322">
        <f t="shared" si="25"/>
        <v>5.6837897515873932E-2</v>
      </c>
      <c r="O162" s="322">
        <f t="shared" si="25"/>
        <v>0</v>
      </c>
      <c r="P162" s="322">
        <f t="shared" si="25"/>
        <v>5.3475869403306751E-2</v>
      </c>
      <c r="Q162" s="322">
        <f t="shared" si="25"/>
        <v>4.2207646958560066E-2</v>
      </c>
      <c r="R162" s="322">
        <f t="shared" si="25"/>
        <v>0</v>
      </c>
      <c r="S162" s="322">
        <f t="shared" si="25"/>
        <v>0.10881308139342674</v>
      </c>
      <c r="T162" s="322">
        <f t="shared" si="25"/>
        <v>0.11894302363055217</v>
      </c>
      <c r="U162" s="322">
        <f t="shared" si="25"/>
        <v>9.4466269386260376E-2</v>
      </c>
      <c r="V162" s="322">
        <f t="shared" si="25"/>
        <v>9.0936433979597026E-2</v>
      </c>
      <c r="W162" s="322">
        <f t="shared" si="25"/>
        <v>0</v>
      </c>
      <c r="X162" s="322">
        <f t="shared" si="25"/>
        <v>0</v>
      </c>
      <c r="Y162" s="322">
        <f t="shared" si="25"/>
        <v>0</v>
      </c>
      <c r="Z162" s="322">
        <f t="shared" si="25"/>
        <v>0</v>
      </c>
      <c r="AA162" s="322">
        <f t="shared" si="25"/>
        <v>0</v>
      </c>
      <c r="AB162" s="322">
        <f t="shared" si="25"/>
        <v>9.1488862887564443E-2</v>
      </c>
      <c r="AC162" s="322">
        <f t="shared" si="25"/>
        <v>0</v>
      </c>
      <c r="AD162" s="322">
        <f t="shared" si="25"/>
        <v>0</v>
      </c>
      <c r="AE162" s="322">
        <f t="shared" si="25"/>
        <v>0</v>
      </c>
      <c r="AF162" s="322">
        <f t="shared" si="25"/>
        <v>0</v>
      </c>
      <c r="AG162" s="322">
        <f t="shared" si="25"/>
        <v>-7.9379196684992367E-2</v>
      </c>
      <c r="AH162" s="322">
        <f t="shared" si="25"/>
        <v>-7.9379196684992367E-2</v>
      </c>
      <c r="AI162" s="322">
        <f t="shared" si="25"/>
        <v>0</v>
      </c>
      <c r="AJ162" s="322">
        <f t="shared" si="25"/>
        <v>0</v>
      </c>
      <c r="AK162" s="322">
        <f t="shared" si="25"/>
        <v>-7.6975973299116443E-2</v>
      </c>
      <c r="AL162" s="322">
        <f t="shared" si="25"/>
        <v>-7.6975973299116443E-2</v>
      </c>
      <c r="AM162" s="322">
        <f t="shared" si="25"/>
        <v>0</v>
      </c>
      <c r="AN162" s="322">
        <f t="shared" si="25"/>
        <v>0</v>
      </c>
      <c r="AO162" s="322">
        <f t="shared" si="25"/>
        <v>-7.5116101122247342E-2</v>
      </c>
      <c r="AP162" s="322">
        <f t="shared" si="25"/>
        <v>-7.5116101122247342E-2</v>
      </c>
      <c r="AQ162" s="304"/>
      <c r="AR162" s="304"/>
    </row>
    <row r="163" spans="4:44" x14ac:dyDescent="0.25">
      <c r="F163" t="s">
        <v>232</v>
      </c>
      <c r="G163" t="s">
        <v>327</v>
      </c>
      <c r="H163" s="304"/>
      <c r="I163" s="304"/>
      <c r="J163" s="322">
        <f t="shared" ref="J163:AP163" si="26">J58 * (1 - J$117)</f>
        <v>0</v>
      </c>
      <c r="K163" s="322">
        <f t="shared" si="26"/>
        <v>0</v>
      </c>
      <c r="L163" s="322">
        <f t="shared" si="26"/>
        <v>0</v>
      </c>
      <c r="M163" s="322">
        <f t="shared" si="26"/>
        <v>0</v>
      </c>
      <c r="N163" s="322">
        <f t="shared" si="26"/>
        <v>0</v>
      </c>
      <c r="O163" s="322">
        <f t="shared" si="26"/>
        <v>0</v>
      </c>
      <c r="P163" s="322">
        <f t="shared" si="26"/>
        <v>0</v>
      </c>
      <c r="Q163" s="322">
        <f t="shared" si="26"/>
        <v>0</v>
      </c>
      <c r="R163" s="322">
        <f t="shared" si="26"/>
        <v>0</v>
      </c>
      <c r="S163" s="322">
        <f t="shared" si="26"/>
        <v>0</v>
      </c>
      <c r="T163" s="322">
        <f t="shared" si="26"/>
        <v>0</v>
      </c>
      <c r="U163" s="322">
        <f t="shared" si="26"/>
        <v>0</v>
      </c>
      <c r="V163" s="322">
        <f t="shared" si="26"/>
        <v>0</v>
      </c>
      <c r="W163" s="322">
        <f t="shared" si="26"/>
        <v>0</v>
      </c>
      <c r="X163" s="322">
        <f t="shared" si="26"/>
        <v>0</v>
      </c>
      <c r="Y163" s="322">
        <f t="shared" si="26"/>
        <v>0</v>
      </c>
      <c r="Z163" s="322">
        <f t="shared" si="26"/>
        <v>0</v>
      </c>
      <c r="AA163" s="322">
        <f t="shared" si="26"/>
        <v>0</v>
      </c>
      <c r="AB163" s="322">
        <f t="shared" si="26"/>
        <v>0</v>
      </c>
      <c r="AC163" s="322">
        <f t="shared" si="26"/>
        <v>0</v>
      </c>
      <c r="AD163" s="322">
        <f t="shared" si="26"/>
        <v>0</v>
      </c>
      <c r="AE163" s="322">
        <f t="shared" si="26"/>
        <v>0</v>
      </c>
      <c r="AF163" s="322">
        <f t="shared" si="26"/>
        <v>0</v>
      </c>
      <c r="AG163" s="322">
        <f t="shared" si="26"/>
        <v>0</v>
      </c>
      <c r="AH163" s="322">
        <f t="shared" si="26"/>
        <v>0</v>
      </c>
      <c r="AI163" s="322">
        <f t="shared" si="26"/>
        <v>0</v>
      </c>
      <c r="AJ163" s="322">
        <f t="shared" si="26"/>
        <v>0</v>
      </c>
      <c r="AK163" s="322">
        <f t="shared" si="26"/>
        <v>0</v>
      </c>
      <c r="AL163" s="322">
        <f t="shared" si="26"/>
        <v>0</v>
      </c>
      <c r="AM163" s="322">
        <f t="shared" si="26"/>
        <v>0</v>
      </c>
      <c r="AN163" s="322">
        <f t="shared" si="26"/>
        <v>0</v>
      </c>
      <c r="AO163" s="322">
        <f t="shared" si="26"/>
        <v>0</v>
      </c>
      <c r="AP163" s="322">
        <f t="shared" si="26"/>
        <v>0</v>
      </c>
      <c r="AQ163" s="304"/>
      <c r="AR163" s="304"/>
    </row>
    <row r="164" spans="4:44" x14ac:dyDescent="0.25">
      <c r="F164" t="s">
        <v>233</v>
      </c>
      <c r="G164" t="s">
        <v>327</v>
      </c>
      <c r="H164" s="304"/>
      <c r="I164" s="304"/>
      <c r="J164" s="322">
        <f t="shared" ref="J164:AP164" si="27">J59 * (1 - J$118)</f>
        <v>0</v>
      </c>
      <c r="K164" s="322">
        <f t="shared" si="27"/>
        <v>0.15845299011538994</v>
      </c>
      <c r="L164" s="322">
        <f t="shared" si="27"/>
        <v>0</v>
      </c>
      <c r="M164" s="322">
        <f t="shared" si="27"/>
        <v>0</v>
      </c>
      <c r="N164" s="322">
        <f t="shared" si="27"/>
        <v>0.1355610740846688</v>
      </c>
      <c r="O164" s="322">
        <f t="shared" si="27"/>
        <v>0</v>
      </c>
      <c r="P164" s="322">
        <f t="shared" si="27"/>
        <v>0.12754247800772611</v>
      </c>
      <c r="Q164" s="322">
        <f t="shared" si="27"/>
        <v>0.10066723447486636</v>
      </c>
      <c r="R164" s="322">
        <f t="shared" si="27"/>
        <v>0</v>
      </c>
      <c r="S164" s="322">
        <f t="shared" si="27"/>
        <v>0.25952434612901976</v>
      </c>
      <c r="T164" s="322">
        <f t="shared" si="27"/>
        <v>0.28368473752451179</v>
      </c>
      <c r="U164" s="322">
        <f t="shared" si="27"/>
        <v>0.18024521669467627</v>
      </c>
      <c r="V164" s="322">
        <f t="shared" si="27"/>
        <v>0</v>
      </c>
      <c r="W164" s="322">
        <f t="shared" si="27"/>
        <v>0</v>
      </c>
      <c r="X164" s="322">
        <f t="shared" si="27"/>
        <v>0</v>
      </c>
      <c r="Y164" s="322">
        <f t="shared" si="27"/>
        <v>0</v>
      </c>
      <c r="Z164" s="322">
        <f t="shared" si="27"/>
        <v>0</v>
      </c>
      <c r="AA164" s="322">
        <f t="shared" si="27"/>
        <v>0</v>
      </c>
      <c r="AB164" s="322">
        <f t="shared" si="27"/>
        <v>0.21820526553360725</v>
      </c>
      <c r="AC164" s="322">
        <f t="shared" si="27"/>
        <v>0</v>
      </c>
      <c r="AD164" s="322">
        <f t="shared" si="27"/>
        <v>0</v>
      </c>
      <c r="AE164" s="322">
        <f t="shared" si="27"/>
        <v>0</v>
      </c>
      <c r="AF164" s="322">
        <f t="shared" si="27"/>
        <v>0</v>
      </c>
      <c r="AG164" s="322">
        <f t="shared" si="27"/>
        <v>-0.18932313883690796</v>
      </c>
      <c r="AH164" s="322">
        <f t="shared" si="27"/>
        <v>-0.18932313883690796</v>
      </c>
      <c r="AI164" s="322">
        <f t="shared" si="27"/>
        <v>0</v>
      </c>
      <c r="AJ164" s="322">
        <f t="shared" si="27"/>
        <v>0</v>
      </c>
      <c r="AK164" s="322">
        <f t="shared" si="27"/>
        <v>-0.18359133738588226</v>
      </c>
      <c r="AL164" s="322">
        <f t="shared" si="27"/>
        <v>-0.18359133738588226</v>
      </c>
      <c r="AM164" s="322">
        <f t="shared" si="27"/>
        <v>0</v>
      </c>
      <c r="AN164" s="322">
        <f t="shared" si="27"/>
        <v>0</v>
      </c>
      <c r="AO164" s="322">
        <f t="shared" si="27"/>
        <v>0</v>
      </c>
      <c r="AP164" s="322">
        <f t="shared" si="27"/>
        <v>0</v>
      </c>
      <c r="AQ164" s="304"/>
      <c r="AR164" s="304"/>
    </row>
    <row r="165" spans="4:44" x14ac:dyDescent="0.25">
      <c r="F165" t="s">
        <v>234</v>
      </c>
      <c r="G165" t="s">
        <v>327</v>
      </c>
      <c r="H165" s="304"/>
      <c r="I165" s="304"/>
      <c r="J165" s="322">
        <f t="shared" ref="J165:AP165" si="28">J60 * (1 - J$119)</f>
        <v>0</v>
      </c>
      <c r="K165" s="322">
        <f t="shared" si="28"/>
        <v>1.4512128507730362E-2</v>
      </c>
      <c r="L165" s="322">
        <f t="shared" si="28"/>
        <v>0</v>
      </c>
      <c r="M165" s="322">
        <f t="shared" si="28"/>
        <v>0</v>
      </c>
      <c r="N165" s="322">
        <f t="shared" si="28"/>
        <v>1.2415541835657637E-2</v>
      </c>
      <c r="O165" s="322">
        <f t="shared" si="28"/>
        <v>0</v>
      </c>
      <c r="P165" s="322">
        <f t="shared" si="28"/>
        <v>1.1681148015538285E-2</v>
      </c>
      <c r="Q165" s="322">
        <f t="shared" si="28"/>
        <v>0</v>
      </c>
      <c r="R165" s="322">
        <f t="shared" si="28"/>
        <v>0</v>
      </c>
      <c r="S165" s="322">
        <f t="shared" si="28"/>
        <v>2.376888349766287E-2</v>
      </c>
      <c r="T165" s="322">
        <f t="shared" si="28"/>
        <v>2.5981645178418236E-2</v>
      </c>
      <c r="U165" s="322">
        <f t="shared" si="28"/>
        <v>0</v>
      </c>
      <c r="V165" s="322">
        <f t="shared" si="28"/>
        <v>0</v>
      </c>
      <c r="W165" s="322">
        <f t="shared" si="28"/>
        <v>0</v>
      </c>
      <c r="X165" s="322">
        <f t="shared" si="28"/>
        <v>0</v>
      </c>
      <c r="Y165" s="322">
        <f t="shared" si="28"/>
        <v>0</v>
      </c>
      <c r="Z165" s="322">
        <f t="shared" si="28"/>
        <v>0</v>
      </c>
      <c r="AA165" s="322">
        <f t="shared" si="28"/>
        <v>0</v>
      </c>
      <c r="AB165" s="322">
        <f t="shared" si="28"/>
        <v>1.9984620373406092E-2</v>
      </c>
      <c r="AC165" s="322">
        <f t="shared" si="28"/>
        <v>0</v>
      </c>
      <c r="AD165" s="322">
        <f t="shared" si="28"/>
        <v>0</v>
      </c>
      <c r="AE165" s="322">
        <f t="shared" si="28"/>
        <v>0</v>
      </c>
      <c r="AF165" s="322">
        <f t="shared" si="28"/>
        <v>0</v>
      </c>
      <c r="AG165" s="322">
        <f t="shared" si="28"/>
        <v>-1.7339412265349439E-2</v>
      </c>
      <c r="AH165" s="322">
        <f t="shared" si="28"/>
        <v>-1.7339412265349439E-2</v>
      </c>
      <c r="AI165" s="322">
        <f t="shared" si="28"/>
        <v>0</v>
      </c>
      <c r="AJ165" s="322">
        <f t="shared" si="28"/>
        <v>0</v>
      </c>
      <c r="AK165" s="322">
        <f t="shared" si="28"/>
        <v>0</v>
      </c>
      <c r="AL165" s="322">
        <f t="shared" si="28"/>
        <v>0</v>
      </c>
      <c r="AM165" s="322">
        <f t="shared" si="28"/>
        <v>0</v>
      </c>
      <c r="AN165" s="322">
        <f t="shared" si="28"/>
        <v>0</v>
      </c>
      <c r="AO165" s="322">
        <f t="shared" si="28"/>
        <v>0</v>
      </c>
      <c r="AP165" s="322">
        <f t="shared" si="28"/>
        <v>0</v>
      </c>
      <c r="AQ165" s="304"/>
      <c r="AR165" s="304"/>
    </row>
    <row r="166" spans="4:44" x14ac:dyDescent="0.25">
      <c r="F166" t="s">
        <v>235</v>
      </c>
      <c r="G166" t="s">
        <v>327</v>
      </c>
      <c r="H166" s="304"/>
      <c r="I166" s="304"/>
      <c r="J166" s="322">
        <f t="shared" ref="J166:AP166" si="29">J61 * (1 - J$120)</f>
        <v>0</v>
      </c>
      <c r="K166" s="322">
        <f t="shared" si="29"/>
        <v>0</v>
      </c>
      <c r="L166" s="322">
        <f t="shared" si="29"/>
        <v>0</v>
      </c>
      <c r="M166" s="322">
        <f t="shared" si="29"/>
        <v>0</v>
      </c>
      <c r="N166" s="322">
        <f t="shared" si="29"/>
        <v>0</v>
      </c>
      <c r="O166" s="322">
        <f t="shared" si="29"/>
        <v>0</v>
      </c>
      <c r="P166" s="322">
        <f t="shared" si="29"/>
        <v>0</v>
      </c>
      <c r="Q166" s="322">
        <f t="shared" si="29"/>
        <v>0</v>
      </c>
      <c r="R166" s="322">
        <f t="shared" si="29"/>
        <v>0</v>
      </c>
      <c r="S166" s="322">
        <f t="shared" si="29"/>
        <v>0</v>
      </c>
      <c r="T166" s="322">
        <f t="shared" si="29"/>
        <v>0</v>
      </c>
      <c r="U166" s="322">
        <f t="shared" si="29"/>
        <v>0</v>
      </c>
      <c r="V166" s="322">
        <f t="shared" si="29"/>
        <v>0</v>
      </c>
      <c r="W166" s="322">
        <f t="shared" si="29"/>
        <v>0</v>
      </c>
      <c r="X166" s="322">
        <f t="shared" si="29"/>
        <v>0</v>
      </c>
      <c r="Y166" s="322">
        <f t="shared" si="29"/>
        <v>0</v>
      </c>
      <c r="Z166" s="322">
        <f t="shared" si="29"/>
        <v>0</v>
      </c>
      <c r="AA166" s="322">
        <f t="shared" si="29"/>
        <v>0</v>
      </c>
      <c r="AB166" s="322">
        <f t="shared" si="29"/>
        <v>7.2576549861150114E-3</v>
      </c>
      <c r="AC166" s="322">
        <f t="shared" si="29"/>
        <v>0</v>
      </c>
      <c r="AD166" s="322">
        <f t="shared" si="29"/>
        <v>0</v>
      </c>
      <c r="AE166" s="322">
        <f t="shared" si="29"/>
        <v>0</v>
      </c>
      <c r="AF166" s="322">
        <f t="shared" si="29"/>
        <v>0</v>
      </c>
      <c r="AG166" s="322">
        <f t="shared" si="29"/>
        <v>0</v>
      </c>
      <c r="AH166" s="322">
        <f t="shared" si="29"/>
        <v>0</v>
      </c>
      <c r="AI166" s="322">
        <f t="shared" si="29"/>
        <v>0</v>
      </c>
      <c r="AJ166" s="322">
        <f t="shared" si="29"/>
        <v>0</v>
      </c>
      <c r="AK166" s="322">
        <f t="shared" si="29"/>
        <v>0</v>
      </c>
      <c r="AL166" s="322">
        <f t="shared" si="29"/>
        <v>0</v>
      </c>
      <c r="AM166" s="322">
        <f t="shared" si="29"/>
        <v>0</v>
      </c>
      <c r="AN166" s="322">
        <f t="shared" si="29"/>
        <v>0</v>
      </c>
      <c r="AO166" s="322">
        <f t="shared" si="29"/>
        <v>0</v>
      </c>
      <c r="AP166" s="322">
        <f t="shared" si="29"/>
        <v>0</v>
      </c>
      <c r="AQ166" s="304"/>
      <c r="AR166" s="304"/>
    </row>
    <row r="167" spans="4:44" x14ac:dyDescent="0.25">
      <c r="D167"/>
      <c r="F167" s="23" t="s">
        <v>436</v>
      </c>
      <c r="G167" s="23" t="s">
        <v>327</v>
      </c>
      <c r="H167" s="302"/>
      <c r="I167" s="302"/>
      <c r="J167" s="320"/>
      <c r="K167" s="320"/>
      <c r="L167" s="320"/>
      <c r="M167" s="320"/>
      <c r="N167" s="320"/>
      <c r="O167" s="320"/>
      <c r="P167" s="320"/>
      <c r="Q167" s="320"/>
      <c r="R167" s="320"/>
      <c r="S167" s="320"/>
      <c r="T167" s="320"/>
      <c r="U167" s="320"/>
      <c r="V167" s="320"/>
      <c r="W167" s="320"/>
      <c r="X167" s="320"/>
      <c r="Y167" s="320"/>
      <c r="Z167" s="320"/>
      <c r="AA167" s="320"/>
      <c r="AB167" s="320"/>
      <c r="AC167" s="320"/>
      <c r="AD167" s="320"/>
      <c r="AE167" s="320"/>
      <c r="AF167" s="320"/>
      <c r="AG167" s="320"/>
      <c r="AH167" s="320"/>
      <c r="AI167" s="320"/>
      <c r="AJ167" s="320"/>
      <c r="AK167" s="320"/>
      <c r="AL167" s="320"/>
      <c r="AM167" s="320"/>
      <c r="AN167" s="320"/>
      <c r="AO167" s="320"/>
      <c r="AP167" s="320"/>
      <c r="AQ167" s="304"/>
      <c r="AR167" s="304"/>
    </row>
    <row r="168" spans="4:44" x14ac:dyDescent="0.25">
      <c r="D168"/>
      <c r="F168" s="37" t="s">
        <v>437</v>
      </c>
      <c r="G168" s="37" t="s">
        <v>327</v>
      </c>
      <c r="H168" s="308"/>
      <c r="I168" s="308"/>
      <c r="J168" s="309"/>
      <c r="K168" s="309"/>
      <c r="L168" s="309"/>
      <c r="M168" s="309"/>
      <c r="N168" s="309"/>
      <c r="O168" s="309"/>
      <c r="P168" s="309"/>
      <c r="Q168" s="309"/>
      <c r="R168" s="309"/>
      <c r="S168" s="309"/>
      <c r="T168" s="309"/>
      <c r="U168" s="309"/>
      <c r="V168" s="309"/>
      <c r="W168" s="309"/>
      <c r="X168" s="309"/>
      <c r="Y168" s="309"/>
      <c r="Z168" s="309"/>
      <c r="AA168" s="309"/>
      <c r="AB168" s="309"/>
      <c r="AC168" s="309"/>
      <c r="AD168" s="309"/>
      <c r="AE168" s="309"/>
      <c r="AF168" s="309"/>
      <c r="AG168" s="309"/>
      <c r="AH168" s="309"/>
      <c r="AI168" s="309"/>
      <c r="AJ168" s="309"/>
      <c r="AK168" s="309"/>
      <c r="AL168" s="309"/>
      <c r="AM168" s="309"/>
      <c r="AN168" s="309"/>
      <c r="AO168" s="309"/>
      <c r="AP168" s="309"/>
      <c r="AQ168" s="304"/>
      <c r="AR168" s="304"/>
    </row>
    <row r="169" spans="4:44" x14ac:dyDescent="0.25">
      <c r="D169"/>
      <c r="J169" s="92"/>
      <c r="K169" s="92"/>
      <c r="L169" s="92"/>
      <c r="M169" s="92"/>
      <c r="N169" s="92"/>
      <c r="O169" s="92"/>
      <c r="P169" s="92"/>
      <c r="Q169" s="92"/>
      <c r="R169" s="92"/>
      <c r="S169" s="92"/>
      <c r="T169" s="92"/>
      <c r="U169" s="92"/>
      <c r="V169" s="92"/>
      <c r="W169" s="92"/>
      <c r="X169" s="92"/>
      <c r="Y169" s="92"/>
      <c r="Z169" s="92"/>
      <c r="AA169" s="92"/>
      <c r="AB169" s="92"/>
      <c r="AC169" s="92"/>
      <c r="AD169" s="92"/>
      <c r="AE169" s="92"/>
      <c r="AF169" s="92"/>
      <c r="AG169" s="92"/>
      <c r="AH169" s="92"/>
      <c r="AI169" s="92"/>
      <c r="AJ169" s="92"/>
      <c r="AK169" s="92"/>
      <c r="AL169" s="92"/>
      <c r="AM169" s="92"/>
      <c r="AN169" s="92"/>
      <c r="AO169" s="92"/>
      <c r="AP169" s="92"/>
    </row>
    <row r="170" spans="4:44" x14ac:dyDescent="0.25">
      <c r="E170" s="32" t="s">
        <v>734</v>
      </c>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4:44" x14ac:dyDescent="0.25">
      <c r="F171" s="23" t="s">
        <v>225</v>
      </c>
      <c r="G171" s="23" t="s">
        <v>327</v>
      </c>
      <c r="H171" s="302"/>
      <c r="I171" s="302"/>
      <c r="J171" s="321">
        <f t="shared" ref="J171:AP171" si="30">J66 * (1 - J$112)</f>
        <v>0</v>
      </c>
      <c r="K171" s="321">
        <f t="shared" si="30"/>
        <v>0.18593435253173338</v>
      </c>
      <c r="L171" s="321">
        <f t="shared" si="30"/>
        <v>0</v>
      </c>
      <c r="M171" s="321">
        <f t="shared" si="30"/>
        <v>0</v>
      </c>
      <c r="N171" s="321">
        <f t="shared" si="30"/>
        <v>0.15478076868600119</v>
      </c>
      <c r="O171" s="321">
        <f t="shared" si="30"/>
        <v>0</v>
      </c>
      <c r="P171" s="321">
        <f t="shared" si="30"/>
        <v>0.14600459518516759</v>
      </c>
      <c r="Q171" s="321">
        <f t="shared" si="30"/>
        <v>0.11523908777296034</v>
      </c>
      <c r="R171" s="321">
        <f t="shared" si="30"/>
        <v>0.15565500604457028</v>
      </c>
      <c r="S171" s="321">
        <f t="shared" si="30"/>
        <v>0.30228849443644812</v>
      </c>
      <c r="T171" s="321">
        <f t="shared" si="30"/>
        <v>0.33002248110651733</v>
      </c>
      <c r="U171" s="321">
        <f t="shared" si="30"/>
        <v>0.26201818147109029</v>
      </c>
      <c r="V171" s="321">
        <f t="shared" si="30"/>
        <v>0.25222758573617798</v>
      </c>
      <c r="W171" s="321">
        <f t="shared" si="30"/>
        <v>0.23447034189675142</v>
      </c>
      <c r="X171" s="321">
        <f t="shared" si="30"/>
        <v>0</v>
      </c>
      <c r="Y171" s="321">
        <f t="shared" si="30"/>
        <v>0</v>
      </c>
      <c r="Z171" s="321">
        <f t="shared" si="30"/>
        <v>0</v>
      </c>
      <c r="AA171" s="321">
        <f t="shared" si="30"/>
        <v>0</v>
      </c>
      <c r="AB171" s="321">
        <f t="shared" si="30"/>
        <v>0.25442067369996657</v>
      </c>
      <c r="AC171" s="321">
        <f t="shared" si="30"/>
        <v>0</v>
      </c>
      <c r="AD171" s="321">
        <f t="shared" si="30"/>
        <v>0</v>
      </c>
      <c r="AE171" s="321">
        <f t="shared" si="30"/>
        <v>0</v>
      </c>
      <c r="AF171" s="321">
        <f t="shared" si="30"/>
        <v>0</v>
      </c>
      <c r="AG171" s="321">
        <f t="shared" si="30"/>
        <v>-0.22017163265963346</v>
      </c>
      <c r="AH171" s="321">
        <f t="shared" si="30"/>
        <v>-0.22017163265963346</v>
      </c>
      <c r="AI171" s="321">
        <f t="shared" si="30"/>
        <v>0</v>
      </c>
      <c r="AJ171" s="321">
        <f t="shared" si="30"/>
        <v>0</v>
      </c>
      <c r="AK171" s="321">
        <f t="shared" si="30"/>
        <v>-0.21350588598278217</v>
      </c>
      <c r="AL171" s="321">
        <f t="shared" si="30"/>
        <v>-0.21350588598278217</v>
      </c>
      <c r="AM171" s="321">
        <f t="shared" si="30"/>
        <v>0</v>
      </c>
      <c r="AN171" s="321">
        <f t="shared" si="30"/>
        <v>0</v>
      </c>
      <c r="AO171" s="321">
        <f t="shared" si="30"/>
        <v>-0.2090620548648813</v>
      </c>
      <c r="AP171" s="321">
        <f t="shared" si="30"/>
        <v>-0.2090620548648813</v>
      </c>
      <c r="AQ171" s="304"/>
      <c r="AR171" s="304"/>
    </row>
    <row r="172" spans="4:44" x14ac:dyDescent="0.25">
      <c r="F172" t="s">
        <v>227</v>
      </c>
      <c r="G172" t="s">
        <v>327</v>
      </c>
      <c r="H172" s="304"/>
      <c r="I172" s="304"/>
      <c r="J172" s="322">
        <f t="shared" ref="J172:AP172" si="31">J67 * (1 - J$112)</f>
        <v>0</v>
      </c>
      <c r="K172" s="322">
        <f t="shared" si="31"/>
        <v>0</v>
      </c>
      <c r="L172" s="322">
        <f t="shared" si="31"/>
        <v>0</v>
      </c>
      <c r="M172" s="322">
        <f t="shared" si="31"/>
        <v>0</v>
      </c>
      <c r="N172" s="322">
        <f t="shared" si="31"/>
        <v>0</v>
      </c>
      <c r="O172" s="322">
        <f t="shared" si="31"/>
        <v>0</v>
      </c>
      <c r="P172" s="322">
        <f t="shared" si="31"/>
        <v>0</v>
      </c>
      <c r="Q172" s="322">
        <f t="shared" si="31"/>
        <v>0</v>
      </c>
      <c r="R172" s="322">
        <f t="shared" si="31"/>
        <v>0</v>
      </c>
      <c r="S172" s="322">
        <f t="shared" si="31"/>
        <v>0</v>
      </c>
      <c r="T172" s="322">
        <f t="shared" si="31"/>
        <v>0</v>
      </c>
      <c r="U172" s="322">
        <f t="shared" si="31"/>
        <v>0</v>
      </c>
      <c r="V172" s="322">
        <f t="shared" si="31"/>
        <v>0</v>
      </c>
      <c r="W172" s="322">
        <f t="shared" si="31"/>
        <v>0</v>
      </c>
      <c r="X172" s="322">
        <f t="shared" si="31"/>
        <v>0</v>
      </c>
      <c r="Y172" s="322">
        <f t="shared" si="31"/>
        <v>0</v>
      </c>
      <c r="Z172" s="322">
        <f t="shared" si="31"/>
        <v>0</v>
      </c>
      <c r="AA172" s="322">
        <f t="shared" si="31"/>
        <v>0</v>
      </c>
      <c r="AB172" s="322">
        <f t="shared" si="31"/>
        <v>0</v>
      </c>
      <c r="AC172" s="322">
        <f t="shared" si="31"/>
        <v>0</v>
      </c>
      <c r="AD172" s="322">
        <f t="shared" si="31"/>
        <v>0</v>
      </c>
      <c r="AE172" s="322">
        <f t="shared" si="31"/>
        <v>0</v>
      </c>
      <c r="AF172" s="322">
        <f t="shared" si="31"/>
        <v>0</v>
      </c>
      <c r="AG172" s="322">
        <f t="shared" si="31"/>
        <v>0</v>
      </c>
      <c r="AH172" s="322">
        <f t="shared" si="31"/>
        <v>0</v>
      </c>
      <c r="AI172" s="322">
        <f t="shared" si="31"/>
        <v>0</v>
      </c>
      <c r="AJ172" s="322">
        <f t="shared" si="31"/>
        <v>0</v>
      </c>
      <c r="AK172" s="322">
        <f t="shared" si="31"/>
        <v>0</v>
      </c>
      <c r="AL172" s="322">
        <f t="shared" si="31"/>
        <v>0</v>
      </c>
      <c r="AM172" s="322">
        <f t="shared" si="31"/>
        <v>0</v>
      </c>
      <c r="AN172" s="322">
        <f t="shared" si="31"/>
        <v>0</v>
      </c>
      <c r="AO172" s="322">
        <f t="shared" si="31"/>
        <v>0</v>
      </c>
      <c r="AP172" s="322">
        <f t="shared" si="31"/>
        <v>0</v>
      </c>
      <c r="AQ172" s="304"/>
      <c r="AR172" s="304"/>
    </row>
    <row r="173" spans="4:44" x14ac:dyDescent="0.25">
      <c r="F173" t="s">
        <v>228</v>
      </c>
      <c r="G173" t="s">
        <v>327</v>
      </c>
      <c r="H173" s="304"/>
      <c r="I173" s="304"/>
      <c r="J173" s="322">
        <f t="shared" ref="J173:AP173" si="32">J68 * (1 - J$113)</f>
        <v>0</v>
      </c>
      <c r="K173" s="322">
        <f t="shared" si="32"/>
        <v>0</v>
      </c>
      <c r="L173" s="322">
        <f t="shared" si="32"/>
        <v>0</v>
      </c>
      <c r="M173" s="322">
        <f t="shared" si="32"/>
        <v>0</v>
      </c>
      <c r="N173" s="322">
        <f t="shared" si="32"/>
        <v>0</v>
      </c>
      <c r="O173" s="322">
        <f t="shared" si="32"/>
        <v>0</v>
      </c>
      <c r="P173" s="322">
        <f t="shared" si="32"/>
        <v>0</v>
      </c>
      <c r="Q173" s="322">
        <f t="shared" si="32"/>
        <v>0</v>
      </c>
      <c r="R173" s="322">
        <f t="shared" si="32"/>
        <v>0</v>
      </c>
      <c r="S173" s="322">
        <f t="shared" si="32"/>
        <v>0</v>
      </c>
      <c r="T173" s="322">
        <f t="shared" si="32"/>
        <v>0</v>
      </c>
      <c r="U173" s="322">
        <f t="shared" si="32"/>
        <v>0</v>
      </c>
      <c r="V173" s="322">
        <f t="shared" si="32"/>
        <v>0</v>
      </c>
      <c r="W173" s="322">
        <f t="shared" si="32"/>
        <v>0</v>
      </c>
      <c r="X173" s="322">
        <f t="shared" si="32"/>
        <v>0</v>
      </c>
      <c r="Y173" s="322">
        <f t="shared" si="32"/>
        <v>0</v>
      </c>
      <c r="Z173" s="322">
        <f t="shared" si="32"/>
        <v>0</v>
      </c>
      <c r="AA173" s="322">
        <f t="shared" si="32"/>
        <v>0</v>
      </c>
      <c r="AB173" s="322">
        <f t="shared" si="32"/>
        <v>0</v>
      </c>
      <c r="AC173" s="322">
        <f t="shared" si="32"/>
        <v>0</v>
      </c>
      <c r="AD173" s="322">
        <f t="shared" si="32"/>
        <v>0</v>
      </c>
      <c r="AE173" s="322">
        <f t="shared" si="32"/>
        <v>0</v>
      </c>
      <c r="AF173" s="322">
        <f t="shared" si="32"/>
        <v>0</v>
      </c>
      <c r="AG173" s="322">
        <f t="shared" si="32"/>
        <v>0</v>
      </c>
      <c r="AH173" s="322">
        <f t="shared" si="32"/>
        <v>0</v>
      </c>
      <c r="AI173" s="322">
        <f t="shared" si="32"/>
        <v>0</v>
      </c>
      <c r="AJ173" s="322">
        <f t="shared" si="32"/>
        <v>0</v>
      </c>
      <c r="AK173" s="322">
        <f t="shared" si="32"/>
        <v>0</v>
      </c>
      <c r="AL173" s="322">
        <f t="shared" si="32"/>
        <v>0</v>
      </c>
      <c r="AM173" s="322">
        <f t="shared" si="32"/>
        <v>0</v>
      </c>
      <c r="AN173" s="322">
        <f t="shared" si="32"/>
        <v>0</v>
      </c>
      <c r="AO173" s="322">
        <f t="shared" si="32"/>
        <v>0</v>
      </c>
      <c r="AP173" s="322">
        <f t="shared" si="32"/>
        <v>0</v>
      </c>
      <c r="AQ173" s="304"/>
      <c r="AR173" s="304"/>
    </row>
    <row r="174" spans="4:44" x14ac:dyDescent="0.25">
      <c r="F174" t="s">
        <v>229</v>
      </c>
      <c r="G174" t="s">
        <v>327</v>
      </c>
      <c r="H174" s="304"/>
      <c r="I174" s="304"/>
      <c r="J174" s="322">
        <f t="shared" ref="J174:AP174" si="33">J69 * (1 - J$114)</f>
        <v>0</v>
      </c>
      <c r="K174" s="322">
        <f t="shared" si="33"/>
        <v>0</v>
      </c>
      <c r="L174" s="322">
        <f t="shared" si="33"/>
        <v>0</v>
      </c>
      <c r="M174" s="322">
        <f t="shared" si="33"/>
        <v>0</v>
      </c>
      <c r="N174" s="322">
        <f t="shared" si="33"/>
        <v>0</v>
      </c>
      <c r="O174" s="322">
        <f t="shared" si="33"/>
        <v>0</v>
      </c>
      <c r="P174" s="322">
        <f t="shared" si="33"/>
        <v>0</v>
      </c>
      <c r="Q174" s="322">
        <f t="shared" si="33"/>
        <v>0</v>
      </c>
      <c r="R174" s="322">
        <f t="shared" si="33"/>
        <v>0</v>
      </c>
      <c r="S174" s="322">
        <f t="shared" si="33"/>
        <v>0</v>
      </c>
      <c r="T174" s="322">
        <f t="shared" si="33"/>
        <v>0</v>
      </c>
      <c r="U174" s="322">
        <f t="shared" si="33"/>
        <v>0</v>
      </c>
      <c r="V174" s="322">
        <f t="shared" si="33"/>
        <v>0</v>
      </c>
      <c r="W174" s="322">
        <f t="shared" si="33"/>
        <v>0</v>
      </c>
      <c r="X174" s="322">
        <f t="shared" si="33"/>
        <v>0</v>
      </c>
      <c r="Y174" s="322">
        <f t="shared" si="33"/>
        <v>0</v>
      </c>
      <c r="Z174" s="322">
        <f t="shared" si="33"/>
        <v>0</v>
      </c>
      <c r="AA174" s="322">
        <f t="shared" si="33"/>
        <v>0</v>
      </c>
      <c r="AB174" s="322">
        <f t="shared" si="33"/>
        <v>0</v>
      </c>
      <c r="AC174" s="322">
        <f t="shared" si="33"/>
        <v>0</v>
      </c>
      <c r="AD174" s="322">
        <f t="shared" si="33"/>
        <v>0</v>
      </c>
      <c r="AE174" s="322">
        <f t="shared" si="33"/>
        <v>0</v>
      </c>
      <c r="AF174" s="322">
        <f t="shared" si="33"/>
        <v>0</v>
      </c>
      <c r="AG174" s="322">
        <f t="shared" si="33"/>
        <v>0</v>
      </c>
      <c r="AH174" s="322">
        <f t="shared" si="33"/>
        <v>0</v>
      </c>
      <c r="AI174" s="322">
        <f t="shared" si="33"/>
        <v>0</v>
      </c>
      <c r="AJ174" s="322">
        <f t="shared" si="33"/>
        <v>0</v>
      </c>
      <c r="AK174" s="322">
        <f t="shared" si="33"/>
        <v>0</v>
      </c>
      <c r="AL174" s="322">
        <f t="shared" si="33"/>
        <v>0</v>
      </c>
      <c r="AM174" s="322">
        <f t="shared" si="33"/>
        <v>0</v>
      </c>
      <c r="AN174" s="322">
        <f t="shared" si="33"/>
        <v>0</v>
      </c>
      <c r="AO174" s="322">
        <f t="shared" si="33"/>
        <v>0</v>
      </c>
      <c r="AP174" s="322">
        <f t="shared" si="33"/>
        <v>0</v>
      </c>
      <c r="AQ174" s="304"/>
      <c r="AR174" s="304"/>
    </row>
    <row r="175" spans="4:44" x14ac:dyDescent="0.25">
      <c r="F175" t="s">
        <v>230</v>
      </c>
      <c r="G175" t="s">
        <v>327</v>
      </c>
      <c r="H175" s="304"/>
      <c r="I175" s="304"/>
      <c r="J175" s="322">
        <f t="shared" ref="J175:AP175" si="34">J70 * (1 - J$115)</f>
        <v>0</v>
      </c>
      <c r="K175" s="322">
        <f t="shared" si="34"/>
        <v>5.7366627853810206E-2</v>
      </c>
      <c r="L175" s="322">
        <f t="shared" si="34"/>
        <v>0</v>
      </c>
      <c r="M175" s="322">
        <f t="shared" si="34"/>
        <v>0</v>
      </c>
      <c r="N175" s="322">
        <f t="shared" si="34"/>
        <v>4.90787941762083E-2</v>
      </c>
      <c r="O175" s="322">
        <f t="shared" si="34"/>
        <v>0</v>
      </c>
      <c r="P175" s="322">
        <f t="shared" si="34"/>
        <v>4.617572610080619E-2</v>
      </c>
      <c r="Q175" s="322">
        <f t="shared" si="34"/>
        <v>3.6445760808845817E-2</v>
      </c>
      <c r="R175" s="322">
        <f t="shared" si="34"/>
        <v>3.9390734398987132E-2</v>
      </c>
      <c r="S175" s="322">
        <f t="shared" si="34"/>
        <v>9.3958697608325467E-2</v>
      </c>
      <c r="T175" s="322">
        <f t="shared" si="34"/>
        <v>0.10270577256713985</v>
      </c>
      <c r="U175" s="322">
        <f t="shared" si="34"/>
        <v>8.1570409787020667E-2</v>
      </c>
      <c r="V175" s="322">
        <f t="shared" si="34"/>
        <v>7.8522442269377338E-2</v>
      </c>
      <c r="W175" s="322">
        <f t="shared" si="34"/>
        <v>5.8395464815577613E-2</v>
      </c>
      <c r="X175" s="322">
        <f t="shared" si="34"/>
        <v>0</v>
      </c>
      <c r="Y175" s="322">
        <f t="shared" si="34"/>
        <v>0</v>
      </c>
      <c r="Z175" s="322">
        <f t="shared" si="34"/>
        <v>0</v>
      </c>
      <c r="AA175" s="322">
        <f t="shared" si="34"/>
        <v>0</v>
      </c>
      <c r="AB175" s="322">
        <f t="shared" si="34"/>
        <v>7.8999457533067349E-2</v>
      </c>
      <c r="AC175" s="322">
        <f t="shared" si="34"/>
        <v>0</v>
      </c>
      <c r="AD175" s="322">
        <f t="shared" si="34"/>
        <v>0</v>
      </c>
      <c r="AE175" s="322">
        <f t="shared" si="34"/>
        <v>0</v>
      </c>
      <c r="AF175" s="322">
        <f t="shared" si="34"/>
        <v>0</v>
      </c>
      <c r="AG175" s="322">
        <f t="shared" si="34"/>
        <v>-6.854291636821104E-2</v>
      </c>
      <c r="AH175" s="322">
        <f t="shared" si="34"/>
        <v>-6.854291636821104E-2</v>
      </c>
      <c r="AI175" s="322">
        <f t="shared" si="34"/>
        <v>0</v>
      </c>
      <c r="AJ175" s="322">
        <f t="shared" si="34"/>
        <v>0</v>
      </c>
      <c r="AK175" s="322">
        <f t="shared" si="34"/>
        <v>-6.6467763854311065E-2</v>
      </c>
      <c r="AL175" s="322">
        <f t="shared" si="34"/>
        <v>-6.6467763854311065E-2</v>
      </c>
      <c r="AM175" s="322">
        <f t="shared" si="34"/>
        <v>0</v>
      </c>
      <c r="AN175" s="322">
        <f t="shared" si="34"/>
        <v>0</v>
      </c>
      <c r="AO175" s="322">
        <f t="shared" si="34"/>
        <v>-6.508432884504442E-2</v>
      </c>
      <c r="AP175" s="322">
        <f t="shared" si="34"/>
        <v>-6.508432884504442E-2</v>
      </c>
      <c r="AQ175" s="304"/>
      <c r="AR175" s="304"/>
    </row>
    <row r="176" spans="4:44" x14ac:dyDescent="0.25">
      <c r="F176" t="s">
        <v>231</v>
      </c>
      <c r="G176" t="s">
        <v>327</v>
      </c>
      <c r="H176" s="304"/>
      <c r="I176" s="304"/>
      <c r="J176" s="322">
        <f t="shared" ref="J176:AP176" si="35">J71 * (1 - J$116)</f>
        <v>0</v>
      </c>
      <c r="K176" s="322">
        <f t="shared" si="35"/>
        <v>5.1905112930072252E-2</v>
      </c>
      <c r="L176" s="322">
        <f t="shared" si="35"/>
        <v>0</v>
      </c>
      <c r="M176" s="322">
        <f t="shared" si="35"/>
        <v>0</v>
      </c>
      <c r="N176" s="322">
        <f t="shared" si="35"/>
        <v>4.4406311639575771E-2</v>
      </c>
      <c r="O176" s="322">
        <f t="shared" si="35"/>
        <v>0</v>
      </c>
      <c r="P176" s="322">
        <f t="shared" si="35"/>
        <v>4.1779626370896064E-2</v>
      </c>
      <c r="Q176" s="322">
        <f t="shared" si="35"/>
        <v>3.2975989723961062E-2</v>
      </c>
      <c r="R176" s="322">
        <f t="shared" si="35"/>
        <v>0</v>
      </c>
      <c r="S176" s="322">
        <f t="shared" si="35"/>
        <v>8.5013482447508421E-2</v>
      </c>
      <c r="T176" s="322">
        <f t="shared" si="35"/>
        <v>9.2927803552490598E-2</v>
      </c>
      <c r="U176" s="322">
        <f t="shared" si="35"/>
        <v>7.380460539770714E-2</v>
      </c>
      <c r="V176" s="322">
        <f t="shared" si="35"/>
        <v>7.1046815649046496E-2</v>
      </c>
      <c r="W176" s="322">
        <f t="shared" si="35"/>
        <v>0</v>
      </c>
      <c r="X176" s="322">
        <f t="shared" si="35"/>
        <v>0</v>
      </c>
      <c r="Y176" s="322">
        <f t="shared" si="35"/>
        <v>0</v>
      </c>
      <c r="Z176" s="322">
        <f t="shared" si="35"/>
        <v>0</v>
      </c>
      <c r="AA176" s="322">
        <f t="shared" si="35"/>
        <v>0</v>
      </c>
      <c r="AB176" s="322">
        <f t="shared" si="35"/>
        <v>7.1478417297208441E-2</v>
      </c>
      <c r="AC176" s="322">
        <f t="shared" si="35"/>
        <v>0</v>
      </c>
      <c r="AD176" s="322">
        <f t="shared" si="35"/>
        <v>0</v>
      </c>
      <c r="AE176" s="322">
        <f t="shared" si="35"/>
        <v>0</v>
      </c>
      <c r="AF176" s="322">
        <f t="shared" si="35"/>
        <v>0</v>
      </c>
      <c r="AG176" s="322">
        <f t="shared" si="35"/>
        <v>-6.2017377484951688E-2</v>
      </c>
      <c r="AH176" s="322">
        <f t="shared" si="35"/>
        <v>-6.2017377484951688E-2</v>
      </c>
      <c r="AI176" s="322">
        <f t="shared" si="35"/>
        <v>0</v>
      </c>
      <c r="AJ176" s="322">
        <f t="shared" si="35"/>
        <v>0</v>
      </c>
      <c r="AK176" s="322">
        <f t="shared" si="35"/>
        <v>-6.0139787157425614E-2</v>
      </c>
      <c r="AL176" s="322">
        <f t="shared" si="35"/>
        <v>-6.0139787157425614E-2</v>
      </c>
      <c r="AM176" s="322">
        <f t="shared" si="35"/>
        <v>0</v>
      </c>
      <c r="AN176" s="322">
        <f t="shared" si="35"/>
        <v>0</v>
      </c>
      <c r="AO176" s="322">
        <f t="shared" si="35"/>
        <v>-5.8888060272408241E-2</v>
      </c>
      <c r="AP176" s="322">
        <f t="shared" si="35"/>
        <v>-5.8888060272408241E-2</v>
      </c>
      <c r="AQ176" s="304"/>
      <c r="AR176" s="304"/>
    </row>
    <row r="177" spans="3:44" x14ac:dyDescent="0.25">
      <c r="F177" t="s">
        <v>232</v>
      </c>
      <c r="G177" t="s">
        <v>327</v>
      </c>
      <c r="H177" s="304"/>
      <c r="I177" s="304"/>
      <c r="J177" s="322">
        <f t="shared" ref="J177:AP177" si="36">J72 * (1 - J$117)</f>
        <v>0</v>
      </c>
      <c r="K177" s="322">
        <f t="shared" si="36"/>
        <v>0</v>
      </c>
      <c r="L177" s="322">
        <f t="shared" si="36"/>
        <v>0</v>
      </c>
      <c r="M177" s="322">
        <f t="shared" si="36"/>
        <v>0</v>
      </c>
      <c r="N177" s="322">
        <f t="shared" si="36"/>
        <v>0</v>
      </c>
      <c r="O177" s="322">
        <f t="shared" si="36"/>
        <v>0</v>
      </c>
      <c r="P177" s="322">
        <f t="shared" si="36"/>
        <v>0</v>
      </c>
      <c r="Q177" s="322">
        <f t="shared" si="36"/>
        <v>0</v>
      </c>
      <c r="R177" s="322">
        <f t="shared" si="36"/>
        <v>0</v>
      </c>
      <c r="S177" s="322">
        <f t="shared" si="36"/>
        <v>0</v>
      </c>
      <c r="T177" s="322">
        <f t="shared" si="36"/>
        <v>0</v>
      </c>
      <c r="U177" s="322">
        <f t="shared" si="36"/>
        <v>0</v>
      </c>
      <c r="V177" s="322">
        <f t="shared" si="36"/>
        <v>0</v>
      </c>
      <c r="W177" s="322">
        <f t="shared" si="36"/>
        <v>0</v>
      </c>
      <c r="X177" s="322">
        <f t="shared" si="36"/>
        <v>0</v>
      </c>
      <c r="Y177" s="322">
        <f t="shared" si="36"/>
        <v>0</v>
      </c>
      <c r="Z177" s="322">
        <f t="shared" si="36"/>
        <v>0</v>
      </c>
      <c r="AA177" s="322">
        <f t="shared" si="36"/>
        <v>0</v>
      </c>
      <c r="AB177" s="322">
        <f t="shared" si="36"/>
        <v>0</v>
      </c>
      <c r="AC177" s="322">
        <f t="shared" si="36"/>
        <v>0</v>
      </c>
      <c r="AD177" s="322">
        <f t="shared" si="36"/>
        <v>0</v>
      </c>
      <c r="AE177" s="322">
        <f t="shared" si="36"/>
        <v>0</v>
      </c>
      <c r="AF177" s="322">
        <f t="shared" si="36"/>
        <v>0</v>
      </c>
      <c r="AG177" s="322">
        <f t="shared" si="36"/>
        <v>0</v>
      </c>
      <c r="AH177" s="322">
        <f t="shared" si="36"/>
        <v>0</v>
      </c>
      <c r="AI177" s="322">
        <f t="shared" si="36"/>
        <v>0</v>
      </c>
      <c r="AJ177" s="322">
        <f t="shared" si="36"/>
        <v>0</v>
      </c>
      <c r="AK177" s="322">
        <f t="shared" si="36"/>
        <v>0</v>
      </c>
      <c r="AL177" s="322">
        <f t="shared" si="36"/>
        <v>0</v>
      </c>
      <c r="AM177" s="322">
        <f t="shared" si="36"/>
        <v>0</v>
      </c>
      <c r="AN177" s="322">
        <f t="shared" si="36"/>
        <v>0</v>
      </c>
      <c r="AO177" s="322">
        <f t="shared" si="36"/>
        <v>0</v>
      </c>
      <c r="AP177" s="322">
        <f t="shared" si="36"/>
        <v>0</v>
      </c>
      <c r="AQ177" s="304"/>
      <c r="AR177" s="304"/>
    </row>
    <row r="178" spans="3:44" x14ac:dyDescent="0.25">
      <c r="F178" t="s">
        <v>233</v>
      </c>
      <c r="G178" t="s">
        <v>327</v>
      </c>
      <c r="H178" s="304"/>
      <c r="I178" s="304"/>
      <c r="J178" s="322">
        <f t="shared" ref="J178:AP178" si="37">J73 * (1 - J$118)</f>
        <v>0</v>
      </c>
      <c r="K178" s="322">
        <f t="shared" si="37"/>
        <v>0.21448512706833472</v>
      </c>
      <c r="L178" s="322">
        <f t="shared" si="37"/>
        <v>0</v>
      </c>
      <c r="M178" s="322">
        <f t="shared" si="37"/>
        <v>0</v>
      </c>
      <c r="N178" s="322">
        <f t="shared" si="37"/>
        <v>0.18349817305054503</v>
      </c>
      <c r="O178" s="322">
        <f t="shared" si="37"/>
        <v>0</v>
      </c>
      <c r="P178" s="322">
        <f t="shared" si="37"/>
        <v>0.1726440415051558</v>
      </c>
      <c r="Q178" s="322">
        <f t="shared" si="37"/>
        <v>0.13626517595051965</v>
      </c>
      <c r="R178" s="322">
        <f t="shared" si="37"/>
        <v>0</v>
      </c>
      <c r="S178" s="322">
        <f t="shared" si="37"/>
        <v>0.35129732999215169</v>
      </c>
      <c r="T178" s="322">
        <f t="shared" si="37"/>
        <v>0.38400131755785871</v>
      </c>
      <c r="U178" s="322">
        <f t="shared" si="37"/>
        <v>0.24398351951619168</v>
      </c>
      <c r="V178" s="322">
        <f t="shared" si="37"/>
        <v>0</v>
      </c>
      <c r="W178" s="322">
        <f t="shared" si="37"/>
        <v>0</v>
      </c>
      <c r="X178" s="322">
        <f t="shared" si="37"/>
        <v>0</v>
      </c>
      <c r="Y178" s="322">
        <f t="shared" si="37"/>
        <v>0</v>
      </c>
      <c r="Z178" s="322">
        <f t="shared" si="37"/>
        <v>0</v>
      </c>
      <c r="AA178" s="322">
        <f t="shared" si="37"/>
        <v>0</v>
      </c>
      <c r="AB178" s="322">
        <f t="shared" si="37"/>
        <v>0.29536699857082593</v>
      </c>
      <c r="AC178" s="322">
        <f t="shared" si="37"/>
        <v>0</v>
      </c>
      <c r="AD178" s="322">
        <f t="shared" si="37"/>
        <v>0</v>
      </c>
      <c r="AE178" s="322">
        <f t="shared" si="37"/>
        <v>0</v>
      </c>
      <c r="AF178" s="322">
        <f t="shared" si="37"/>
        <v>0</v>
      </c>
      <c r="AG178" s="322">
        <f t="shared" si="37"/>
        <v>-0.25627157594715649</v>
      </c>
      <c r="AH178" s="322">
        <f t="shared" si="37"/>
        <v>-0.25627157594715649</v>
      </c>
      <c r="AI178" s="322">
        <f t="shared" si="37"/>
        <v>0</v>
      </c>
      <c r="AJ178" s="322">
        <f t="shared" si="37"/>
        <v>0</v>
      </c>
      <c r="AK178" s="322">
        <f t="shared" si="37"/>
        <v>-0.24851289520747186</v>
      </c>
      <c r="AL178" s="322">
        <f t="shared" si="37"/>
        <v>-0.24851289520747186</v>
      </c>
      <c r="AM178" s="322">
        <f t="shared" si="37"/>
        <v>0</v>
      </c>
      <c r="AN178" s="322">
        <f t="shared" si="37"/>
        <v>0</v>
      </c>
      <c r="AO178" s="322">
        <f t="shared" si="37"/>
        <v>0</v>
      </c>
      <c r="AP178" s="322">
        <f t="shared" si="37"/>
        <v>0</v>
      </c>
      <c r="AQ178" s="304"/>
      <c r="AR178" s="304"/>
    </row>
    <row r="179" spans="3:44" x14ac:dyDescent="0.25">
      <c r="F179" t="s">
        <v>234</v>
      </c>
      <c r="G179" t="s">
        <v>327</v>
      </c>
      <c r="H179" s="304"/>
      <c r="I179" s="304"/>
      <c r="J179" s="322">
        <f t="shared" ref="J179:AP179" si="38">J74 * (1 - J$119)</f>
        <v>0</v>
      </c>
      <c r="K179" s="322">
        <f t="shared" si="38"/>
        <v>5.1937909454242273E-2</v>
      </c>
      <c r="L179" s="322">
        <f t="shared" si="38"/>
        <v>0</v>
      </c>
      <c r="M179" s="322">
        <f t="shared" si="38"/>
        <v>0</v>
      </c>
      <c r="N179" s="322">
        <f t="shared" si="38"/>
        <v>4.4434370005905714E-2</v>
      </c>
      <c r="O179" s="322">
        <f t="shared" si="38"/>
        <v>0</v>
      </c>
      <c r="P179" s="322">
        <f t="shared" si="38"/>
        <v>4.1806025052042062E-2</v>
      </c>
      <c r="Q179" s="322">
        <f t="shared" si="38"/>
        <v>0</v>
      </c>
      <c r="R179" s="322">
        <f t="shared" si="38"/>
        <v>0</v>
      </c>
      <c r="S179" s="322">
        <f t="shared" si="38"/>
        <v>8.5067198672644562E-2</v>
      </c>
      <c r="T179" s="322">
        <f t="shared" si="38"/>
        <v>9.2986520483891597E-2</v>
      </c>
      <c r="U179" s="322">
        <f t="shared" si="38"/>
        <v>0</v>
      </c>
      <c r="V179" s="322">
        <f t="shared" si="38"/>
        <v>0</v>
      </c>
      <c r="W179" s="322">
        <f t="shared" si="38"/>
        <v>0</v>
      </c>
      <c r="X179" s="322">
        <f t="shared" si="38"/>
        <v>0</v>
      </c>
      <c r="Y179" s="322">
        <f t="shared" si="38"/>
        <v>0</v>
      </c>
      <c r="Z179" s="322">
        <f t="shared" si="38"/>
        <v>0</v>
      </c>
      <c r="AA179" s="322">
        <f t="shared" si="38"/>
        <v>0</v>
      </c>
      <c r="AB179" s="322">
        <f t="shared" si="38"/>
        <v>7.1523581318789164E-2</v>
      </c>
      <c r="AC179" s="322">
        <f t="shared" si="38"/>
        <v>0</v>
      </c>
      <c r="AD179" s="322">
        <f t="shared" si="38"/>
        <v>0</v>
      </c>
      <c r="AE179" s="322">
        <f t="shared" si="38"/>
        <v>0</v>
      </c>
      <c r="AF179" s="322">
        <f t="shared" si="38"/>
        <v>0</v>
      </c>
      <c r="AG179" s="322">
        <f t="shared" si="38"/>
        <v>-6.2056563497751377E-2</v>
      </c>
      <c r="AH179" s="322">
        <f t="shared" si="38"/>
        <v>-6.2056563497751377E-2</v>
      </c>
      <c r="AI179" s="322">
        <f t="shared" si="38"/>
        <v>0</v>
      </c>
      <c r="AJ179" s="322">
        <f t="shared" si="38"/>
        <v>0</v>
      </c>
      <c r="AK179" s="322">
        <f t="shared" si="38"/>
        <v>0</v>
      </c>
      <c r="AL179" s="322">
        <f t="shared" si="38"/>
        <v>0</v>
      </c>
      <c r="AM179" s="322">
        <f t="shared" si="38"/>
        <v>0</v>
      </c>
      <c r="AN179" s="322">
        <f t="shared" si="38"/>
        <v>0</v>
      </c>
      <c r="AO179" s="322">
        <f t="shared" si="38"/>
        <v>0</v>
      </c>
      <c r="AP179" s="322">
        <f t="shared" si="38"/>
        <v>0</v>
      </c>
      <c r="AQ179" s="304"/>
      <c r="AR179" s="304"/>
    </row>
    <row r="180" spans="3:44" x14ac:dyDescent="0.25">
      <c r="F180" t="s">
        <v>235</v>
      </c>
      <c r="G180" t="s">
        <v>327</v>
      </c>
      <c r="H180" s="304"/>
      <c r="I180" s="304"/>
      <c r="J180" s="322">
        <f t="shared" ref="J180:AP180" si="39">J75 * (1 - J$120)</f>
        <v>0</v>
      </c>
      <c r="K180" s="322">
        <f t="shared" si="39"/>
        <v>0</v>
      </c>
      <c r="L180" s="322">
        <f t="shared" si="39"/>
        <v>0</v>
      </c>
      <c r="M180" s="322">
        <f t="shared" si="39"/>
        <v>0</v>
      </c>
      <c r="N180" s="322">
        <f t="shared" si="39"/>
        <v>0</v>
      </c>
      <c r="O180" s="322">
        <f t="shared" si="39"/>
        <v>0</v>
      </c>
      <c r="P180" s="322">
        <f t="shared" si="39"/>
        <v>0</v>
      </c>
      <c r="Q180" s="322">
        <f t="shared" si="39"/>
        <v>0</v>
      </c>
      <c r="R180" s="322">
        <f t="shared" si="39"/>
        <v>0</v>
      </c>
      <c r="S180" s="322">
        <f t="shared" si="39"/>
        <v>0</v>
      </c>
      <c r="T180" s="322">
        <f t="shared" si="39"/>
        <v>0</v>
      </c>
      <c r="U180" s="322">
        <f t="shared" si="39"/>
        <v>0</v>
      </c>
      <c r="V180" s="322">
        <f t="shared" si="39"/>
        <v>0</v>
      </c>
      <c r="W180" s="322">
        <f t="shared" si="39"/>
        <v>0</v>
      </c>
      <c r="X180" s="322">
        <f t="shared" si="39"/>
        <v>0</v>
      </c>
      <c r="Y180" s="322">
        <f t="shared" si="39"/>
        <v>0</v>
      </c>
      <c r="Z180" s="322">
        <f t="shared" si="39"/>
        <v>0</v>
      </c>
      <c r="AA180" s="322">
        <f t="shared" si="39"/>
        <v>0</v>
      </c>
      <c r="AB180" s="322">
        <f t="shared" si="39"/>
        <v>0.16978487699322306</v>
      </c>
      <c r="AC180" s="322">
        <f t="shared" si="39"/>
        <v>0</v>
      </c>
      <c r="AD180" s="322">
        <f t="shared" si="39"/>
        <v>0</v>
      </c>
      <c r="AE180" s="322">
        <f t="shared" si="39"/>
        <v>0</v>
      </c>
      <c r="AF180" s="322">
        <f t="shared" si="39"/>
        <v>0</v>
      </c>
      <c r="AG180" s="322">
        <f t="shared" si="39"/>
        <v>0</v>
      </c>
      <c r="AH180" s="322">
        <f t="shared" si="39"/>
        <v>0</v>
      </c>
      <c r="AI180" s="322">
        <f t="shared" si="39"/>
        <v>0</v>
      </c>
      <c r="AJ180" s="322">
        <f t="shared" si="39"/>
        <v>0</v>
      </c>
      <c r="AK180" s="322">
        <f t="shared" si="39"/>
        <v>0</v>
      </c>
      <c r="AL180" s="322">
        <f t="shared" si="39"/>
        <v>0</v>
      </c>
      <c r="AM180" s="322">
        <f t="shared" si="39"/>
        <v>0</v>
      </c>
      <c r="AN180" s="322">
        <f t="shared" si="39"/>
        <v>0</v>
      </c>
      <c r="AO180" s="322">
        <f t="shared" si="39"/>
        <v>0</v>
      </c>
      <c r="AP180" s="322">
        <f t="shared" si="39"/>
        <v>0</v>
      </c>
      <c r="AQ180" s="304"/>
      <c r="AR180" s="304"/>
    </row>
    <row r="181" spans="3:44" x14ac:dyDescent="0.25">
      <c r="F181" s="23" t="s">
        <v>436</v>
      </c>
      <c r="G181" s="23" t="s">
        <v>327</v>
      </c>
      <c r="H181" s="302"/>
      <c r="I181" s="302" t="s">
        <v>190</v>
      </c>
      <c r="J181" s="320"/>
      <c r="K181" s="320"/>
      <c r="L181" s="320"/>
      <c r="M181" s="320"/>
      <c r="N181" s="320"/>
      <c r="O181" s="320"/>
      <c r="P181" s="320"/>
      <c r="Q181" s="320"/>
      <c r="R181" s="320"/>
      <c r="S181" s="320"/>
      <c r="T181" s="320"/>
      <c r="U181" s="320"/>
      <c r="V181" s="320"/>
      <c r="W181" s="320"/>
      <c r="X181" s="320"/>
      <c r="Y181" s="320"/>
      <c r="Z181" s="320"/>
      <c r="AA181" s="320"/>
      <c r="AB181" s="321">
        <f>AB76</f>
        <v>1.8575743700341227</v>
      </c>
      <c r="AC181" s="320"/>
      <c r="AD181" s="320"/>
      <c r="AE181" s="320"/>
      <c r="AF181" s="320"/>
      <c r="AG181" s="320"/>
      <c r="AH181" s="320"/>
      <c r="AI181" s="320"/>
      <c r="AJ181" s="320"/>
      <c r="AK181" s="320"/>
      <c r="AL181" s="320"/>
      <c r="AM181" s="320"/>
      <c r="AN181" s="320"/>
      <c r="AO181" s="320"/>
      <c r="AP181" s="320"/>
      <c r="AQ181" s="304"/>
      <c r="AR181" s="304" t="s">
        <v>779</v>
      </c>
    </row>
    <row r="182" spans="3:44" x14ac:dyDescent="0.25">
      <c r="F182" s="37" t="s">
        <v>437</v>
      </c>
      <c r="G182" s="37" t="s">
        <v>327</v>
      </c>
      <c r="H182" s="308"/>
      <c r="I182" s="308"/>
      <c r="J182" s="309"/>
      <c r="K182" s="309"/>
      <c r="L182" s="309"/>
      <c r="M182" s="309"/>
      <c r="N182" s="309"/>
      <c r="O182" s="309"/>
      <c r="P182" s="309"/>
      <c r="Q182" s="309"/>
      <c r="R182" s="309"/>
      <c r="S182" s="309"/>
      <c r="T182" s="309"/>
      <c r="U182" s="309"/>
      <c r="V182" s="309"/>
      <c r="W182" s="309"/>
      <c r="X182" s="309"/>
      <c r="Y182" s="309"/>
      <c r="Z182" s="309"/>
      <c r="AA182" s="309"/>
      <c r="AB182" s="309"/>
      <c r="AC182" s="309"/>
      <c r="AD182" s="309"/>
      <c r="AE182" s="309"/>
      <c r="AF182" s="309"/>
      <c r="AG182" s="309"/>
      <c r="AH182" s="309"/>
      <c r="AI182" s="309"/>
      <c r="AJ182" s="309"/>
      <c r="AK182" s="309"/>
      <c r="AL182" s="309"/>
      <c r="AM182" s="309"/>
      <c r="AN182" s="309"/>
      <c r="AO182" s="309"/>
      <c r="AP182" s="309"/>
      <c r="AQ182" s="304"/>
      <c r="AR182" s="304"/>
    </row>
    <row r="183" spans="3:44" x14ac:dyDescent="0.25">
      <c r="E183"/>
      <c r="J183" s="92"/>
      <c r="K183" s="92"/>
      <c r="L183" s="92"/>
      <c r="M183" s="92"/>
      <c r="N183" s="92"/>
      <c r="O183" s="92"/>
      <c r="P183" s="92"/>
      <c r="Q183" s="92"/>
      <c r="R183" s="92"/>
      <c r="S183" s="92"/>
      <c r="T183" s="92"/>
      <c r="U183" s="92"/>
      <c r="V183" s="92"/>
      <c r="W183" s="92"/>
      <c r="X183" s="92"/>
      <c r="Y183" s="92"/>
      <c r="Z183" s="92"/>
      <c r="AA183" s="92"/>
      <c r="AB183" s="92"/>
      <c r="AC183" s="92"/>
      <c r="AD183" s="92"/>
      <c r="AE183" s="92"/>
      <c r="AF183" s="92"/>
      <c r="AG183" s="92"/>
      <c r="AH183" s="92"/>
      <c r="AI183" s="92"/>
      <c r="AJ183" s="92"/>
      <c r="AK183" s="92"/>
      <c r="AL183" s="92"/>
      <c r="AM183" s="92"/>
      <c r="AN183" s="92"/>
      <c r="AO183" s="92"/>
      <c r="AP183" s="92"/>
    </row>
    <row r="184" spans="3:44" x14ac:dyDescent="0.25">
      <c r="C184" s="31" t="str">
        <f ca="1">INDEX('Version control'!$H$34:$H$56,MATCH($A$1,'Version control'!$F$34:$F$56,0),1)&amp;"-G: Contributions to unit rate 3 p/kWh by network level (taking account of standing charges)"</f>
        <v>Section 111-G: Contributions to unit rate 3 p/kWh by network level (taking account of standing charges)</v>
      </c>
      <c r="D184" s="31"/>
      <c r="E184" s="31"/>
      <c r="F184" s="31"/>
      <c r="G184" s="31"/>
      <c r="H184" s="31"/>
      <c r="I184" s="31"/>
      <c r="J184" s="93"/>
      <c r="K184" s="93"/>
      <c r="L184" s="93"/>
      <c r="M184" s="93"/>
      <c r="N184" s="93"/>
      <c r="O184" s="93"/>
      <c r="P184" s="93"/>
      <c r="Q184" s="93"/>
      <c r="R184" s="93"/>
      <c r="S184" s="93"/>
      <c r="T184" s="93"/>
      <c r="U184" s="93"/>
      <c r="V184" s="93"/>
      <c r="W184" s="93"/>
      <c r="X184" s="93"/>
      <c r="Y184" s="93"/>
      <c r="Z184" s="93"/>
      <c r="AA184" s="93"/>
      <c r="AB184" s="93"/>
      <c r="AC184" s="93"/>
      <c r="AD184" s="93"/>
      <c r="AE184" s="93"/>
      <c r="AF184" s="93"/>
      <c r="AG184" s="93"/>
      <c r="AH184" s="93"/>
      <c r="AI184" s="93"/>
      <c r="AJ184" s="93"/>
      <c r="AK184" s="93"/>
      <c r="AL184" s="93"/>
      <c r="AM184" s="93"/>
      <c r="AN184" s="93"/>
      <c r="AO184" s="93"/>
      <c r="AP184" s="93"/>
      <c r="AQ184" s="31"/>
      <c r="AR184" s="31"/>
    </row>
    <row r="185" spans="3:44" x14ac:dyDescent="0.25">
      <c r="C185" s="32"/>
      <c r="D185" s="32"/>
      <c r="E185"/>
      <c r="I185" t="s">
        <v>190</v>
      </c>
      <c r="J185" s="92"/>
      <c r="K185" s="92"/>
      <c r="L185" s="92"/>
      <c r="M185" s="92"/>
      <c r="N185" s="92"/>
      <c r="O185" s="92"/>
      <c r="P185" s="92"/>
      <c r="Q185" s="92"/>
      <c r="R185" s="92"/>
      <c r="S185" s="92"/>
      <c r="T185" s="92"/>
      <c r="U185" s="92"/>
      <c r="V185" s="92"/>
      <c r="W185" s="92"/>
      <c r="X185" s="92"/>
      <c r="Y185" s="92"/>
      <c r="Z185" s="92"/>
      <c r="AA185" s="92"/>
      <c r="AB185" s="92"/>
      <c r="AC185" s="92"/>
      <c r="AD185" s="92"/>
      <c r="AE185" s="92"/>
      <c r="AF185" s="92"/>
      <c r="AG185" s="92"/>
      <c r="AH185" s="92"/>
      <c r="AI185" s="92"/>
      <c r="AJ185" s="92"/>
      <c r="AK185" s="92"/>
      <c r="AL185" s="92"/>
      <c r="AM185" s="92"/>
      <c r="AN185" s="92"/>
      <c r="AO185" s="92"/>
      <c r="AP185" s="92"/>
      <c r="AR185" t="s">
        <v>781</v>
      </c>
    </row>
    <row r="186" spans="3:44" x14ac:dyDescent="0.25">
      <c r="E186" s="32" t="s">
        <v>733</v>
      </c>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3:44" x14ac:dyDescent="0.25">
      <c r="F187" s="23" t="s">
        <v>225</v>
      </c>
      <c r="G187" s="23" t="s">
        <v>327</v>
      </c>
      <c r="H187" s="302"/>
      <c r="I187" s="302"/>
      <c r="J187" s="321">
        <f t="shared" ref="J187:AP187" si="40">J82 * (1 - J$112)</f>
        <v>0</v>
      </c>
      <c r="K187" s="321">
        <f t="shared" si="40"/>
        <v>0</v>
      </c>
      <c r="L187" s="321">
        <f t="shared" si="40"/>
        <v>0</v>
      </c>
      <c r="M187" s="321">
        <f t="shared" si="40"/>
        <v>0</v>
      </c>
      <c r="N187" s="321">
        <f t="shared" si="40"/>
        <v>0</v>
      </c>
      <c r="O187" s="321">
        <f t="shared" si="40"/>
        <v>0</v>
      </c>
      <c r="P187" s="321">
        <f t="shared" si="40"/>
        <v>0</v>
      </c>
      <c r="Q187" s="321">
        <f t="shared" si="40"/>
        <v>0</v>
      </c>
      <c r="R187" s="321">
        <f t="shared" si="40"/>
        <v>0</v>
      </c>
      <c r="S187" s="321">
        <f t="shared" si="40"/>
        <v>0</v>
      </c>
      <c r="T187" s="321">
        <f t="shared" si="40"/>
        <v>0</v>
      </c>
      <c r="U187" s="321">
        <f t="shared" si="40"/>
        <v>0</v>
      </c>
      <c r="V187" s="321">
        <f t="shared" si="40"/>
        <v>0</v>
      </c>
      <c r="W187" s="321">
        <f t="shared" si="40"/>
        <v>0</v>
      </c>
      <c r="X187" s="321">
        <f t="shared" si="40"/>
        <v>0</v>
      </c>
      <c r="Y187" s="321">
        <f t="shared" si="40"/>
        <v>0</v>
      </c>
      <c r="Z187" s="321">
        <f t="shared" si="40"/>
        <v>0</v>
      </c>
      <c r="AA187" s="321">
        <f t="shared" si="40"/>
        <v>0</v>
      </c>
      <c r="AB187" s="321">
        <f t="shared" si="40"/>
        <v>0</v>
      </c>
      <c r="AC187" s="321">
        <f t="shared" si="40"/>
        <v>0</v>
      </c>
      <c r="AD187" s="321">
        <f t="shared" si="40"/>
        <v>0</v>
      </c>
      <c r="AE187" s="321">
        <f t="shared" si="40"/>
        <v>0</v>
      </c>
      <c r="AF187" s="321">
        <f t="shared" si="40"/>
        <v>0</v>
      </c>
      <c r="AG187" s="321">
        <f t="shared" si="40"/>
        <v>0</v>
      </c>
      <c r="AH187" s="321">
        <f t="shared" si="40"/>
        <v>0</v>
      </c>
      <c r="AI187" s="321">
        <f t="shared" si="40"/>
        <v>0</v>
      </c>
      <c r="AJ187" s="321">
        <f t="shared" si="40"/>
        <v>0</v>
      </c>
      <c r="AK187" s="321">
        <f t="shared" si="40"/>
        <v>0</v>
      </c>
      <c r="AL187" s="321">
        <f t="shared" si="40"/>
        <v>0</v>
      </c>
      <c r="AM187" s="321">
        <f t="shared" si="40"/>
        <v>0</v>
      </c>
      <c r="AN187" s="321">
        <f t="shared" si="40"/>
        <v>0</v>
      </c>
      <c r="AO187" s="321">
        <f t="shared" si="40"/>
        <v>0</v>
      </c>
      <c r="AP187" s="321">
        <f t="shared" si="40"/>
        <v>0</v>
      </c>
      <c r="AQ187" s="304"/>
      <c r="AR187" s="304"/>
    </row>
    <row r="188" spans="3:44" x14ac:dyDescent="0.25">
      <c r="F188" t="s">
        <v>227</v>
      </c>
      <c r="G188" t="s">
        <v>327</v>
      </c>
      <c r="H188" s="304"/>
      <c r="I188" s="304"/>
      <c r="J188" s="322">
        <f t="shared" ref="J188:AP188" si="41">J83 * (1 - J$112)</f>
        <v>0</v>
      </c>
      <c r="K188" s="322">
        <f t="shared" si="41"/>
        <v>0</v>
      </c>
      <c r="L188" s="322">
        <f t="shared" si="41"/>
        <v>0</v>
      </c>
      <c r="M188" s="322">
        <f t="shared" si="41"/>
        <v>0</v>
      </c>
      <c r="N188" s="322">
        <f t="shared" si="41"/>
        <v>0</v>
      </c>
      <c r="O188" s="322">
        <f t="shared" si="41"/>
        <v>0</v>
      </c>
      <c r="P188" s="322">
        <f t="shared" si="41"/>
        <v>0</v>
      </c>
      <c r="Q188" s="322">
        <f t="shared" si="41"/>
        <v>0</v>
      </c>
      <c r="R188" s="322">
        <f t="shared" si="41"/>
        <v>0</v>
      </c>
      <c r="S188" s="322">
        <f t="shared" si="41"/>
        <v>0</v>
      </c>
      <c r="T188" s="322">
        <f t="shared" si="41"/>
        <v>0</v>
      </c>
      <c r="U188" s="322">
        <f t="shared" si="41"/>
        <v>0</v>
      </c>
      <c r="V188" s="322">
        <f t="shared" si="41"/>
        <v>0</v>
      </c>
      <c r="W188" s="322">
        <f t="shared" si="41"/>
        <v>0</v>
      </c>
      <c r="X188" s="322">
        <f t="shared" si="41"/>
        <v>0</v>
      </c>
      <c r="Y188" s="322">
        <f t="shared" si="41"/>
        <v>0</v>
      </c>
      <c r="Z188" s="322">
        <f t="shared" si="41"/>
        <v>0</v>
      </c>
      <c r="AA188" s="322">
        <f t="shared" si="41"/>
        <v>0</v>
      </c>
      <c r="AB188" s="322">
        <f t="shared" si="41"/>
        <v>0</v>
      </c>
      <c r="AC188" s="322">
        <f t="shared" si="41"/>
        <v>0</v>
      </c>
      <c r="AD188" s="322">
        <f t="shared" si="41"/>
        <v>0</v>
      </c>
      <c r="AE188" s="322">
        <f t="shared" si="41"/>
        <v>0</v>
      </c>
      <c r="AF188" s="322">
        <f t="shared" si="41"/>
        <v>0</v>
      </c>
      <c r="AG188" s="322">
        <f t="shared" si="41"/>
        <v>0</v>
      </c>
      <c r="AH188" s="322">
        <f t="shared" si="41"/>
        <v>0</v>
      </c>
      <c r="AI188" s="322">
        <f t="shared" si="41"/>
        <v>0</v>
      </c>
      <c r="AJ188" s="322">
        <f t="shared" si="41"/>
        <v>0</v>
      </c>
      <c r="AK188" s="322">
        <f t="shared" si="41"/>
        <v>0</v>
      </c>
      <c r="AL188" s="322">
        <f t="shared" si="41"/>
        <v>0</v>
      </c>
      <c r="AM188" s="322">
        <f t="shared" si="41"/>
        <v>0</v>
      </c>
      <c r="AN188" s="322">
        <f t="shared" si="41"/>
        <v>0</v>
      </c>
      <c r="AO188" s="322">
        <f t="shared" si="41"/>
        <v>0</v>
      </c>
      <c r="AP188" s="322">
        <f t="shared" si="41"/>
        <v>0</v>
      </c>
      <c r="AQ188" s="304"/>
      <c r="AR188" s="304"/>
    </row>
    <row r="189" spans="3:44" x14ac:dyDescent="0.25">
      <c r="F189" t="s">
        <v>228</v>
      </c>
      <c r="G189" t="s">
        <v>327</v>
      </c>
      <c r="H189" s="304"/>
      <c r="I189" s="304"/>
      <c r="J189" s="322">
        <f t="shared" ref="J189:AP189" si="42">J84 * (1 - J$113)</f>
        <v>0</v>
      </c>
      <c r="K189" s="322">
        <f t="shared" si="42"/>
        <v>0</v>
      </c>
      <c r="L189" s="322">
        <f t="shared" si="42"/>
        <v>0</v>
      </c>
      <c r="M189" s="322">
        <f t="shared" si="42"/>
        <v>0</v>
      </c>
      <c r="N189" s="322">
        <f t="shared" si="42"/>
        <v>0</v>
      </c>
      <c r="O189" s="322">
        <f t="shared" si="42"/>
        <v>0</v>
      </c>
      <c r="P189" s="322">
        <f t="shared" si="42"/>
        <v>0</v>
      </c>
      <c r="Q189" s="322">
        <f t="shared" si="42"/>
        <v>0</v>
      </c>
      <c r="R189" s="322">
        <f t="shared" si="42"/>
        <v>0</v>
      </c>
      <c r="S189" s="322">
        <f t="shared" si="42"/>
        <v>0</v>
      </c>
      <c r="T189" s="322">
        <f t="shared" si="42"/>
        <v>0</v>
      </c>
      <c r="U189" s="322">
        <f t="shared" si="42"/>
        <v>0</v>
      </c>
      <c r="V189" s="322">
        <f t="shared" si="42"/>
        <v>0</v>
      </c>
      <c r="W189" s="322">
        <f t="shared" si="42"/>
        <v>0</v>
      </c>
      <c r="X189" s="322">
        <f t="shared" si="42"/>
        <v>0</v>
      </c>
      <c r="Y189" s="322">
        <f t="shared" si="42"/>
        <v>0</v>
      </c>
      <c r="Z189" s="322">
        <f t="shared" si="42"/>
        <v>0</v>
      </c>
      <c r="AA189" s="322">
        <f t="shared" si="42"/>
        <v>0</v>
      </c>
      <c r="AB189" s="322">
        <f t="shared" si="42"/>
        <v>0</v>
      </c>
      <c r="AC189" s="322">
        <f t="shared" si="42"/>
        <v>0</v>
      </c>
      <c r="AD189" s="322">
        <f t="shared" si="42"/>
        <v>0</v>
      </c>
      <c r="AE189" s="322">
        <f t="shared" si="42"/>
        <v>0</v>
      </c>
      <c r="AF189" s="322">
        <f t="shared" si="42"/>
        <v>0</v>
      </c>
      <c r="AG189" s="322">
        <f t="shared" si="42"/>
        <v>0</v>
      </c>
      <c r="AH189" s="322">
        <f t="shared" si="42"/>
        <v>0</v>
      </c>
      <c r="AI189" s="322">
        <f t="shared" si="42"/>
        <v>0</v>
      </c>
      <c r="AJ189" s="322">
        <f t="shared" si="42"/>
        <v>0</v>
      </c>
      <c r="AK189" s="322">
        <f t="shared" si="42"/>
        <v>0</v>
      </c>
      <c r="AL189" s="322">
        <f t="shared" si="42"/>
        <v>0</v>
      </c>
      <c r="AM189" s="322">
        <f t="shared" si="42"/>
        <v>0</v>
      </c>
      <c r="AN189" s="322">
        <f t="shared" si="42"/>
        <v>0</v>
      </c>
      <c r="AO189" s="322">
        <f t="shared" si="42"/>
        <v>0</v>
      </c>
      <c r="AP189" s="322">
        <f t="shared" si="42"/>
        <v>0</v>
      </c>
      <c r="AQ189" s="304"/>
      <c r="AR189" s="304"/>
    </row>
    <row r="190" spans="3:44" x14ac:dyDescent="0.25">
      <c r="F190" t="s">
        <v>229</v>
      </c>
      <c r="G190" t="s">
        <v>327</v>
      </c>
      <c r="H190" s="304"/>
      <c r="I190" s="304"/>
      <c r="J190" s="322">
        <f t="shared" ref="J190:AP190" si="43">J85 * (1 - J$114)</f>
        <v>0</v>
      </c>
      <c r="K190" s="322">
        <f t="shared" si="43"/>
        <v>0</v>
      </c>
      <c r="L190" s="322">
        <f t="shared" si="43"/>
        <v>0</v>
      </c>
      <c r="M190" s="322">
        <f t="shared" si="43"/>
        <v>0</v>
      </c>
      <c r="N190" s="322">
        <f t="shared" si="43"/>
        <v>0</v>
      </c>
      <c r="O190" s="322">
        <f t="shared" si="43"/>
        <v>0</v>
      </c>
      <c r="P190" s="322">
        <f t="shared" si="43"/>
        <v>0</v>
      </c>
      <c r="Q190" s="322">
        <f t="shared" si="43"/>
        <v>0</v>
      </c>
      <c r="R190" s="322">
        <f t="shared" si="43"/>
        <v>0</v>
      </c>
      <c r="S190" s="322">
        <f t="shared" si="43"/>
        <v>0</v>
      </c>
      <c r="T190" s="322">
        <f t="shared" si="43"/>
        <v>0</v>
      </c>
      <c r="U190" s="322">
        <f t="shared" si="43"/>
        <v>0</v>
      </c>
      <c r="V190" s="322">
        <f t="shared" si="43"/>
        <v>0</v>
      </c>
      <c r="W190" s="322">
        <f t="shared" si="43"/>
        <v>0</v>
      </c>
      <c r="X190" s="322">
        <f t="shared" si="43"/>
        <v>0</v>
      </c>
      <c r="Y190" s="322">
        <f t="shared" si="43"/>
        <v>0</v>
      </c>
      <c r="Z190" s="322">
        <f t="shared" si="43"/>
        <v>0</v>
      </c>
      <c r="AA190" s="322">
        <f t="shared" si="43"/>
        <v>0</v>
      </c>
      <c r="AB190" s="322">
        <f t="shared" si="43"/>
        <v>0</v>
      </c>
      <c r="AC190" s="322">
        <f t="shared" si="43"/>
        <v>0</v>
      </c>
      <c r="AD190" s="322">
        <f t="shared" si="43"/>
        <v>0</v>
      </c>
      <c r="AE190" s="322">
        <f t="shared" si="43"/>
        <v>0</v>
      </c>
      <c r="AF190" s="322">
        <f t="shared" si="43"/>
        <v>0</v>
      </c>
      <c r="AG190" s="322">
        <f t="shared" si="43"/>
        <v>0</v>
      </c>
      <c r="AH190" s="322">
        <f t="shared" si="43"/>
        <v>0</v>
      </c>
      <c r="AI190" s="322">
        <f t="shared" si="43"/>
        <v>0</v>
      </c>
      <c r="AJ190" s="322">
        <f t="shared" si="43"/>
        <v>0</v>
      </c>
      <c r="AK190" s="322">
        <f t="shared" si="43"/>
        <v>0</v>
      </c>
      <c r="AL190" s="322">
        <f t="shared" si="43"/>
        <v>0</v>
      </c>
      <c r="AM190" s="322">
        <f t="shared" si="43"/>
        <v>0</v>
      </c>
      <c r="AN190" s="322">
        <f t="shared" si="43"/>
        <v>0</v>
      </c>
      <c r="AO190" s="322">
        <f t="shared" si="43"/>
        <v>0</v>
      </c>
      <c r="AP190" s="322">
        <f t="shared" si="43"/>
        <v>0</v>
      </c>
      <c r="AQ190" s="304"/>
      <c r="AR190" s="304"/>
    </row>
    <row r="191" spans="3:44" x14ac:dyDescent="0.25">
      <c r="F191" t="s">
        <v>230</v>
      </c>
      <c r="G191" t="s">
        <v>327</v>
      </c>
      <c r="H191" s="304"/>
      <c r="I191" s="304"/>
      <c r="J191" s="322">
        <f t="shared" ref="J191:AP191" si="44">J86 * (1 - J$115)</f>
        <v>0</v>
      </c>
      <c r="K191" s="322">
        <f t="shared" si="44"/>
        <v>0</v>
      </c>
      <c r="L191" s="322">
        <f t="shared" si="44"/>
        <v>0</v>
      </c>
      <c r="M191" s="322">
        <f t="shared" si="44"/>
        <v>0</v>
      </c>
      <c r="N191" s="322">
        <f t="shared" si="44"/>
        <v>0</v>
      </c>
      <c r="O191" s="322">
        <f t="shared" si="44"/>
        <v>0</v>
      </c>
      <c r="P191" s="322">
        <f t="shared" si="44"/>
        <v>0</v>
      </c>
      <c r="Q191" s="322">
        <f t="shared" si="44"/>
        <v>0</v>
      </c>
      <c r="R191" s="322">
        <f t="shared" si="44"/>
        <v>0</v>
      </c>
      <c r="S191" s="322">
        <f t="shared" si="44"/>
        <v>5.6434284070982943E-2</v>
      </c>
      <c r="T191" s="322">
        <f t="shared" si="44"/>
        <v>6.1688027743268314E-2</v>
      </c>
      <c r="U191" s="322">
        <f t="shared" si="44"/>
        <v>4.8993523695876749E-2</v>
      </c>
      <c r="V191" s="322">
        <f t="shared" si="44"/>
        <v>4.71628271333632E-2</v>
      </c>
      <c r="W191" s="322">
        <f t="shared" si="44"/>
        <v>3.4888161824961281E-2</v>
      </c>
      <c r="X191" s="322">
        <f t="shared" si="44"/>
        <v>0</v>
      </c>
      <c r="Y191" s="322">
        <f t="shared" si="44"/>
        <v>0</v>
      </c>
      <c r="Z191" s="322">
        <f t="shared" si="44"/>
        <v>0</v>
      </c>
      <c r="AA191" s="322">
        <f t="shared" si="44"/>
        <v>0</v>
      </c>
      <c r="AB191" s="322">
        <f t="shared" si="44"/>
        <v>3.9531770102497317E-2</v>
      </c>
      <c r="AC191" s="322">
        <f t="shared" si="44"/>
        <v>0</v>
      </c>
      <c r="AD191" s="322">
        <f t="shared" si="44"/>
        <v>0</v>
      </c>
      <c r="AE191" s="322">
        <f t="shared" si="44"/>
        <v>0</v>
      </c>
      <c r="AF191" s="322">
        <f t="shared" si="44"/>
        <v>0</v>
      </c>
      <c r="AG191" s="322">
        <f t="shared" si="44"/>
        <v>-4.1168838136752754E-2</v>
      </c>
      <c r="AH191" s="322">
        <f t="shared" si="44"/>
        <v>-4.1168838136752754E-2</v>
      </c>
      <c r="AI191" s="322">
        <f t="shared" si="44"/>
        <v>0</v>
      </c>
      <c r="AJ191" s="322">
        <f t="shared" si="44"/>
        <v>0</v>
      </c>
      <c r="AK191" s="322">
        <f t="shared" si="44"/>
        <v>-3.9922442119768482E-2</v>
      </c>
      <c r="AL191" s="322">
        <f t="shared" si="44"/>
        <v>-3.9922442119768482E-2</v>
      </c>
      <c r="AM191" s="322">
        <f t="shared" si="44"/>
        <v>0</v>
      </c>
      <c r="AN191" s="322">
        <f t="shared" si="44"/>
        <v>0</v>
      </c>
      <c r="AO191" s="322">
        <f t="shared" si="44"/>
        <v>-3.8884399742104267E-2</v>
      </c>
      <c r="AP191" s="322">
        <f t="shared" si="44"/>
        <v>-3.8884399742104267E-2</v>
      </c>
      <c r="AQ191" s="304"/>
      <c r="AR191" s="304"/>
    </row>
    <row r="192" spans="3:44" x14ac:dyDescent="0.25">
      <c r="F192" t="s">
        <v>231</v>
      </c>
      <c r="G192" t="s">
        <v>327</v>
      </c>
      <c r="H192" s="304"/>
      <c r="I192" s="304"/>
      <c r="J192" s="322">
        <f t="shared" ref="J192:AP192" si="45">J87 * (1 - J$116)</f>
        <v>0</v>
      </c>
      <c r="K192" s="322">
        <f t="shared" si="45"/>
        <v>0</v>
      </c>
      <c r="L192" s="322">
        <f t="shared" si="45"/>
        <v>0</v>
      </c>
      <c r="M192" s="322">
        <f t="shared" si="45"/>
        <v>0</v>
      </c>
      <c r="N192" s="322">
        <f t="shared" si="45"/>
        <v>0</v>
      </c>
      <c r="O192" s="322">
        <f t="shared" si="45"/>
        <v>0</v>
      </c>
      <c r="P192" s="322">
        <f t="shared" si="45"/>
        <v>0</v>
      </c>
      <c r="Q192" s="322">
        <f t="shared" si="45"/>
        <v>0</v>
      </c>
      <c r="R192" s="322">
        <f t="shared" si="45"/>
        <v>0</v>
      </c>
      <c r="S192" s="322">
        <f t="shared" si="45"/>
        <v>5.1178300471938803E-2</v>
      </c>
      <c r="T192" s="322">
        <f t="shared" si="45"/>
        <v>5.5942738910186272E-2</v>
      </c>
      <c r="U192" s="322">
        <f t="shared" si="45"/>
        <v>4.4430532222803146E-2</v>
      </c>
      <c r="V192" s="322">
        <f t="shared" si="45"/>
        <v>4.2770336824002338E-2</v>
      </c>
      <c r="W192" s="322">
        <f t="shared" si="45"/>
        <v>0</v>
      </c>
      <c r="X192" s="322">
        <f t="shared" si="45"/>
        <v>0</v>
      </c>
      <c r="Y192" s="322">
        <f t="shared" si="45"/>
        <v>0</v>
      </c>
      <c r="Z192" s="322">
        <f t="shared" si="45"/>
        <v>0</v>
      </c>
      <c r="AA192" s="322">
        <f t="shared" si="45"/>
        <v>0</v>
      </c>
      <c r="AB192" s="322">
        <f t="shared" si="45"/>
        <v>3.5849995119074725E-2</v>
      </c>
      <c r="AC192" s="322">
        <f t="shared" si="45"/>
        <v>0</v>
      </c>
      <c r="AD192" s="322">
        <f t="shared" si="45"/>
        <v>0</v>
      </c>
      <c r="AE192" s="322">
        <f t="shared" si="45"/>
        <v>0</v>
      </c>
      <c r="AF192" s="322">
        <f t="shared" si="45"/>
        <v>0</v>
      </c>
      <c r="AG192" s="322">
        <f t="shared" si="45"/>
        <v>-3.7334595502145927E-2</v>
      </c>
      <c r="AH192" s="322">
        <f t="shared" si="45"/>
        <v>-3.7334595502145927E-2</v>
      </c>
      <c r="AI192" s="322">
        <f t="shared" si="45"/>
        <v>0</v>
      </c>
      <c r="AJ192" s="322">
        <f t="shared" si="45"/>
        <v>0</v>
      </c>
      <c r="AK192" s="322">
        <f t="shared" si="45"/>
        <v>-3.6204282060337836E-2</v>
      </c>
      <c r="AL192" s="322">
        <f t="shared" si="45"/>
        <v>-3.6204282060337836E-2</v>
      </c>
      <c r="AM192" s="322">
        <f t="shared" si="45"/>
        <v>0</v>
      </c>
      <c r="AN192" s="322">
        <f t="shared" si="45"/>
        <v>0</v>
      </c>
      <c r="AO192" s="322">
        <f t="shared" si="45"/>
        <v>-3.5329524210561916E-2</v>
      </c>
      <c r="AP192" s="322">
        <f t="shared" si="45"/>
        <v>-3.5329524210561916E-2</v>
      </c>
      <c r="AQ192" s="304"/>
      <c r="AR192" s="304"/>
    </row>
    <row r="193" spans="4:44" x14ac:dyDescent="0.25">
      <c r="F193" t="s">
        <v>232</v>
      </c>
      <c r="G193" t="s">
        <v>327</v>
      </c>
      <c r="H193" s="304"/>
      <c r="I193" s="304"/>
      <c r="J193" s="322">
        <f t="shared" ref="J193:AP193" si="46">J88 * (1 - J$117)</f>
        <v>0</v>
      </c>
      <c r="K193" s="322">
        <f t="shared" si="46"/>
        <v>0</v>
      </c>
      <c r="L193" s="322">
        <f t="shared" si="46"/>
        <v>0</v>
      </c>
      <c r="M193" s="322">
        <f t="shared" si="46"/>
        <v>0</v>
      </c>
      <c r="N193" s="322">
        <f t="shared" si="46"/>
        <v>0</v>
      </c>
      <c r="O193" s="322">
        <f t="shared" si="46"/>
        <v>0</v>
      </c>
      <c r="P193" s="322">
        <f t="shared" si="46"/>
        <v>0</v>
      </c>
      <c r="Q193" s="322">
        <f t="shared" si="46"/>
        <v>0</v>
      </c>
      <c r="R193" s="322">
        <f t="shared" si="46"/>
        <v>0</v>
      </c>
      <c r="S193" s="322">
        <f t="shared" si="46"/>
        <v>0</v>
      </c>
      <c r="T193" s="322">
        <f t="shared" si="46"/>
        <v>0</v>
      </c>
      <c r="U193" s="322">
        <f t="shared" si="46"/>
        <v>0</v>
      </c>
      <c r="V193" s="322">
        <f t="shared" si="46"/>
        <v>0</v>
      </c>
      <c r="W193" s="322">
        <f t="shared" si="46"/>
        <v>0</v>
      </c>
      <c r="X193" s="322">
        <f t="shared" si="46"/>
        <v>0</v>
      </c>
      <c r="Y193" s="322">
        <f t="shared" si="46"/>
        <v>0</v>
      </c>
      <c r="Z193" s="322">
        <f t="shared" si="46"/>
        <v>0</v>
      </c>
      <c r="AA193" s="322">
        <f t="shared" si="46"/>
        <v>0</v>
      </c>
      <c r="AB193" s="322">
        <f t="shared" si="46"/>
        <v>0</v>
      </c>
      <c r="AC193" s="322">
        <f t="shared" si="46"/>
        <v>0</v>
      </c>
      <c r="AD193" s="322">
        <f t="shared" si="46"/>
        <v>0</v>
      </c>
      <c r="AE193" s="322">
        <f t="shared" si="46"/>
        <v>0</v>
      </c>
      <c r="AF193" s="322">
        <f t="shared" si="46"/>
        <v>0</v>
      </c>
      <c r="AG193" s="322">
        <f t="shared" si="46"/>
        <v>0</v>
      </c>
      <c r="AH193" s="322">
        <f t="shared" si="46"/>
        <v>0</v>
      </c>
      <c r="AI193" s="322">
        <f t="shared" si="46"/>
        <v>0</v>
      </c>
      <c r="AJ193" s="322">
        <f t="shared" si="46"/>
        <v>0</v>
      </c>
      <c r="AK193" s="322">
        <f t="shared" si="46"/>
        <v>0</v>
      </c>
      <c r="AL193" s="322">
        <f t="shared" si="46"/>
        <v>0</v>
      </c>
      <c r="AM193" s="322">
        <f t="shared" si="46"/>
        <v>0</v>
      </c>
      <c r="AN193" s="322">
        <f t="shared" si="46"/>
        <v>0</v>
      </c>
      <c r="AO193" s="322">
        <f t="shared" si="46"/>
        <v>0</v>
      </c>
      <c r="AP193" s="322">
        <f t="shared" si="46"/>
        <v>0</v>
      </c>
      <c r="AQ193" s="304"/>
      <c r="AR193" s="304"/>
    </row>
    <row r="194" spans="4:44" x14ac:dyDescent="0.25">
      <c r="F194" t="s">
        <v>233</v>
      </c>
      <c r="G194" t="s">
        <v>327</v>
      </c>
      <c r="H194" s="304"/>
      <c r="I194" s="304"/>
      <c r="J194" s="322">
        <f t="shared" ref="J194:AP194" si="47">J89 * (1 - J$118)</f>
        <v>0</v>
      </c>
      <c r="K194" s="322">
        <f t="shared" si="47"/>
        <v>0</v>
      </c>
      <c r="L194" s="322">
        <f t="shared" si="47"/>
        <v>0</v>
      </c>
      <c r="M194" s="322">
        <f t="shared" si="47"/>
        <v>0</v>
      </c>
      <c r="N194" s="322">
        <f t="shared" si="47"/>
        <v>0</v>
      </c>
      <c r="O194" s="322">
        <f t="shared" si="47"/>
        <v>0</v>
      </c>
      <c r="P194" s="322">
        <f t="shared" si="47"/>
        <v>0</v>
      </c>
      <c r="Q194" s="322">
        <f t="shared" si="47"/>
        <v>0</v>
      </c>
      <c r="R194" s="322">
        <f t="shared" si="47"/>
        <v>0</v>
      </c>
      <c r="S194" s="322">
        <f t="shared" si="47"/>
        <v>0.12206266742830031</v>
      </c>
      <c r="T194" s="322">
        <f t="shared" si="47"/>
        <v>0.13342607846789278</v>
      </c>
      <c r="U194" s="322">
        <f t="shared" si="47"/>
        <v>8.4775136780448831E-2</v>
      </c>
      <c r="V194" s="322">
        <f t="shared" si="47"/>
        <v>0</v>
      </c>
      <c r="W194" s="322">
        <f t="shared" si="47"/>
        <v>0</v>
      </c>
      <c r="X194" s="322">
        <f t="shared" si="47"/>
        <v>0</v>
      </c>
      <c r="Y194" s="322">
        <f t="shared" si="47"/>
        <v>0</v>
      </c>
      <c r="Z194" s="322">
        <f t="shared" si="47"/>
        <v>0</v>
      </c>
      <c r="AA194" s="322">
        <f t="shared" si="47"/>
        <v>0</v>
      </c>
      <c r="AB194" s="322">
        <f t="shared" si="47"/>
        <v>8.5503934112176119E-2</v>
      </c>
      <c r="AC194" s="322">
        <f t="shared" si="47"/>
        <v>0</v>
      </c>
      <c r="AD194" s="322">
        <f t="shared" si="47"/>
        <v>0</v>
      </c>
      <c r="AE194" s="322">
        <f t="shared" si="47"/>
        <v>0</v>
      </c>
      <c r="AF194" s="322">
        <f t="shared" si="47"/>
        <v>0</v>
      </c>
      <c r="AG194" s="322">
        <f t="shared" si="47"/>
        <v>-8.9044776249403948E-2</v>
      </c>
      <c r="AH194" s="322">
        <f t="shared" si="47"/>
        <v>-8.9044776249403948E-2</v>
      </c>
      <c r="AI194" s="322">
        <f t="shared" si="47"/>
        <v>0</v>
      </c>
      <c r="AJ194" s="322">
        <f t="shared" si="47"/>
        <v>0</v>
      </c>
      <c r="AK194" s="322">
        <f t="shared" si="47"/>
        <v>-8.6348925225339421E-2</v>
      </c>
      <c r="AL194" s="322">
        <f t="shared" si="47"/>
        <v>-8.6348925225339421E-2</v>
      </c>
      <c r="AM194" s="322">
        <f t="shared" si="47"/>
        <v>0</v>
      </c>
      <c r="AN194" s="322">
        <f t="shared" si="47"/>
        <v>0</v>
      </c>
      <c r="AO194" s="322">
        <f t="shared" si="47"/>
        <v>0</v>
      </c>
      <c r="AP194" s="322">
        <f t="shared" si="47"/>
        <v>0</v>
      </c>
      <c r="AQ194" s="304"/>
      <c r="AR194" s="304"/>
    </row>
    <row r="195" spans="4:44" x14ac:dyDescent="0.25">
      <c r="F195" t="s">
        <v>234</v>
      </c>
      <c r="G195" t="s">
        <v>327</v>
      </c>
      <c r="H195" s="304"/>
      <c r="I195" s="304"/>
      <c r="J195" s="322">
        <f t="shared" ref="J195:AP195" si="48">J90 * (1 - J$119)</f>
        <v>0</v>
      </c>
      <c r="K195" s="322">
        <f t="shared" si="48"/>
        <v>0</v>
      </c>
      <c r="L195" s="322">
        <f t="shared" si="48"/>
        <v>0</v>
      </c>
      <c r="M195" s="322">
        <f t="shared" si="48"/>
        <v>0</v>
      </c>
      <c r="N195" s="322">
        <f t="shared" si="48"/>
        <v>0</v>
      </c>
      <c r="O195" s="322">
        <f t="shared" si="48"/>
        <v>0</v>
      </c>
      <c r="P195" s="322">
        <f t="shared" si="48"/>
        <v>0</v>
      </c>
      <c r="Q195" s="322">
        <f t="shared" si="48"/>
        <v>0</v>
      </c>
      <c r="R195" s="322">
        <f t="shared" si="48"/>
        <v>0</v>
      </c>
      <c r="S195" s="322">
        <f t="shared" si="48"/>
        <v>1.1179272252457162E-2</v>
      </c>
      <c r="T195" s="322">
        <f t="shared" si="48"/>
        <v>1.2220005413583613E-2</v>
      </c>
      <c r="U195" s="322">
        <f t="shared" si="48"/>
        <v>0</v>
      </c>
      <c r="V195" s="322">
        <f t="shared" si="48"/>
        <v>0</v>
      </c>
      <c r="W195" s="322">
        <f t="shared" si="48"/>
        <v>0</v>
      </c>
      <c r="X195" s="322">
        <f t="shared" si="48"/>
        <v>0</v>
      </c>
      <c r="Y195" s="322">
        <f t="shared" si="48"/>
        <v>0</v>
      </c>
      <c r="Z195" s="322">
        <f t="shared" si="48"/>
        <v>0</v>
      </c>
      <c r="AA195" s="322">
        <f t="shared" si="48"/>
        <v>0</v>
      </c>
      <c r="AB195" s="322">
        <f t="shared" si="48"/>
        <v>7.830991885030331E-3</v>
      </c>
      <c r="AC195" s="322">
        <f t="shared" si="48"/>
        <v>0</v>
      </c>
      <c r="AD195" s="322">
        <f t="shared" si="48"/>
        <v>0</v>
      </c>
      <c r="AE195" s="322">
        <f t="shared" si="48"/>
        <v>0</v>
      </c>
      <c r="AF195" s="322">
        <f t="shared" si="48"/>
        <v>0</v>
      </c>
      <c r="AG195" s="322">
        <f t="shared" si="48"/>
        <v>-8.1552846363606574E-3</v>
      </c>
      <c r="AH195" s="322">
        <f t="shared" si="48"/>
        <v>-8.1552846363606574E-3</v>
      </c>
      <c r="AI195" s="322">
        <f t="shared" si="48"/>
        <v>0</v>
      </c>
      <c r="AJ195" s="322">
        <f t="shared" si="48"/>
        <v>0</v>
      </c>
      <c r="AK195" s="322">
        <f t="shared" si="48"/>
        <v>0</v>
      </c>
      <c r="AL195" s="322">
        <f t="shared" si="48"/>
        <v>0</v>
      </c>
      <c r="AM195" s="322">
        <f t="shared" si="48"/>
        <v>0</v>
      </c>
      <c r="AN195" s="322">
        <f t="shared" si="48"/>
        <v>0</v>
      </c>
      <c r="AO195" s="322">
        <f t="shared" si="48"/>
        <v>0</v>
      </c>
      <c r="AP195" s="322">
        <f t="shared" si="48"/>
        <v>0</v>
      </c>
      <c r="AQ195" s="304"/>
      <c r="AR195" s="304"/>
    </row>
    <row r="196" spans="4:44" x14ac:dyDescent="0.25">
      <c r="F196" t="s">
        <v>235</v>
      </c>
      <c r="G196" t="s">
        <v>327</v>
      </c>
      <c r="H196" s="304"/>
      <c r="I196" s="304"/>
      <c r="J196" s="322">
        <f t="shared" ref="J196:AP196" si="49">J91 * (1 - J$120)</f>
        <v>0</v>
      </c>
      <c r="K196" s="322">
        <f t="shared" si="49"/>
        <v>0</v>
      </c>
      <c r="L196" s="322">
        <f t="shared" si="49"/>
        <v>0</v>
      </c>
      <c r="M196" s="322">
        <f t="shared" si="49"/>
        <v>0</v>
      </c>
      <c r="N196" s="322">
        <f t="shared" si="49"/>
        <v>0</v>
      </c>
      <c r="O196" s="322">
        <f t="shared" si="49"/>
        <v>0</v>
      </c>
      <c r="P196" s="322">
        <f t="shared" si="49"/>
        <v>0</v>
      </c>
      <c r="Q196" s="322">
        <f t="shared" si="49"/>
        <v>0</v>
      </c>
      <c r="R196" s="322">
        <f t="shared" si="49"/>
        <v>0</v>
      </c>
      <c r="S196" s="322">
        <f t="shared" si="49"/>
        <v>0</v>
      </c>
      <c r="T196" s="322">
        <f t="shared" si="49"/>
        <v>0</v>
      </c>
      <c r="U196" s="322">
        <f t="shared" si="49"/>
        <v>0</v>
      </c>
      <c r="V196" s="322">
        <f t="shared" si="49"/>
        <v>0</v>
      </c>
      <c r="W196" s="322">
        <f t="shared" si="49"/>
        <v>0</v>
      </c>
      <c r="X196" s="322">
        <f t="shared" si="49"/>
        <v>0</v>
      </c>
      <c r="Y196" s="322">
        <f t="shared" si="49"/>
        <v>0</v>
      </c>
      <c r="Z196" s="322">
        <f t="shared" si="49"/>
        <v>0</v>
      </c>
      <c r="AA196" s="322">
        <f t="shared" si="49"/>
        <v>0</v>
      </c>
      <c r="AB196" s="322">
        <f t="shared" si="49"/>
        <v>2.8439187854800325E-3</v>
      </c>
      <c r="AC196" s="322">
        <f t="shared" si="49"/>
        <v>0</v>
      </c>
      <c r="AD196" s="322">
        <f t="shared" si="49"/>
        <v>0</v>
      </c>
      <c r="AE196" s="322">
        <f t="shared" si="49"/>
        <v>0</v>
      </c>
      <c r="AF196" s="322">
        <f t="shared" si="49"/>
        <v>0</v>
      </c>
      <c r="AG196" s="322">
        <f t="shared" si="49"/>
        <v>0</v>
      </c>
      <c r="AH196" s="322">
        <f t="shared" si="49"/>
        <v>0</v>
      </c>
      <c r="AI196" s="322">
        <f t="shared" si="49"/>
        <v>0</v>
      </c>
      <c r="AJ196" s="322">
        <f t="shared" si="49"/>
        <v>0</v>
      </c>
      <c r="AK196" s="322">
        <f t="shared" si="49"/>
        <v>0</v>
      </c>
      <c r="AL196" s="322">
        <f t="shared" si="49"/>
        <v>0</v>
      </c>
      <c r="AM196" s="322">
        <f t="shared" si="49"/>
        <v>0</v>
      </c>
      <c r="AN196" s="322">
        <f t="shared" si="49"/>
        <v>0</v>
      </c>
      <c r="AO196" s="322">
        <f t="shared" si="49"/>
        <v>0</v>
      </c>
      <c r="AP196" s="322">
        <f t="shared" si="49"/>
        <v>0</v>
      </c>
      <c r="AQ196" s="304"/>
      <c r="AR196" s="304"/>
    </row>
    <row r="197" spans="4:44" x14ac:dyDescent="0.25">
      <c r="D197"/>
      <c r="F197" s="23" t="s">
        <v>436</v>
      </c>
      <c r="G197" s="23" t="s">
        <v>327</v>
      </c>
      <c r="H197" s="302"/>
      <c r="I197" s="302"/>
      <c r="J197" s="320"/>
      <c r="K197" s="320"/>
      <c r="L197" s="320"/>
      <c r="M197" s="320"/>
      <c r="N197" s="320"/>
      <c r="O197" s="320"/>
      <c r="P197" s="320"/>
      <c r="Q197" s="320"/>
      <c r="R197" s="320"/>
      <c r="S197" s="320"/>
      <c r="T197" s="320"/>
      <c r="U197" s="320"/>
      <c r="V197" s="320"/>
      <c r="W197" s="320"/>
      <c r="X197" s="320"/>
      <c r="Y197" s="320"/>
      <c r="Z197" s="320"/>
      <c r="AA197" s="320"/>
      <c r="AB197" s="320"/>
      <c r="AC197" s="320"/>
      <c r="AD197" s="320"/>
      <c r="AE197" s="320"/>
      <c r="AF197" s="320"/>
      <c r="AG197" s="320"/>
      <c r="AH197" s="320"/>
      <c r="AI197" s="320"/>
      <c r="AJ197" s="320"/>
      <c r="AK197" s="320"/>
      <c r="AL197" s="320"/>
      <c r="AM197" s="320"/>
      <c r="AN197" s="320"/>
      <c r="AO197" s="320"/>
      <c r="AP197" s="320"/>
      <c r="AQ197" s="304"/>
      <c r="AR197" s="304"/>
    </row>
    <row r="198" spans="4:44" x14ac:dyDescent="0.25">
      <c r="D198"/>
      <c r="F198" s="37" t="s">
        <v>437</v>
      </c>
      <c r="G198" s="37" t="s">
        <v>327</v>
      </c>
      <c r="H198" s="308"/>
      <c r="I198" s="308"/>
      <c r="J198" s="309"/>
      <c r="K198" s="309"/>
      <c r="L198" s="309"/>
      <c r="M198" s="309"/>
      <c r="N198" s="309"/>
      <c r="O198" s="309"/>
      <c r="P198" s="309"/>
      <c r="Q198" s="309"/>
      <c r="R198" s="309"/>
      <c r="S198" s="309"/>
      <c r="T198" s="309"/>
      <c r="U198" s="309"/>
      <c r="V198" s="309"/>
      <c r="W198" s="309"/>
      <c r="X198" s="309"/>
      <c r="Y198" s="309"/>
      <c r="Z198" s="309"/>
      <c r="AA198" s="309"/>
      <c r="AB198" s="309"/>
      <c r="AC198" s="309"/>
      <c r="AD198" s="309"/>
      <c r="AE198" s="309"/>
      <c r="AF198" s="309"/>
      <c r="AG198" s="309"/>
      <c r="AH198" s="309"/>
      <c r="AI198" s="309"/>
      <c r="AJ198" s="309"/>
      <c r="AK198" s="309"/>
      <c r="AL198" s="309"/>
      <c r="AM198" s="309"/>
      <c r="AN198" s="309"/>
      <c r="AO198" s="309"/>
      <c r="AP198" s="309"/>
      <c r="AQ198" s="304"/>
      <c r="AR198" s="304"/>
    </row>
    <row r="199" spans="4:44" x14ac:dyDescent="0.25">
      <c r="D199"/>
      <c r="J199" s="92"/>
      <c r="K199" s="92"/>
      <c r="L199" s="92"/>
      <c r="M199" s="92"/>
      <c r="N199" s="92"/>
      <c r="O199" s="92"/>
      <c r="P199" s="92"/>
      <c r="Q199" s="92"/>
      <c r="R199" s="92"/>
      <c r="S199" s="92"/>
      <c r="T199" s="92"/>
      <c r="U199" s="92"/>
      <c r="V199" s="92"/>
      <c r="W199" s="92"/>
      <c r="X199" s="92"/>
      <c r="Y199" s="92"/>
      <c r="Z199" s="92"/>
      <c r="AA199" s="92"/>
      <c r="AB199" s="92"/>
      <c r="AC199" s="92"/>
      <c r="AD199" s="92"/>
      <c r="AE199" s="92"/>
      <c r="AF199" s="92"/>
      <c r="AG199" s="92"/>
      <c r="AH199" s="92"/>
      <c r="AI199" s="92"/>
      <c r="AJ199" s="92"/>
      <c r="AK199" s="92"/>
      <c r="AL199" s="92"/>
      <c r="AM199" s="92"/>
      <c r="AN199" s="92"/>
      <c r="AO199" s="92"/>
      <c r="AP199" s="92"/>
    </row>
    <row r="200" spans="4:44" x14ac:dyDescent="0.25">
      <c r="E200" s="32" t="s">
        <v>734</v>
      </c>
      <c r="J200" s="92"/>
      <c r="K200" s="92"/>
      <c r="L200" s="92"/>
      <c r="M200" s="92"/>
      <c r="N200" s="92"/>
      <c r="O200" s="92"/>
      <c r="P200" s="92"/>
      <c r="Q200" s="92"/>
      <c r="R200" s="92"/>
      <c r="S200" s="92"/>
      <c r="T200" s="92"/>
      <c r="U200" s="92"/>
      <c r="V200" s="92"/>
      <c r="W200" s="92"/>
      <c r="X200" s="92"/>
      <c r="Y200" s="92"/>
      <c r="Z200" s="92"/>
      <c r="AA200" s="92"/>
      <c r="AB200" s="92"/>
      <c r="AC200" s="92"/>
      <c r="AD200" s="92"/>
      <c r="AE200" s="92"/>
      <c r="AF200" s="92"/>
      <c r="AG200" s="92"/>
      <c r="AH200" s="92"/>
      <c r="AI200" s="92"/>
      <c r="AJ200" s="92"/>
      <c r="AK200" s="92"/>
      <c r="AL200" s="92"/>
      <c r="AM200" s="92"/>
      <c r="AN200" s="92"/>
      <c r="AO200" s="92"/>
      <c r="AP200" s="92"/>
    </row>
    <row r="201" spans="4:44" x14ac:dyDescent="0.25">
      <c r="F201" s="23" t="s">
        <v>225</v>
      </c>
      <c r="G201" s="23" t="s">
        <v>327</v>
      </c>
      <c r="H201" s="302"/>
      <c r="I201" s="302"/>
      <c r="J201" s="321">
        <f t="shared" ref="J201:AP201" si="50">J96 * (1 - J$112)</f>
        <v>0</v>
      </c>
      <c r="K201" s="321">
        <f t="shared" si="50"/>
        <v>0</v>
      </c>
      <c r="L201" s="321">
        <f t="shared" si="50"/>
        <v>0</v>
      </c>
      <c r="M201" s="321">
        <f t="shared" si="50"/>
        <v>0</v>
      </c>
      <c r="N201" s="321">
        <f t="shared" si="50"/>
        <v>0</v>
      </c>
      <c r="O201" s="321">
        <f t="shared" si="50"/>
        <v>0</v>
      </c>
      <c r="P201" s="321">
        <f t="shared" si="50"/>
        <v>0</v>
      </c>
      <c r="Q201" s="321">
        <f t="shared" si="50"/>
        <v>0</v>
      </c>
      <c r="R201" s="321">
        <f t="shared" si="50"/>
        <v>0</v>
      </c>
      <c r="S201" s="321">
        <f t="shared" si="50"/>
        <v>0.13913607724956753</v>
      </c>
      <c r="T201" s="321">
        <f t="shared" si="50"/>
        <v>0.15190136002673416</v>
      </c>
      <c r="U201" s="321">
        <f t="shared" si="50"/>
        <v>0.12060062691409253</v>
      </c>
      <c r="V201" s="321">
        <f t="shared" si="50"/>
        <v>0.11609425267371128</v>
      </c>
      <c r="W201" s="321">
        <f t="shared" si="50"/>
        <v>0.10792102313949463</v>
      </c>
      <c r="X201" s="321">
        <f t="shared" si="50"/>
        <v>0</v>
      </c>
      <c r="Y201" s="321">
        <f t="shared" si="50"/>
        <v>0</v>
      </c>
      <c r="Z201" s="321">
        <f t="shared" si="50"/>
        <v>0</v>
      </c>
      <c r="AA201" s="321">
        <f t="shared" si="50"/>
        <v>0</v>
      </c>
      <c r="AB201" s="321">
        <f t="shared" si="50"/>
        <v>9.7309927879022692E-2</v>
      </c>
      <c r="AC201" s="321">
        <f t="shared" si="50"/>
        <v>0</v>
      </c>
      <c r="AD201" s="321">
        <f t="shared" si="50"/>
        <v>0</v>
      </c>
      <c r="AE201" s="321">
        <f t="shared" si="50"/>
        <v>0</v>
      </c>
      <c r="AF201" s="321">
        <f t="shared" si="50"/>
        <v>0</v>
      </c>
      <c r="AG201" s="321">
        <f t="shared" si="50"/>
        <v>-0.10133967337064656</v>
      </c>
      <c r="AH201" s="321">
        <f t="shared" si="50"/>
        <v>-0.10133967337064656</v>
      </c>
      <c r="AI201" s="321">
        <f t="shared" si="50"/>
        <v>0</v>
      </c>
      <c r="AJ201" s="321">
        <f t="shared" si="50"/>
        <v>0</v>
      </c>
      <c r="AK201" s="321">
        <f t="shared" si="50"/>
        <v>-9.8271591516305878E-2</v>
      </c>
      <c r="AL201" s="321">
        <f t="shared" si="50"/>
        <v>-9.8271591516305878E-2</v>
      </c>
      <c r="AM201" s="321">
        <f t="shared" si="50"/>
        <v>0</v>
      </c>
      <c r="AN201" s="321">
        <f t="shared" si="50"/>
        <v>0</v>
      </c>
      <c r="AO201" s="321">
        <f t="shared" si="50"/>
        <v>-9.6226203613412095E-2</v>
      </c>
      <c r="AP201" s="321">
        <f t="shared" si="50"/>
        <v>-9.6226203613412095E-2</v>
      </c>
      <c r="AQ201" s="304"/>
      <c r="AR201" s="304"/>
    </row>
    <row r="202" spans="4:44" x14ac:dyDescent="0.25">
      <c r="F202" t="s">
        <v>227</v>
      </c>
      <c r="G202" t="s">
        <v>327</v>
      </c>
      <c r="H202" s="304"/>
      <c r="I202" s="304"/>
      <c r="J202" s="322">
        <f t="shared" ref="J202:AP202" si="51">J97 * (1 - J$112)</f>
        <v>0</v>
      </c>
      <c r="K202" s="322">
        <f t="shared" si="51"/>
        <v>0</v>
      </c>
      <c r="L202" s="322">
        <f t="shared" si="51"/>
        <v>0</v>
      </c>
      <c r="M202" s="322">
        <f t="shared" si="51"/>
        <v>0</v>
      </c>
      <c r="N202" s="322">
        <f t="shared" si="51"/>
        <v>0</v>
      </c>
      <c r="O202" s="322">
        <f t="shared" si="51"/>
        <v>0</v>
      </c>
      <c r="P202" s="322">
        <f t="shared" si="51"/>
        <v>0</v>
      </c>
      <c r="Q202" s="322">
        <f t="shared" si="51"/>
        <v>0</v>
      </c>
      <c r="R202" s="322">
        <f t="shared" si="51"/>
        <v>0</v>
      </c>
      <c r="S202" s="322">
        <f t="shared" si="51"/>
        <v>0</v>
      </c>
      <c r="T202" s="322">
        <f t="shared" si="51"/>
        <v>0</v>
      </c>
      <c r="U202" s="322">
        <f t="shared" si="51"/>
        <v>0</v>
      </c>
      <c r="V202" s="322">
        <f t="shared" si="51"/>
        <v>0</v>
      </c>
      <c r="W202" s="322">
        <f t="shared" si="51"/>
        <v>0</v>
      </c>
      <c r="X202" s="322">
        <f t="shared" si="51"/>
        <v>0</v>
      </c>
      <c r="Y202" s="322">
        <f t="shared" si="51"/>
        <v>0</v>
      </c>
      <c r="Z202" s="322">
        <f t="shared" si="51"/>
        <v>0</v>
      </c>
      <c r="AA202" s="322">
        <f t="shared" si="51"/>
        <v>0</v>
      </c>
      <c r="AB202" s="322">
        <f t="shared" si="51"/>
        <v>0</v>
      </c>
      <c r="AC202" s="322">
        <f t="shared" si="51"/>
        <v>0</v>
      </c>
      <c r="AD202" s="322">
        <f t="shared" si="51"/>
        <v>0</v>
      </c>
      <c r="AE202" s="322">
        <f t="shared" si="51"/>
        <v>0</v>
      </c>
      <c r="AF202" s="322">
        <f t="shared" si="51"/>
        <v>0</v>
      </c>
      <c r="AG202" s="322">
        <f t="shared" si="51"/>
        <v>0</v>
      </c>
      <c r="AH202" s="322">
        <f t="shared" si="51"/>
        <v>0</v>
      </c>
      <c r="AI202" s="322">
        <f t="shared" si="51"/>
        <v>0</v>
      </c>
      <c r="AJ202" s="322">
        <f t="shared" si="51"/>
        <v>0</v>
      </c>
      <c r="AK202" s="322">
        <f t="shared" si="51"/>
        <v>0</v>
      </c>
      <c r="AL202" s="322">
        <f t="shared" si="51"/>
        <v>0</v>
      </c>
      <c r="AM202" s="322">
        <f t="shared" si="51"/>
        <v>0</v>
      </c>
      <c r="AN202" s="322">
        <f t="shared" si="51"/>
        <v>0</v>
      </c>
      <c r="AO202" s="322">
        <f t="shared" si="51"/>
        <v>0</v>
      </c>
      <c r="AP202" s="322">
        <f t="shared" si="51"/>
        <v>0</v>
      </c>
      <c r="AQ202" s="304"/>
      <c r="AR202" s="304"/>
    </row>
    <row r="203" spans="4:44" x14ac:dyDescent="0.25">
      <c r="F203" t="s">
        <v>228</v>
      </c>
      <c r="G203" t="s">
        <v>327</v>
      </c>
      <c r="H203" s="304"/>
      <c r="I203" s="304"/>
      <c r="J203" s="322">
        <f t="shared" ref="J203:AP203" si="52">J98 * (1 - J$113)</f>
        <v>0</v>
      </c>
      <c r="K203" s="322">
        <f t="shared" si="52"/>
        <v>0</v>
      </c>
      <c r="L203" s="322">
        <f t="shared" si="52"/>
        <v>0</v>
      </c>
      <c r="M203" s="322">
        <f t="shared" si="52"/>
        <v>0</v>
      </c>
      <c r="N203" s="322">
        <f t="shared" si="52"/>
        <v>0</v>
      </c>
      <c r="O203" s="322">
        <f t="shared" si="52"/>
        <v>0</v>
      </c>
      <c r="P203" s="322">
        <f t="shared" si="52"/>
        <v>0</v>
      </c>
      <c r="Q203" s="322">
        <f t="shared" si="52"/>
        <v>0</v>
      </c>
      <c r="R203" s="322">
        <f t="shared" si="52"/>
        <v>0</v>
      </c>
      <c r="S203" s="322">
        <f t="shared" si="52"/>
        <v>0</v>
      </c>
      <c r="T203" s="322">
        <f t="shared" si="52"/>
        <v>0</v>
      </c>
      <c r="U203" s="322">
        <f t="shared" si="52"/>
        <v>0</v>
      </c>
      <c r="V203" s="322">
        <f t="shared" si="52"/>
        <v>0</v>
      </c>
      <c r="W203" s="322">
        <f t="shared" si="52"/>
        <v>0</v>
      </c>
      <c r="X203" s="322">
        <f t="shared" si="52"/>
        <v>0</v>
      </c>
      <c r="Y203" s="322">
        <f t="shared" si="52"/>
        <v>0</v>
      </c>
      <c r="Z203" s="322">
        <f t="shared" si="52"/>
        <v>0</v>
      </c>
      <c r="AA203" s="322">
        <f t="shared" si="52"/>
        <v>0</v>
      </c>
      <c r="AB203" s="322">
        <f t="shared" si="52"/>
        <v>0</v>
      </c>
      <c r="AC203" s="322">
        <f t="shared" si="52"/>
        <v>0</v>
      </c>
      <c r="AD203" s="322">
        <f t="shared" si="52"/>
        <v>0</v>
      </c>
      <c r="AE203" s="322">
        <f t="shared" si="52"/>
        <v>0</v>
      </c>
      <c r="AF203" s="322">
        <f t="shared" si="52"/>
        <v>0</v>
      </c>
      <c r="AG203" s="322">
        <f t="shared" si="52"/>
        <v>0</v>
      </c>
      <c r="AH203" s="322">
        <f t="shared" si="52"/>
        <v>0</v>
      </c>
      <c r="AI203" s="322">
        <f t="shared" si="52"/>
        <v>0</v>
      </c>
      <c r="AJ203" s="322">
        <f t="shared" si="52"/>
        <v>0</v>
      </c>
      <c r="AK203" s="322">
        <f t="shared" si="52"/>
        <v>0</v>
      </c>
      <c r="AL203" s="322">
        <f t="shared" si="52"/>
        <v>0</v>
      </c>
      <c r="AM203" s="322">
        <f t="shared" si="52"/>
        <v>0</v>
      </c>
      <c r="AN203" s="322">
        <f t="shared" si="52"/>
        <v>0</v>
      </c>
      <c r="AO203" s="322">
        <f t="shared" si="52"/>
        <v>0</v>
      </c>
      <c r="AP203" s="322">
        <f t="shared" si="52"/>
        <v>0</v>
      </c>
      <c r="AQ203" s="304"/>
      <c r="AR203" s="304"/>
    </row>
    <row r="204" spans="4:44" x14ac:dyDescent="0.25">
      <c r="F204" t="s">
        <v>229</v>
      </c>
      <c r="G204" t="s">
        <v>327</v>
      </c>
      <c r="H204" s="304"/>
      <c r="I204" s="304"/>
      <c r="J204" s="322">
        <f t="shared" ref="J204:AP204" si="53">J99 * (1 - J$114)</f>
        <v>0</v>
      </c>
      <c r="K204" s="322">
        <f t="shared" si="53"/>
        <v>0</v>
      </c>
      <c r="L204" s="322">
        <f t="shared" si="53"/>
        <v>0</v>
      </c>
      <c r="M204" s="322">
        <f t="shared" si="53"/>
        <v>0</v>
      </c>
      <c r="N204" s="322">
        <f t="shared" si="53"/>
        <v>0</v>
      </c>
      <c r="O204" s="322">
        <f t="shared" si="53"/>
        <v>0</v>
      </c>
      <c r="P204" s="322">
        <f t="shared" si="53"/>
        <v>0</v>
      </c>
      <c r="Q204" s="322">
        <f t="shared" si="53"/>
        <v>0</v>
      </c>
      <c r="R204" s="322">
        <f t="shared" si="53"/>
        <v>0</v>
      </c>
      <c r="S204" s="322">
        <f t="shared" si="53"/>
        <v>0</v>
      </c>
      <c r="T204" s="322">
        <f t="shared" si="53"/>
        <v>0</v>
      </c>
      <c r="U204" s="322">
        <f t="shared" si="53"/>
        <v>0</v>
      </c>
      <c r="V204" s="322">
        <f t="shared" si="53"/>
        <v>0</v>
      </c>
      <c r="W204" s="322">
        <f t="shared" si="53"/>
        <v>0</v>
      </c>
      <c r="X204" s="322">
        <f t="shared" si="53"/>
        <v>0</v>
      </c>
      <c r="Y204" s="322">
        <f t="shared" si="53"/>
        <v>0</v>
      </c>
      <c r="Z204" s="322">
        <f t="shared" si="53"/>
        <v>0</v>
      </c>
      <c r="AA204" s="322">
        <f t="shared" si="53"/>
        <v>0</v>
      </c>
      <c r="AB204" s="322">
        <f t="shared" si="53"/>
        <v>0</v>
      </c>
      <c r="AC204" s="322">
        <f t="shared" si="53"/>
        <v>0</v>
      </c>
      <c r="AD204" s="322">
        <f t="shared" si="53"/>
        <v>0</v>
      </c>
      <c r="AE204" s="322">
        <f t="shared" si="53"/>
        <v>0</v>
      </c>
      <c r="AF204" s="322">
        <f t="shared" si="53"/>
        <v>0</v>
      </c>
      <c r="AG204" s="322">
        <f t="shared" si="53"/>
        <v>0</v>
      </c>
      <c r="AH204" s="322">
        <f t="shared" si="53"/>
        <v>0</v>
      </c>
      <c r="AI204" s="322">
        <f t="shared" si="53"/>
        <v>0</v>
      </c>
      <c r="AJ204" s="322">
        <f t="shared" si="53"/>
        <v>0</v>
      </c>
      <c r="AK204" s="322">
        <f t="shared" si="53"/>
        <v>0</v>
      </c>
      <c r="AL204" s="322">
        <f t="shared" si="53"/>
        <v>0</v>
      </c>
      <c r="AM204" s="322">
        <f t="shared" si="53"/>
        <v>0</v>
      </c>
      <c r="AN204" s="322">
        <f t="shared" si="53"/>
        <v>0</v>
      </c>
      <c r="AO204" s="322">
        <f t="shared" si="53"/>
        <v>0</v>
      </c>
      <c r="AP204" s="322">
        <f t="shared" si="53"/>
        <v>0</v>
      </c>
      <c r="AQ204" s="304"/>
      <c r="AR204" s="304"/>
    </row>
    <row r="205" spans="4:44" x14ac:dyDescent="0.25">
      <c r="F205" t="s">
        <v>230</v>
      </c>
      <c r="G205" t="s">
        <v>327</v>
      </c>
      <c r="H205" s="304"/>
      <c r="I205" s="304"/>
      <c r="J205" s="322">
        <f t="shared" ref="J205:AP205" si="54">J100 * (1 - J$115)</f>
        <v>0</v>
      </c>
      <c r="K205" s="322">
        <f t="shared" si="54"/>
        <v>0</v>
      </c>
      <c r="L205" s="322">
        <f t="shared" si="54"/>
        <v>0</v>
      </c>
      <c r="M205" s="322">
        <f t="shared" si="54"/>
        <v>0</v>
      </c>
      <c r="N205" s="322">
        <f t="shared" si="54"/>
        <v>0</v>
      </c>
      <c r="O205" s="322">
        <f t="shared" si="54"/>
        <v>0</v>
      </c>
      <c r="P205" s="322">
        <f t="shared" si="54"/>
        <v>0</v>
      </c>
      <c r="Q205" s="322">
        <f t="shared" si="54"/>
        <v>0</v>
      </c>
      <c r="R205" s="322">
        <f t="shared" si="54"/>
        <v>0</v>
      </c>
      <c r="S205" s="322">
        <f t="shared" si="54"/>
        <v>4.4191804850785187E-2</v>
      </c>
      <c r="T205" s="322">
        <f t="shared" si="54"/>
        <v>4.8305836222382922E-2</v>
      </c>
      <c r="U205" s="322">
        <f t="shared" si="54"/>
        <v>3.8365193671939392E-2</v>
      </c>
      <c r="V205" s="322">
        <f t="shared" si="54"/>
        <v>3.6931636277468968E-2</v>
      </c>
      <c r="W205" s="322">
        <f t="shared" si="54"/>
        <v>2.7465269857808644E-2</v>
      </c>
      <c r="X205" s="322">
        <f t="shared" si="54"/>
        <v>0</v>
      </c>
      <c r="Y205" s="322">
        <f t="shared" si="54"/>
        <v>0</v>
      </c>
      <c r="Z205" s="322">
        <f t="shared" si="54"/>
        <v>0</v>
      </c>
      <c r="AA205" s="322">
        <f t="shared" si="54"/>
        <v>0</v>
      </c>
      <c r="AB205" s="322">
        <f t="shared" si="54"/>
        <v>3.0956010136999643E-2</v>
      </c>
      <c r="AC205" s="322">
        <f t="shared" si="54"/>
        <v>0</v>
      </c>
      <c r="AD205" s="322">
        <f t="shared" si="54"/>
        <v>0</v>
      </c>
      <c r="AE205" s="322">
        <f t="shared" si="54"/>
        <v>0</v>
      </c>
      <c r="AF205" s="322">
        <f t="shared" si="54"/>
        <v>0</v>
      </c>
      <c r="AG205" s="322">
        <f t="shared" si="54"/>
        <v>-3.223794349166538E-2</v>
      </c>
      <c r="AH205" s="322">
        <f t="shared" si="54"/>
        <v>-3.223794349166538E-2</v>
      </c>
      <c r="AI205" s="322">
        <f t="shared" si="54"/>
        <v>0</v>
      </c>
      <c r="AJ205" s="322">
        <f t="shared" si="54"/>
        <v>0</v>
      </c>
      <c r="AK205" s="322">
        <f t="shared" si="54"/>
        <v>-3.1261932358431471E-2</v>
      </c>
      <c r="AL205" s="322">
        <f t="shared" si="54"/>
        <v>-3.1261932358431471E-2</v>
      </c>
      <c r="AM205" s="322">
        <f t="shared" si="54"/>
        <v>0</v>
      </c>
      <c r="AN205" s="322">
        <f t="shared" si="54"/>
        <v>0</v>
      </c>
      <c r="AO205" s="322">
        <f t="shared" si="54"/>
        <v>-3.0611258269608872E-2</v>
      </c>
      <c r="AP205" s="322">
        <f t="shared" si="54"/>
        <v>-3.0611258269608872E-2</v>
      </c>
      <c r="AQ205" s="304"/>
      <c r="AR205" s="304"/>
    </row>
    <row r="206" spans="4:44" x14ac:dyDescent="0.25">
      <c r="F206" t="s">
        <v>231</v>
      </c>
      <c r="G206" t="s">
        <v>327</v>
      </c>
      <c r="H206" s="304"/>
      <c r="I206" s="304"/>
      <c r="J206" s="322">
        <f t="shared" ref="J206:AP206" si="55">J101 * (1 - J$116)</f>
        <v>0</v>
      </c>
      <c r="K206" s="322">
        <f t="shared" si="55"/>
        <v>0</v>
      </c>
      <c r="L206" s="322">
        <f t="shared" si="55"/>
        <v>0</v>
      </c>
      <c r="M206" s="322">
        <f t="shared" si="55"/>
        <v>0</v>
      </c>
      <c r="N206" s="322">
        <f t="shared" si="55"/>
        <v>0</v>
      </c>
      <c r="O206" s="322">
        <f t="shared" si="55"/>
        <v>0</v>
      </c>
      <c r="P206" s="322">
        <f t="shared" si="55"/>
        <v>0</v>
      </c>
      <c r="Q206" s="322">
        <f t="shared" si="55"/>
        <v>0</v>
      </c>
      <c r="R206" s="322">
        <f t="shared" si="55"/>
        <v>0</v>
      </c>
      <c r="S206" s="322">
        <f t="shared" si="55"/>
        <v>3.9984581753856219E-2</v>
      </c>
      <c r="T206" s="322">
        <f t="shared" si="55"/>
        <v>4.3706942138796598E-2</v>
      </c>
      <c r="U206" s="322">
        <f t="shared" si="55"/>
        <v>3.4712685486773726E-2</v>
      </c>
      <c r="V206" s="322">
        <f t="shared" si="55"/>
        <v>3.3415608052810783E-2</v>
      </c>
      <c r="W206" s="322">
        <f t="shared" si="55"/>
        <v>0</v>
      </c>
      <c r="X206" s="322">
        <f t="shared" si="55"/>
        <v>0</v>
      </c>
      <c r="Y206" s="322">
        <f t="shared" si="55"/>
        <v>0</v>
      </c>
      <c r="Z206" s="322">
        <f t="shared" si="55"/>
        <v>0</v>
      </c>
      <c r="AA206" s="322">
        <f t="shared" si="55"/>
        <v>0</v>
      </c>
      <c r="AB206" s="322">
        <f t="shared" si="55"/>
        <v>2.8008883599015801E-2</v>
      </c>
      <c r="AC206" s="322">
        <f t="shared" si="55"/>
        <v>0</v>
      </c>
      <c r="AD206" s="322">
        <f t="shared" si="55"/>
        <v>0</v>
      </c>
      <c r="AE206" s="322">
        <f t="shared" si="55"/>
        <v>0</v>
      </c>
      <c r="AF206" s="322">
        <f t="shared" si="55"/>
        <v>0</v>
      </c>
      <c r="AG206" s="322">
        <f t="shared" si="55"/>
        <v>-2.9168772161967688E-2</v>
      </c>
      <c r="AH206" s="322">
        <f t="shared" si="55"/>
        <v>-2.9168772161967688E-2</v>
      </c>
      <c r="AI206" s="322">
        <f t="shared" si="55"/>
        <v>0</v>
      </c>
      <c r="AJ206" s="322">
        <f t="shared" si="55"/>
        <v>0</v>
      </c>
      <c r="AK206" s="322">
        <f t="shared" si="55"/>
        <v>-2.8285680894678755E-2</v>
      </c>
      <c r="AL206" s="322">
        <f t="shared" si="55"/>
        <v>-2.8285680894678755E-2</v>
      </c>
      <c r="AM206" s="322">
        <f t="shared" si="55"/>
        <v>0</v>
      </c>
      <c r="AN206" s="322">
        <f t="shared" si="55"/>
        <v>0</v>
      </c>
      <c r="AO206" s="322">
        <f t="shared" si="55"/>
        <v>-2.7696953383152804E-2</v>
      </c>
      <c r="AP206" s="322">
        <f t="shared" si="55"/>
        <v>-2.7696953383152804E-2</v>
      </c>
      <c r="AQ206" s="304"/>
      <c r="AR206" s="304"/>
    </row>
    <row r="207" spans="4:44" x14ac:dyDescent="0.25">
      <c r="F207" t="s">
        <v>232</v>
      </c>
      <c r="G207" t="s">
        <v>327</v>
      </c>
      <c r="H207" s="304"/>
      <c r="I207" s="304"/>
      <c r="J207" s="322">
        <f t="shared" ref="J207:AP207" si="56">J102 * (1 - J$117)</f>
        <v>0</v>
      </c>
      <c r="K207" s="322">
        <f t="shared" si="56"/>
        <v>0</v>
      </c>
      <c r="L207" s="322">
        <f t="shared" si="56"/>
        <v>0</v>
      </c>
      <c r="M207" s="322">
        <f t="shared" si="56"/>
        <v>0</v>
      </c>
      <c r="N207" s="322">
        <f t="shared" si="56"/>
        <v>0</v>
      </c>
      <c r="O207" s="322">
        <f t="shared" si="56"/>
        <v>0</v>
      </c>
      <c r="P207" s="322">
        <f t="shared" si="56"/>
        <v>0</v>
      </c>
      <c r="Q207" s="322">
        <f t="shared" si="56"/>
        <v>0</v>
      </c>
      <c r="R207" s="322">
        <f t="shared" si="56"/>
        <v>0</v>
      </c>
      <c r="S207" s="322">
        <f t="shared" si="56"/>
        <v>0</v>
      </c>
      <c r="T207" s="322">
        <f t="shared" si="56"/>
        <v>0</v>
      </c>
      <c r="U207" s="322">
        <f t="shared" si="56"/>
        <v>0</v>
      </c>
      <c r="V207" s="322">
        <f t="shared" si="56"/>
        <v>0</v>
      </c>
      <c r="W207" s="322">
        <f t="shared" si="56"/>
        <v>0</v>
      </c>
      <c r="X207" s="322">
        <f t="shared" si="56"/>
        <v>0</v>
      </c>
      <c r="Y207" s="322">
        <f t="shared" si="56"/>
        <v>0</v>
      </c>
      <c r="Z207" s="322">
        <f t="shared" si="56"/>
        <v>0</v>
      </c>
      <c r="AA207" s="322">
        <f t="shared" si="56"/>
        <v>0</v>
      </c>
      <c r="AB207" s="322">
        <f t="shared" si="56"/>
        <v>0</v>
      </c>
      <c r="AC207" s="322">
        <f t="shared" si="56"/>
        <v>0</v>
      </c>
      <c r="AD207" s="322">
        <f t="shared" si="56"/>
        <v>0</v>
      </c>
      <c r="AE207" s="322">
        <f t="shared" si="56"/>
        <v>0</v>
      </c>
      <c r="AF207" s="322">
        <f t="shared" si="56"/>
        <v>0</v>
      </c>
      <c r="AG207" s="322">
        <f t="shared" si="56"/>
        <v>0</v>
      </c>
      <c r="AH207" s="322">
        <f t="shared" si="56"/>
        <v>0</v>
      </c>
      <c r="AI207" s="322">
        <f t="shared" si="56"/>
        <v>0</v>
      </c>
      <c r="AJ207" s="322">
        <f t="shared" si="56"/>
        <v>0</v>
      </c>
      <c r="AK207" s="322">
        <f t="shared" si="56"/>
        <v>0</v>
      </c>
      <c r="AL207" s="322">
        <f t="shared" si="56"/>
        <v>0</v>
      </c>
      <c r="AM207" s="322">
        <f t="shared" si="56"/>
        <v>0</v>
      </c>
      <c r="AN207" s="322">
        <f t="shared" si="56"/>
        <v>0</v>
      </c>
      <c r="AO207" s="322">
        <f t="shared" si="56"/>
        <v>0</v>
      </c>
      <c r="AP207" s="322">
        <f t="shared" si="56"/>
        <v>0</v>
      </c>
      <c r="AQ207" s="304"/>
      <c r="AR207" s="304"/>
    </row>
    <row r="208" spans="4:44" x14ac:dyDescent="0.25">
      <c r="F208" t="s">
        <v>233</v>
      </c>
      <c r="G208" t="s">
        <v>327</v>
      </c>
      <c r="H208" s="304"/>
      <c r="I208" s="304"/>
      <c r="J208" s="322">
        <f t="shared" ref="J208:AP208" si="57">J103 * (1 - J$118)</f>
        <v>0</v>
      </c>
      <c r="K208" s="322">
        <f t="shared" si="57"/>
        <v>0</v>
      </c>
      <c r="L208" s="322">
        <f t="shared" si="57"/>
        <v>0</v>
      </c>
      <c r="M208" s="322">
        <f t="shared" si="57"/>
        <v>0</v>
      </c>
      <c r="N208" s="322">
        <f t="shared" si="57"/>
        <v>0</v>
      </c>
      <c r="O208" s="322">
        <f t="shared" si="57"/>
        <v>0</v>
      </c>
      <c r="P208" s="322">
        <f t="shared" si="57"/>
        <v>0</v>
      </c>
      <c r="Q208" s="322">
        <f t="shared" si="57"/>
        <v>0</v>
      </c>
      <c r="R208" s="322">
        <f t="shared" si="57"/>
        <v>0</v>
      </c>
      <c r="S208" s="322">
        <f t="shared" si="57"/>
        <v>0.16522646063411872</v>
      </c>
      <c r="T208" s="322">
        <f t="shared" si="57"/>
        <v>0.18060820041057743</v>
      </c>
      <c r="U208" s="322">
        <f t="shared" si="57"/>
        <v>0.11475331561334784</v>
      </c>
      <c r="V208" s="322">
        <f t="shared" si="57"/>
        <v>0</v>
      </c>
      <c r="W208" s="322">
        <f t="shared" si="57"/>
        <v>0</v>
      </c>
      <c r="X208" s="322">
        <f t="shared" si="57"/>
        <v>0</v>
      </c>
      <c r="Y208" s="322">
        <f t="shared" si="57"/>
        <v>0</v>
      </c>
      <c r="Z208" s="322">
        <f t="shared" si="57"/>
        <v>0</v>
      </c>
      <c r="AA208" s="322">
        <f t="shared" si="57"/>
        <v>0</v>
      </c>
      <c r="AB208" s="322">
        <f t="shared" si="57"/>
        <v>0.11573983021423201</v>
      </c>
      <c r="AC208" s="322">
        <f t="shared" si="57"/>
        <v>0</v>
      </c>
      <c r="AD208" s="322">
        <f t="shared" si="57"/>
        <v>0</v>
      </c>
      <c r="AE208" s="322">
        <f t="shared" si="57"/>
        <v>0</v>
      </c>
      <c r="AF208" s="322">
        <f t="shared" si="57"/>
        <v>0</v>
      </c>
      <c r="AG208" s="322">
        <f t="shared" si="57"/>
        <v>-0.12053278473771034</v>
      </c>
      <c r="AH208" s="322">
        <f t="shared" si="57"/>
        <v>-0.12053278473771034</v>
      </c>
      <c r="AI208" s="322">
        <f t="shared" si="57"/>
        <v>0</v>
      </c>
      <c r="AJ208" s="322">
        <f t="shared" si="57"/>
        <v>0</v>
      </c>
      <c r="AK208" s="322">
        <f t="shared" si="57"/>
        <v>-0.11688362703464203</v>
      </c>
      <c r="AL208" s="322">
        <f t="shared" si="57"/>
        <v>-0.11688362703464203</v>
      </c>
      <c r="AM208" s="322">
        <f t="shared" si="57"/>
        <v>0</v>
      </c>
      <c r="AN208" s="322">
        <f t="shared" si="57"/>
        <v>0</v>
      </c>
      <c r="AO208" s="322">
        <f t="shared" si="57"/>
        <v>0</v>
      </c>
      <c r="AP208" s="322">
        <f t="shared" si="57"/>
        <v>0</v>
      </c>
      <c r="AQ208" s="304"/>
      <c r="AR208" s="304"/>
    </row>
    <row r="209" spans="2:44" x14ac:dyDescent="0.25">
      <c r="F209" t="s">
        <v>234</v>
      </c>
      <c r="G209" t="s">
        <v>327</v>
      </c>
      <c r="H209" s="304"/>
      <c r="I209" s="304"/>
      <c r="J209" s="322">
        <f t="shared" ref="J209:AP209" si="58">J104 * (1 - J$119)</f>
        <v>0</v>
      </c>
      <c r="K209" s="322">
        <f t="shared" si="58"/>
        <v>0</v>
      </c>
      <c r="L209" s="322">
        <f t="shared" si="58"/>
        <v>0</v>
      </c>
      <c r="M209" s="322">
        <f t="shared" si="58"/>
        <v>0</v>
      </c>
      <c r="N209" s="322">
        <f t="shared" si="58"/>
        <v>0</v>
      </c>
      <c r="O209" s="322">
        <f t="shared" si="58"/>
        <v>0</v>
      </c>
      <c r="P209" s="322">
        <f t="shared" si="58"/>
        <v>0</v>
      </c>
      <c r="Q209" s="322">
        <f t="shared" si="58"/>
        <v>0</v>
      </c>
      <c r="R209" s="322">
        <f t="shared" si="58"/>
        <v>0</v>
      </c>
      <c r="S209" s="322">
        <f t="shared" si="58"/>
        <v>4.0009846226427268E-2</v>
      </c>
      <c r="T209" s="322">
        <f t="shared" si="58"/>
        <v>4.3734558604754094E-2</v>
      </c>
      <c r="U209" s="322">
        <f t="shared" si="58"/>
        <v>0</v>
      </c>
      <c r="V209" s="322">
        <f t="shared" si="58"/>
        <v>0</v>
      </c>
      <c r="W209" s="322">
        <f t="shared" si="58"/>
        <v>0</v>
      </c>
      <c r="X209" s="322">
        <f t="shared" si="58"/>
        <v>0</v>
      </c>
      <c r="Y209" s="322">
        <f t="shared" si="58"/>
        <v>0</v>
      </c>
      <c r="Z209" s="322">
        <f t="shared" si="58"/>
        <v>0</v>
      </c>
      <c r="AA209" s="322">
        <f t="shared" si="58"/>
        <v>0</v>
      </c>
      <c r="AB209" s="322">
        <f t="shared" si="58"/>
        <v>2.8026581162436351E-2</v>
      </c>
      <c r="AC209" s="322">
        <f t="shared" si="58"/>
        <v>0</v>
      </c>
      <c r="AD209" s="322">
        <f t="shared" si="58"/>
        <v>0</v>
      </c>
      <c r="AE209" s="322">
        <f t="shared" si="58"/>
        <v>0</v>
      </c>
      <c r="AF209" s="322">
        <f t="shared" si="58"/>
        <v>0</v>
      </c>
      <c r="AG209" s="322">
        <f t="shared" si="58"/>
        <v>-2.9187202607201645E-2</v>
      </c>
      <c r="AH209" s="322">
        <f t="shared" si="58"/>
        <v>-2.9187202607201645E-2</v>
      </c>
      <c r="AI209" s="322">
        <f t="shared" si="58"/>
        <v>0</v>
      </c>
      <c r="AJ209" s="322">
        <f t="shared" si="58"/>
        <v>0</v>
      </c>
      <c r="AK209" s="322">
        <f t="shared" si="58"/>
        <v>0</v>
      </c>
      <c r="AL209" s="322">
        <f t="shared" si="58"/>
        <v>0</v>
      </c>
      <c r="AM209" s="322">
        <f t="shared" si="58"/>
        <v>0</v>
      </c>
      <c r="AN209" s="322">
        <f t="shared" si="58"/>
        <v>0</v>
      </c>
      <c r="AO209" s="322">
        <f t="shared" si="58"/>
        <v>0</v>
      </c>
      <c r="AP209" s="322">
        <f t="shared" si="58"/>
        <v>0</v>
      </c>
      <c r="AQ209" s="304"/>
      <c r="AR209" s="304"/>
    </row>
    <row r="210" spans="2:44" x14ac:dyDescent="0.25">
      <c r="F210" t="s">
        <v>235</v>
      </c>
      <c r="G210" t="s">
        <v>327</v>
      </c>
      <c r="H210" s="304"/>
      <c r="I210" s="304"/>
      <c r="J210" s="322">
        <f t="shared" ref="J210:AP210" si="59">J105 * (1 - J$120)</f>
        <v>0</v>
      </c>
      <c r="K210" s="322">
        <f t="shared" si="59"/>
        <v>0</v>
      </c>
      <c r="L210" s="322">
        <f t="shared" si="59"/>
        <v>0</v>
      </c>
      <c r="M210" s="322">
        <f t="shared" si="59"/>
        <v>0</v>
      </c>
      <c r="N210" s="322">
        <f t="shared" si="59"/>
        <v>0</v>
      </c>
      <c r="O210" s="322">
        <f t="shared" si="59"/>
        <v>0</v>
      </c>
      <c r="P210" s="322">
        <f t="shared" si="59"/>
        <v>0</v>
      </c>
      <c r="Q210" s="322">
        <f t="shared" si="59"/>
        <v>0</v>
      </c>
      <c r="R210" s="322">
        <f t="shared" si="59"/>
        <v>0</v>
      </c>
      <c r="S210" s="322">
        <f t="shared" si="59"/>
        <v>0</v>
      </c>
      <c r="T210" s="322">
        <f t="shared" si="59"/>
        <v>0</v>
      </c>
      <c r="U210" s="322">
        <f t="shared" si="59"/>
        <v>0</v>
      </c>
      <c r="V210" s="322">
        <f t="shared" si="59"/>
        <v>0</v>
      </c>
      <c r="W210" s="322">
        <f t="shared" si="59"/>
        <v>0</v>
      </c>
      <c r="X210" s="322">
        <f t="shared" si="59"/>
        <v>0</v>
      </c>
      <c r="Y210" s="322">
        <f t="shared" si="59"/>
        <v>0</v>
      </c>
      <c r="Z210" s="322">
        <f t="shared" si="59"/>
        <v>0</v>
      </c>
      <c r="AA210" s="322">
        <f t="shared" si="59"/>
        <v>0</v>
      </c>
      <c r="AB210" s="322">
        <f t="shared" si="59"/>
        <v>6.6530360301670019E-2</v>
      </c>
      <c r="AC210" s="322">
        <f t="shared" si="59"/>
        <v>0</v>
      </c>
      <c r="AD210" s="322">
        <f t="shared" si="59"/>
        <v>0</v>
      </c>
      <c r="AE210" s="322">
        <f t="shared" si="59"/>
        <v>0</v>
      </c>
      <c r="AF210" s="322">
        <f t="shared" si="59"/>
        <v>0</v>
      </c>
      <c r="AG210" s="322">
        <f t="shared" si="59"/>
        <v>0</v>
      </c>
      <c r="AH210" s="322">
        <f t="shared" si="59"/>
        <v>0</v>
      </c>
      <c r="AI210" s="322">
        <f t="shared" si="59"/>
        <v>0</v>
      </c>
      <c r="AJ210" s="322">
        <f t="shared" si="59"/>
        <v>0</v>
      </c>
      <c r="AK210" s="322">
        <f t="shared" si="59"/>
        <v>0</v>
      </c>
      <c r="AL210" s="322">
        <f t="shared" si="59"/>
        <v>0</v>
      </c>
      <c r="AM210" s="322">
        <f t="shared" si="59"/>
        <v>0</v>
      </c>
      <c r="AN210" s="322">
        <f t="shared" si="59"/>
        <v>0</v>
      </c>
      <c r="AO210" s="322">
        <f t="shared" si="59"/>
        <v>0</v>
      </c>
      <c r="AP210" s="322">
        <f t="shared" si="59"/>
        <v>0</v>
      </c>
      <c r="AQ210" s="304"/>
      <c r="AR210" s="304"/>
    </row>
    <row r="211" spans="2:44" x14ac:dyDescent="0.25">
      <c r="D211"/>
      <c r="F211" s="23" t="s">
        <v>436</v>
      </c>
      <c r="G211" s="23" t="s">
        <v>327</v>
      </c>
      <c r="H211" s="302"/>
      <c r="I211" s="302" t="s">
        <v>190</v>
      </c>
      <c r="J211" s="320"/>
      <c r="K211" s="320"/>
      <c r="L211" s="320"/>
      <c r="M211" s="320"/>
      <c r="N211" s="320"/>
      <c r="O211" s="320"/>
      <c r="P211" s="320"/>
      <c r="Q211" s="320"/>
      <c r="R211" s="320"/>
      <c r="S211" s="320"/>
      <c r="T211" s="320"/>
      <c r="U211" s="320"/>
      <c r="V211" s="320"/>
      <c r="W211" s="320"/>
      <c r="X211" s="320"/>
      <c r="Y211" s="320"/>
      <c r="Z211" s="320"/>
      <c r="AA211" s="320"/>
      <c r="AB211" s="321">
        <f>AB106</f>
        <v>1.8575743700341227</v>
      </c>
      <c r="AC211" s="320"/>
      <c r="AD211" s="320"/>
      <c r="AE211" s="320"/>
      <c r="AF211" s="320"/>
      <c r="AG211" s="320"/>
      <c r="AH211" s="320"/>
      <c r="AI211" s="320"/>
      <c r="AJ211" s="320"/>
      <c r="AK211" s="320"/>
      <c r="AL211" s="320"/>
      <c r="AM211" s="320"/>
      <c r="AN211" s="320"/>
      <c r="AO211" s="320"/>
      <c r="AP211" s="320"/>
      <c r="AQ211" s="304"/>
      <c r="AR211" s="304" t="s">
        <v>779</v>
      </c>
    </row>
    <row r="212" spans="2:44" x14ac:dyDescent="0.25">
      <c r="D212"/>
      <c r="F212" s="37" t="s">
        <v>437</v>
      </c>
      <c r="G212" s="37" t="s">
        <v>327</v>
      </c>
      <c r="H212" s="308"/>
      <c r="I212" s="308"/>
      <c r="J212" s="309"/>
      <c r="K212" s="309"/>
      <c r="L212" s="309"/>
      <c r="M212" s="309"/>
      <c r="N212" s="309"/>
      <c r="O212" s="309"/>
      <c r="P212" s="309"/>
      <c r="Q212" s="309"/>
      <c r="R212" s="309"/>
      <c r="S212" s="309"/>
      <c r="T212" s="309"/>
      <c r="U212" s="309"/>
      <c r="V212" s="309"/>
      <c r="W212" s="309"/>
      <c r="X212" s="309"/>
      <c r="Y212" s="309"/>
      <c r="Z212" s="309"/>
      <c r="AA212" s="309"/>
      <c r="AB212" s="309"/>
      <c r="AC212" s="309"/>
      <c r="AD212" s="309"/>
      <c r="AE212" s="309"/>
      <c r="AF212" s="309"/>
      <c r="AG212" s="309"/>
      <c r="AH212" s="309"/>
      <c r="AI212" s="309"/>
      <c r="AJ212" s="309"/>
      <c r="AK212" s="309"/>
      <c r="AL212" s="309"/>
      <c r="AM212" s="309"/>
      <c r="AN212" s="309"/>
      <c r="AO212" s="309"/>
      <c r="AP212" s="309"/>
      <c r="AQ212" s="304"/>
      <c r="AR212" s="304"/>
    </row>
    <row r="213" spans="2:44" x14ac:dyDescent="0.25">
      <c r="J213" s="92"/>
      <c r="K213" s="92"/>
      <c r="L213" s="92"/>
      <c r="M213" s="92"/>
      <c r="N213" s="92"/>
      <c r="O213" s="92"/>
      <c r="P213" s="92"/>
      <c r="Q213" s="92"/>
      <c r="R213" s="92"/>
      <c r="S213" s="92"/>
      <c r="T213" s="92"/>
      <c r="U213" s="92"/>
      <c r="V213" s="92"/>
      <c r="W213" s="92"/>
      <c r="X213" s="92"/>
      <c r="Y213" s="92"/>
      <c r="Z213" s="92"/>
      <c r="AA213" s="92"/>
      <c r="AB213" s="92"/>
      <c r="AC213" s="92"/>
      <c r="AD213" s="92"/>
      <c r="AE213" s="92"/>
      <c r="AF213" s="92"/>
      <c r="AG213" s="92"/>
      <c r="AH213" s="92"/>
      <c r="AI213" s="92"/>
      <c r="AJ213" s="92"/>
      <c r="AK213" s="92"/>
      <c r="AL213" s="92"/>
      <c r="AM213" s="92"/>
      <c r="AN213" s="92"/>
      <c r="AO213" s="92"/>
      <c r="AP213" s="92"/>
    </row>
    <row r="214" spans="2:44" x14ac:dyDescent="0.25">
      <c r="C214" s="31" t="str">
        <f ca="1">INDEX('Version control'!$H$34:$H$56,MATCH($A$1,'Version control'!$F$34:$F$56,0),1)&amp;"-H: Unit rates, post application of standing charges"</f>
        <v>Section 111-H: Unit rates, post application of standing charges</v>
      </c>
      <c r="D214" s="31"/>
      <c r="E214" s="31"/>
      <c r="F214" s="31"/>
      <c r="G214" s="31"/>
      <c r="H214" s="31"/>
      <c r="I214" s="31"/>
      <c r="J214" s="93"/>
      <c r="K214" s="93"/>
      <c r="L214" s="93"/>
      <c r="M214" s="93"/>
      <c r="N214" s="93"/>
      <c r="O214" s="93"/>
      <c r="P214" s="93"/>
      <c r="Q214" s="93"/>
      <c r="R214" s="93"/>
      <c r="S214" s="93"/>
      <c r="T214" s="93"/>
      <c r="U214" s="93"/>
      <c r="V214" s="93"/>
      <c r="W214" s="93"/>
      <c r="X214" s="93"/>
      <c r="Y214" s="93"/>
      <c r="Z214" s="93"/>
      <c r="AA214" s="93"/>
      <c r="AB214" s="93"/>
      <c r="AC214" s="93"/>
      <c r="AD214" s="93"/>
      <c r="AE214" s="93"/>
      <c r="AF214" s="93"/>
      <c r="AG214" s="93"/>
      <c r="AH214" s="93"/>
      <c r="AI214" s="93"/>
      <c r="AJ214" s="93"/>
      <c r="AK214" s="93"/>
      <c r="AL214" s="93"/>
      <c r="AM214" s="93"/>
      <c r="AN214" s="93"/>
      <c r="AO214" s="93"/>
      <c r="AP214" s="93"/>
      <c r="AQ214" s="31"/>
      <c r="AR214" s="31"/>
    </row>
    <row r="215" spans="2:44" x14ac:dyDescent="0.25">
      <c r="J215" s="92"/>
      <c r="K215" s="92"/>
      <c r="L215" s="92"/>
      <c r="M215" s="92"/>
      <c r="N215" s="92"/>
      <c r="O215" s="92"/>
      <c r="P215" s="92"/>
      <c r="Q215" s="92"/>
      <c r="R215" s="92"/>
      <c r="S215" s="92"/>
      <c r="T215" s="92"/>
      <c r="U215" s="92"/>
      <c r="V215" s="92"/>
      <c r="W215" s="92"/>
      <c r="X215" s="92"/>
      <c r="Y215" s="92"/>
      <c r="Z215" s="92"/>
      <c r="AA215" s="92"/>
      <c r="AB215" s="92"/>
      <c r="AC215" s="92"/>
      <c r="AD215" s="92"/>
      <c r="AE215" s="92"/>
      <c r="AF215" s="92"/>
      <c r="AG215" s="92"/>
      <c r="AH215" s="92"/>
      <c r="AI215" s="92"/>
      <c r="AJ215" s="92"/>
      <c r="AK215" s="92"/>
      <c r="AL215" s="92"/>
      <c r="AM215" s="92"/>
      <c r="AN215" s="92"/>
      <c r="AO215" s="92"/>
      <c r="AP215" s="92"/>
      <c r="AR215" s="3"/>
    </row>
    <row r="216" spans="2:44" x14ac:dyDescent="0.25">
      <c r="D216"/>
      <c r="E216" s="32" t="s">
        <v>782</v>
      </c>
      <c r="F216" s="2"/>
      <c r="J216" s="92"/>
      <c r="K216" s="92"/>
      <c r="L216" s="92"/>
      <c r="M216" s="92"/>
      <c r="N216" s="92"/>
      <c r="O216" s="92"/>
      <c r="P216" s="92"/>
      <c r="Q216" s="92"/>
      <c r="R216" s="92"/>
      <c r="S216" s="92"/>
      <c r="T216" s="92"/>
      <c r="U216" s="92"/>
      <c r="V216" s="92"/>
      <c r="W216" s="92"/>
      <c r="X216" s="92"/>
      <c r="Y216" s="92"/>
      <c r="Z216" s="92"/>
      <c r="AA216" s="92"/>
      <c r="AB216" s="92"/>
      <c r="AC216" s="92"/>
      <c r="AD216" s="92"/>
      <c r="AE216" s="92"/>
      <c r="AF216" s="92"/>
      <c r="AG216" s="92"/>
      <c r="AH216" s="92"/>
      <c r="AI216" s="92"/>
      <c r="AJ216" s="92"/>
      <c r="AK216" s="92"/>
      <c r="AL216" s="92"/>
      <c r="AM216" s="92"/>
      <c r="AN216" s="92"/>
      <c r="AO216" s="92"/>
      <c r="AP216" s="92"/>
      <c r="AR216" s="3"/>
    </row>
    <row r="217" spans="2:44" x14ac:dyDescent="0.25">
      <c r="D217"/>
      <c r="F217" s="23" t="s">
        <v>783</v>
      </c>
      <c r="G217" s="23" t="s">
        <v>327</v>
      </c>
      <c r="H217" s="302"/>
      <c r="I217" s="302"/>
      <c r="J217" s="311">
        <f t="shared" ref="J217:AP217" si="60">SUM(J127:J138,J141:J152)</f>
        <v>2.1812548702806467</v>
      </c>
      <c r="K217" s="311">
        <f t="shared" si="60"/>
        <v>2.52657420114173</v>
      </c>
      <c r="L217" s="311">
        <f t="shared" si="60"/>
        <v>0.85754957267127052</v>
      </c>
      <c r="M217" s="311">
        <f t="shared" si="60"/>
        <v>2.2398015486733498</v>
      </c>
      <c r="N217" s="311">
        <f t="shared" si="60"/>
        <v>2.4357122429871434</v>
      </c>
      <c r="O217" s="311">
        <f t="shared" si="60"/>
        <v>0.77709672833130972</v>
      </c>
      <c r="P217" s="311">
        <f t="shared" si="60"/>
        <v>2.1130558314365118</v>
      </c>
      <c r="Q217" s="311">
        <f t="shared" si="60"/>
        <v>1.5437565865293077</v>
      </c>
      <c r="R217" s="311">
        <f t="shared" si="60"/>
        <v>0.78588931926926087</v>
      </c>
      <c r="S217" s="311">
        <f t="shared" si="60"/>
        <v>9.2860596177916985</v>
      </c>
      <c r="T217" s="311">
        <f t="shared" si="60"/>
        <v>10.147472710891583</v>
      </c>
      <c r="U217" s="311">
        <f t="shared" si="60"/>
        <v>6.8120939588588545</v>
      </c>
      <c r="V217" s="311">
        <f t="shared" si="60"/>
        <v>4.0192524728674064</v>
      </c>
      <c r="W217" s="311">
        <f t="shared" si="60"/>
        <v>2.5912776700784232</v>
      </c>
      <c r="X217" s="311">
        <f t="shared" si="60"/>
        <v>3.2735965599064762</v>
      </c>
      <c r="Y217" s="311">
        <f t="shared" si="60"/>
        <v>3.3598921033853024</v>
      </c>
      <c r="Z217" s="311">
        <f t="shared" si="60"/>
        <v>4.2265496602454524</v>
      </c>
      <c r="AA217" s="311">
        <f t="shared" si="60"/>
        <v>3.2764562377993087</v>
      </c>
      <c r="AB217" s="311">
        <f t="shared" si="60"/>
        <v>18.431963873020528</v>
      </c>
      <c r="AC217" s="311">
        <f t="shared" si="60"/>
        <v>-1.2841828889894253</v>
      </c>
      <c r="AD217" s="311">
        <f t="shared" si="60"/>
        <v>-1.1523156075321794</v>
      </c>
      <c r="AE217" s="311">
        <f t="shared" si="60"/>
        <v>-1.2841828889894253</v>
      </c>
      <c r="AF217" s="311">
        <f t="shared" si="60"/>
        <v>-1.2841828889894253</v>
      </c>
      <c r="AG217" s="311">
        <f t="shared" si="60"/>
        <v>-6.7715623244648135</v>
      </c>
      <c r="AH217" s="311">
        <f t="shared" si="60"/>
        <v>-6.7715623244648135</v>
      </c>
      <c r="AI217" s="311">
        <f t="shared" si="60"/>
        <v>-1.1523156075321794</v>
      </c>
      <c r="AJ217" s="311">
        <f t="shared" si="60"/>
        <v>-1.1523156075321794</v>
      </c>
      <c r="AK217" s="311">
        <f t="shared" si="60"/>
        <v>-6.0880001830517498</v>
      </c>
      <c r="AL217" s="311">
        <f t="shared" si="60"/>
        <v>-6.0880001830517498</v>
      </c>
      <c r="AM217" s="311">
        <f t="shared" si="60"/>
        <v>-0.61647152195632826</v>
      </c>
      <c r="AN217" s="311">
        <f t="shared" si="60"/>
        <v>-0.61647152195632826</v>
      </c>
      <c r="AO217" s="311">
        <f t="shared" si="60"/>
        <v>-3.3270697869504446</v>
      </c>
      <c r="AP217" s="311">
        <f t="shared" si="60"/>
        <v>-3.3270697869504446</v>
      </c>
      <c r="AQ217" s="304"/>
      <c r="AR217" s="304"/>
    </row>
    <row r="218" spans="2:44" x14ac:dyDescent="0.25">
      <c r="D218"/>
      <c r="F218" t="s">
        <v>784</v>
      </c>
      <c r="G218" t="s">
        <v>327</v>
      </c>
      <c r="H218" s="304"/>
      <c r="I218" s="304"/>
      <c r="J218" s="312">
        <f t="shared" ref="J218:AP218" si="61">SUM(J157:J168,J171:J182)</f>
        <v>0</v>
      </c>
      <c r="K218" s="312">
        <f t="shared" si="61"/>
        <v>0.87428917856668065</v>
      </c>
      <c r="L218" s="312">
        <f t="shared" si="61"/>
        <v>0</v>
      </c>
      <c r="M218" s="312">
        <f t="shared" si="61"/>
        <v>0</v>
      </c>
      <c r="N218" s="312">
        <f t="shared" si="61"/>
        <v>0.74368804964490787</v>
      </c>
      <c r="O218" s="312">
        <f t="shared" si="61"/>
        <v>0</v>
      </c>
      <c r="P218" s="312">
        <f t="shared" si="61"/>
        <v>0.70007732172153636</v>
      </c>
      <c r="Q218" s="312">
        <f t="shared" si="61"/>
        <v>0.51034324501475914</v>
      </c>
      <c r="R218" s="312">
        <f t="shared" si="61"/>
        <v>0.24508239849318561</v>
      </c>
      <c r="S218" s="312">
        <f t="shared" si="61"/>
        <v>1.4297196397962209</v>
      </c>
      <c r="T218" s="312">
        <f t="shared" si="61"/>
        <v>1.5624117090109557</v>
      </c>
      <c r="U218" s="312">
        <f t="shared" si="61"/>
        <v>1.0402561060815092</v>
      </c>
      <c r="V218" s="312">
        <f t="shared" si="61"/>
        <v>0.59300883388133552</v>
      </c>
      <c r="W218" s="312">
        <f t="shared" si="61"/>
        <v>0.36704350228485144</v>
      </c>
      <c r="X218" s="312">
        <f t="shared" si="61"/>
        <v>0</v>
      </c>
      <c r="Y218" s="312">
        <f t="shared" si="61"/>
        <v>0</v>
      </c>
      <c r="Z218" s="312">
        <f t="shared" si="61"/>
        <v>0</v>
      </c>
      <c r="AA218" s="312">
        <f t="shared" si="61"/>
        <v>0</v>
      </c>
      <c r="AB218" s="312">
        <f t="shared" si="61"/>
        <v>3.2369694985311281</v>
      </c>
      <c r="AC218" s="312">
        <f t="shared" si="61"/>
        <v>0</v>
      </c>
      <c r="AD218" s="312">
        <f t="shared" si="61"/>
        <v>0</v>
      </c>
      <c r="AE218" s="312">
        <f t="shared" si="61"/>
        <v>0</v>
      </c>
      <c r="AF218" s="312">
        <f t="shared" si="61"/>
        <v>0</v>
      </c>
      <c r="AG218" s="312">
        <f t="shared" si="61"/>
        <v>-1.0426332107186289</v>
      </c>
      <c r="AH218" s="312">
        <f t="shared" si="61"/>
        <v>-1.0426332107186289</v>
      </c>
      <c r="AI218" s="312">
        <f t="shared" si="61"/>
        <v>0</v>
      </c>
      <c r="AJ218" s="312">
        <f t="shared" si="61"/>
        <v>0</v>
      </c>
      <c r="AK218" s="312">
        <f t="shared" si="61"/>
        <v>-0.93407500674127786</v>
      </c>
      <c r="AL218" s="312">
        <f t="shared" si="61"/>
        <v>-0.93407500674127786</v>
      </c>
      <c r="AM218" s="312">
        <f t="shared" si="61"/>
        <v>0</v>
      </c>
      <c r="AN218" s="312">
        <f t="shared" si="61"/>
        <v>0</v>
      </c>
      <c r="AO218" s="312">
        <f t="shared" si="61"/>
        <v>-0.49082486830513528</v>
      </c>
      <c r="AP218" s="312">
        <f t="shared" si="61"/>
        <v>-0.49082486830513528</v>
      </c>
      <c r="AQ218" s="304"/>
      <c r="AR218" s="304"/>
    </row>
    <row r="219" spans="2:44" x14ac:dyDescent="0.25">
      <c r="D219"/>
      <c r="F219" s="37" t="s">
        <v>785</v>
      </c>
      <c r="G219" s="37" t="s">
        <v>327</v>
      </c>
      <c r="H219" s="308"/>
      <c r="I219" s="308"/>
      <c r="J219" s="313">
        <f t="shared" ref="J219:AP219" si="62">SUM(J187:J198,J201:J212)</f>
        <v>0</v>
      </c>
      <c r="K219" s="313">
        <f t="shared" si="62"/>
        <v>0</v>
      </c>
      <c r="L219" s="313">
        <f t="shared" si="62"/>
        <v>0</v>
      </c>
      <c r="M219" s="313">
        <f t="shared" si="62"/>
        <v>0</v>
      </c>
      <c r="N219" s="313">
        <f t="shared" si="62"/>
        <v>0</v>
      </c>
      <c r="O219" s="313">
        <f t="shared" si="62"/>
        <v>0</v>
      </c>
      <c r="P219" s="313">
        <f t="shared" si="62"/>
        <v>0</v>
      </c>
      <c r="Q219" s="313">
        <f t="shared" si="62"/>
        <v>0</v>
      </c>
      <c r="R219" s="313">
        <f t="shared" si="62"/>
        <v>0</v>
      </c>
      <c r="S219" s="313">
        <f t="shared" si="62"/>
        <v>0.66940329493843409</v>
      </c>
      <c r="T219" s="313">
        <f t="shared" si="62"/>
        <v>0.73153374793817616</v>
      </c>
      <c r="U219" s="313">
        <f t="shared" si="62"/>
        <v>0.48663101438528217</v>
      </c>
      <c r="V219" s="313">
        <f t="shared" si="62"/>
        <v>0.2763746609613566</v>
      </c>
      <c r="W219" s="313">
        <f t="shared" si="62"/>
        <v>0.17027445482226455</v>
      </c>
      <c r="X219" s="313">
        <f t="shared" si="62"/>
        <v>0</v>
      </c>
      <c r="Y219" s="313">
        <f t="shared" si="62"/>
        <v>0</v>
      </c>
      <c r="Z219" s="313">
        <f t="shared" si="62"/>
        <v>0</v>
      </c>
      <c r="AA219" s="313">
        <f t="shared" si="62"/>
        <v>0</v>
      </c>
      <c r="AB219" s="313">
        <f t="shared" si="62"/>
        <v>2.3957065733317577</v>
      </c>
      <c r="AC219" s="313">
        <f t="shared" si="62"/>
        <v>0</v>
      </c>
      <c r="AD219" s="313">
        <f t="shared" si="62"/>
        <v>0</v>
      </c>
      <c r="AE219" s="313">
        <f t="shared" si="62"/>
        <v>0</v>
      </c>
      <c r="AF219" s="313">
        <f t="shared" si="62"/>
        <v>0</v>
      </c>
      <c r="AG219" s="313">
        <f t="shared" si="62"/>
        <v>-0.48816987089385483</v>
      </c>
      <c r="AH219" s="313">
        <f t="shared" si="62"/>
        <v>-0.48816987089385483</v>
      </c>
      <c r="AI219" s="313">
        <f t="shared" si="62"/>
        <v>0</v>
      </c>
      <c r="AJ219" s="313">
        <f t="shared" si="62"/>
        <v>0</v>
      </c>
      <c r="AK219" s="313">
        <f t="shared" si="62"/>
        <v>-0.43717848120950387</v>
      </c>
      <c r="AL219" s="313">
        <f t="shared" si="62"/>
        <v>-0.43717848120950387</v>
      </c>
      <c r="AM219" s="313">
        <f t="shared" si="62"/>
        <v>0</v>
      </c>
      <c r="AN219" s="313">
        <f t="shared" si="62"/>
        <v>0</v>
      </c>
      <c r="AO219" s="313">
        <f t="shared" si="62"/>
        <v>-0.22874833921883997</v>
      </c>
      <c r="AP219" s="313">
        <f t="shared" si="62"/>
        <v>-0.22874833921883997</v>
      </c>
      <c r="AQ219" s="304"/>
      <c r="AR219" s="304"/>
    </row>
    <row r="221" spans="2:44" x14ac:dyDescent="0.25">
      <c r="B221" s="30" t="s">
        <v>280</v>
      </c>
      <c r="C221" s="30"/>
      <c r="D221" s="30"/>
      <c r="E221" s="30"/>
      <c r="F221" s="30"/>
      <c r="G221" s="30"/>
      <c r="H221" s="30"/>
      <c r="I221" s="30"/>
      <c r="J221" s="30"/>
      <c r="K221" s="30"/>
      <c r="L221" s="30"/>
      <c r="M221" s="30"/>
      <c r="N221" s="30"/>
      <c r="O221" s="30"/>
      <c r="P221" s="30"/>
      <c r="Q221" s="30"/>
      <c r="R221" s="30"/>
      <c r="S221" s="30"/>
      <c r="T221" s="30"/>
      <c r="U221" s="30"/>
      <c r="V221" s="30"/>
      <c r="W221" s="30"/>
      <c r="X221" s="30"/>
      <c r="Y221" s="30"/>
      <c r="Z221" s="30"/>
      <c r="AA221" s="30"/>
      <c r="AB221" s="30"/>
      <c r="AC221" s="30"/>
      <c r="AD221" s="30"/>
      <c r="AE221" s="30"/>
      <c r="AF221" s="30"/>
      <c r="AG221" s="30"/>
      <c r="AH221" s="30"/>
      <c r="AI221" s="30"/>
      <c r="AJ221" s="30"/>
      <c r="AK221" s="30"/>
      <c r="AL221" s="30"/>
      <c r="AM221" s="30"/>
      <c r="AN221" s="30"/>
      <c r="AO221" s="30"/>
      <c r="AP221" s="30"/>
      <c r="AQ221" s="30"/>
      <c r="AR221" s="30"/>
    </row>
    <row r="222" spans="2:44" x14ac:dyDescent="0.25">
      <c r="AR222" s="3"/>
    </row>
    <row r="223" spans="2:44" x14ac:dyDescent="0.25">
      <c r="E223" t="s">
        <v>281</v>
      </c>
      <c r="G223" s="6" t="s">
        <v>56</v>
      </c>
      <c r="H223" s="26">
        <f t="array" ref="H223">SUM(IF(ISERROR(H22:AP219), 1))</f>
        <v>0</v>
      </c>
      <c r="AR223" s="3"/>
    </row>
    <row r="225" spans="2:44" x14ac:dyDescent="0.25">
      <c r="B225" s="30" t="s">
        <v>107</v>
      </c>
      <c r="C225" s="30"/>
      <c r="D225" s="30"/>
      <c r="E225" s="30"/>
      <c r="F225" s="30"/>
      <c r="G225" s="30"/>
      <c r="H225" s="30"/>
      <c r="I225" s="30"/>
      <c r="J225" s="30"/>
      <c r="K225" s="30"/>
      <c r="L225" s="30"/>
      <c r="M225" s="30"/>
      <c r="N225" s="30"/>
      <c r="O225" s="30"/>
      <c r="P225" s="30"/>
      <c r="Q225" s="30"/>
      <c r="R225" s="30"/>
      <c r="S225" s="30"/>
      <c r="T225" s="30"/>
      <c r="U225" s="30"/>
      <c r="V225" s="30"/>
      <c r="W225" s="30"/>
      <c r="X225" s="30"/>
      <c r="Y225" s="30"/>
      <c r="Z225" s="30"/>
      <c r="AA225" s="30"/>
      <c r="AB225" s="30"/>
      <c r="AC225" s="30"/>
      <c r="AD225" s="30"/>
      <c r="AE225" s="30"/>
      <c r="AF225" s="30"/>
      <c r="AG225" s="30"/>
      <c r="AH225" s="30"/>
      <c r="AI225" s="30"/>
      <c r="AJ225" s="30"/>
      <c r="AK225" s="30"/>
      <c r="AL225" s="30"/>
      <c r="AM225" s="30"/>
      <c r="AN225" s="30"/>
      <c r="AO225" s="30"/>
      <c r="AP225" s="30"/>
      <c r="AQ225" s="30"/>
      <c r="AR225" s="30"/>
    </row>
    <row r="226" spans="2:44" x14ac:dyDescent="0.25">
      <c r="AR226" s="3"/>
    </row>
    <row r="228" spans="2:44" x14ac:dyDescent="0.25">
      <c r="AR228" s="3"/>
    </row>
    <row r="229" spans="2:44" x14ac:dyDescent="0.25">
      <c r="J229" s="63"/>
      <c r="K229" s="63"/>
      <c r="L229" s="63"/>
      <c r="M229" s="63"/>
      <c r="N229" s="63"/>
      <c r="O229" s="63"/>
      <c r="P229" s="63"/>
      <c r="Q229" s="63"/>
      <c r="R229" s="63"/>
      <c r="S229" s="63"/>
    </row>
    <row r="230" spans="2:44" x14ac:dyDescent="0.25">
      <c r="J230" s="63"/>
      <c r="K230" s="63"/>
      <c r="L230" s="63"/>
      <c r="M230" s="63"/>
      <c r="N230" s="63"/>
      <c r="O230" s="63"/>
      <c r="P230" s="63"/>
      <c r="Q230" s="63"/>
      <c r="R230" s="63"/>
      <c r="S230" s="63"/>
    </row>
    <row r="231" spans="2:44" x14ac:dyDescent="0.25">
      <c r="J231" s="63"/>
      <c r="K231" s="63"/>
      <c r="L231" s="63"/>
      <c r="M231" s="63"/>
      <c r="N231" s="63"/>
      <c r="O231" s="63"/>
      <c r="P231" s="63"/>
      <c r="Q231" s="63"/>
      <c r="R231" s="63"/>
      <c r="S231" s="63"/>
    </row>
    <row r="232" spans="2:44" x14ac:dyDescent="0.25">
      <c r="J232" s="63"/>
      <c r="K232" s="63"/>
      <c r="L232" s="63"/>
      <c r="M232" s="63"/>
      <c r="N232" s="63"/>
      <c r="O232" s="63"/>
      <c r="P232" s="63"/>
      <c r="Q232" s="63"/>
      <c r="R232" s="63"/>
      <c r="S232" s="63"/>
    </row>
    <row r="233" spans="2:44" x14ac:dyDescent="0.25">
      <c r="J233" s="63"/>
      <c r="K233" s="63"/>
      <c r="L233" s="63"/>
      <c r="M233" s="63"/>
      <c r="N233" s="63"/>
      <c r="O233" s="63"/>
      <c r="P233" s="63"/>
      <c r="Q233" s="63"/>
      <c r="R233" s="63"/>
      <c r="S233" s="63"/>
    </row>
    <row r="234" spans="2:44" x14ac:dyDescent="0.25">
      <c r="J234" s="63"/>
      <c r="K234" s="63"/>
      <c r="L234" s="63"/>
      <c r="M234" s="63"/>
      <c r="N234" s="63"/>
      <c r="O234" s="63"/>
      <c r="P234" s="63"/>
      <c r="Q234" s="63"/>
      <c r="R234" s="63"/>
      <c r="S234" s="63"/>
    </row>
    <row r="235" spans="2:44" x14ac:dyDescent="0.25">
      <c r="J235" s="63"/>
      <c r="K235" s="63"/>
      <c r="L235" s="63"/>
      <c r="M235" s="63"/>
      <c r="N235" s="63"/>
      <c r="O235" s="63"/>
      <c r="P235" s="63"/>
      <c r="Q235" s="63"/>
      <c r="R235" s="63"/>
      <c r="S235" s="63"/>
    </row>
    <row r="236" spans="2:44" x14ac:dyDescent="0.25">
      <c r="J236" s="63"/>
      <c r="K236" s="63"/>
      <c r="L236" s="63"/>
      <c r="M236" s="63"/>
      <c r="N236" s="63"/>
      <c r="O236" s="63"/>
      <c r="P236" s="63"/>
      <c r="Q236" s="63"/>
      <c r="R236" s="63"/>
      <c r="S236" s="63"/>
    </row>
    <row r="237" spans="2:44" x14ac:dyDescent="0.25">
      <c r="J237" s="63"/>
      <c r="K237" s="63"/>
      <c r="L237" s="63"/>
      <c r="M237" s="63"/>
      <c r="N237" s="63"/>
      <c r="O237" s="63"/>
      <c r="P237" s="63"/>
      <c r="Q237" s="63"/>
      <c r="R237" s="63"/>
      <c r="S237" s="63"/>
    </row>
    <row r="238" spans="2:44" x14ac:dyDescent="0.25">
      <c r="J238" s="63"/>
      <c r="K238" s="63"/>
      <c r="L238" s="63"/>
      <c r="M238" s="63"/>
      <c r="N238" s="63"/>
      <c r="O238" s="63"/>
      <c r="P238" s="63"/>
      <c r="Q238" s="63"/>
      <c r="R238" s="63"/>
      <c r="S238" s="63"/>
    </row>
    <row r="239" spans="2:44" x14ac:dyDescent="0.25">
      <c r="J239" s="63"/>
      <c r="K239" s="63"/>
      <c r="L239" s="63"/>
      <c r="M239" s="63"/>
      <c r="N239" s="63"/>
      <c r="O239" s="63"/>
      <c r="P239" s="63"/>
      <c r="Q239" s="63"/>
      <c r="R239" s="63"/>
      <c r="S239" s="63"/>
    </row>
    <row r="240" spans="2:44" x14ac:dyDescent="0.25">
      <c r="J240" s="63"/>
      <c r="K240" s="63"/>
      <c r="L240" s="63"/>
      <c r="M240" s="63"/>
      <c r="N240" s="63"/>
      <c r="O240" s="63"/>
      <c r="P240" s="63"/>
      <c r="Q240" s="63"/>
      <c r="R240" s="63"/>
      <c r="S240" s="63"/>
    </row>
    <row r="241" spans="10:19" x14ac:dyDescent="0.25">
      <c r="J241" s="63"/>
      <c r="K241" s="63"/>
      <c r="L241" s="63"/>
      <c r="M241" s="63"/>
      <c r="N241" s="63"/>
      <c r="O241" s="63"/>
      <c r="P241" s="63"/>
      <c r="Q241" s="63"/>
      <c r="R241" s="63"/>
      <c r="S241" s="63"/>
    </row>
    <row r="242" spans="10:19" x14ac:dyDescent="0.25">
      <c r="J242" s="63"/>
      <c r="K242" s="63"/>
      <c r="L242" s="63"/>
      <c r="M242" s="63"/>
      <c r="N242" s="63"/>
      <c r="O242" s="63"/>
      <c r="P242" s="63"/>
      <c r="Q242" s="63"/>
      <c r="R242" s="63"/>
      <c r="S242" s="63"/>
    </row>
    <row r="243" spans="10:19" x14ac:dyDescent="0.25">
      <c r="J243" s="63"/>
      <c r="K243" s="63"/>
      <c r="L243" s="63"/>
      <c r="M243" s="63"/>
      <c r="N243" s="63"/>
      <c r="O243" s="63"/>
      <c r="P243" s="63"/>
      <c r="Q243" s="63"/>
      <c r="R243" s="63"/>
      <c r="S243" s="63"/>
    </row>
    <row r="244" spans="10:19" x14ac:dyDescent="0.25">
      <c r="J244" s="63"/>
      <c r="K244" s="63"/>
      <c r="L244" s="63"/>
      <c r="M244" s="63"/>
      <c r="N244" s="63"/>
      <c r="O244" s="63"/>
      <c r="P244" s="63"/>
      <c r="Q244" s="63"/>
      <c r="R244" s="63"/>
      <c r="S244" s="63"/>
    </row>
    <row r="245" spans="10:19" x14ac:dyDescent="0.25">
      <c r="J245" s="63"/>
      <c r="K245" s="63"/>
      <c r="L245" s="63"/>
      <c r="M245" s="63"/>
      <c r="N245" s="63"/>
      <c r="O245" s="63"/>
      <c r="P245" s="63"/>
      <c r="Q245" s="63"/>
      <c r="R245" s="63"/>
      <c r="S245" s="63"/>
    </row>
    <row r="246" spans="10:19" x14ac:dyDescent="0.25">
      <c r="J246" s="63"/>
      <c r="K246" s="63"/>
      <c r="L246" s="63"/>
      <c r="M246" s="63"/>
      <c r="N246" s="63"/>
      <c r="O246" s="63"/>
      <c r="P246" s="63"/>
      <c r="Q246" s="63"/>
      <c r="R246" s="63"/>
      <c r="S246" s="63"/>
    </row>
    <row r="247" spans="10:19" x14ac:dyDescent="0.25">
      <c r="J247" s="63"/>
      <c r="K247" s="63"/>
      <c r="L247" s="63"/>
      <c r="M247" s="63"/>
      <c r="N247" s="63"/>
      <c r="O247" s="63"/>
      <c r="P247" s="63"/>
      <c r="Q247" s="63"/>
      <c r="R247" s="63"/>
      <c r="S247" s="63"/>
    </row>
    <row r="248" spans="10:19" x14ac:dyDescent="0.25">
      <c r="J248" s="63"/>
      <c r="K248" s="63"/>
      <c r="L248" s="63"/>
      <c r="M248" s="63"/>
      <c r="N248" s="63"/>
      <c r="O248" s="63"/>
      <c r="P248" s="63"/>
      <c r="Q248" s="63"/>
      <c r="R248" s="63"/>
      <c r="S248" s="63"/>
    </row>
    <row r="249" spans="10:19" x14ac:dyDescent="0.25">
      <c r="J249" s="63"/>
      <c r="K249" s="63"/>
      <c r="L249" s="63"/>
      <c r="M249" s="63"/>
      <c r="N249" s="63"/>
      <c r="O249" s="63"/>
      <c r="P249" s="63"/>
      <c r="Q249" s="63"/>
      <c r="R249" s="63"/>
      <c r="S249" s="63"/>
    </row>
    <row r="250" spans="10:19" x14ac:dyDescent="0.25">
      <c r="J250" s="63"/>
      <c r="K250" s="63"/>
      <c r="L250" s="63"/>
      <c r="M250" s="63"/>
      <c r="N250" s="63"/>
      <c r="O250" s="63"/>
      <c r="P250" s="63"/>
      <c r="Q250" s="63"/>
      <c r="R250" s="63"/>
      <c r="S250" s="63"/>
    </row>
    <row r="251" spans="10:19" x14ac:dyDescent="0.25">
      <c r="J251" s="63"/>
      <c r="K251" s="63"/>
      <c r="L251" s="63"/>
      <c r="M251" s="63"/>
      <c r="N251" s="63"/>
      <c r="O251" s="63"/>
      <c r="P251" s="63"/>
      <c r="Q251" s="63"/>
      <c r="R251" s="63"/>
      <c r="S251" s="63"/>
    </row>
    <row r="252" spans="10:19" x14ac:dyDescent="0.25">
      <c r="J252" s="63"/>
      <c r="K252" s="63"/>
      <c r="L252" s="63"/>
      <c r="M252" s="63"/>
      <c r="N252" s="63"/>
      <c r="O252" s="63"/>
      <c r="P252" s="63"/>
      <c r="Q252" s="63"/>
      <c r="R252" s="63"/>
      <c r="S252" s="63"/>
    </row>
    <row r="253" spans="10:19" x14ac:dyDescent="0.25">
      <c r="J253" s="63"/>
      <c r="K253" s="63"/>
      <c r="L253" s="63"/>
      <c r="M253" s="63"/>
      <c r="N253" s="63"/>
      <c r="O253" s="63"/>
      <c r="P253" s="63"/>
      <c r="Q253" s="63"/>
      <c r="R253" s="63"/>
      <c r="S253" s="63"/>
    </row>
    <row r="254" spans="10:19" x14ac:dyDescent="0.25">
      <c r="J254" s="63"/>
      <c r="K254" s="63"/>
      <c r="L254" s="63"/>
      <c r="M254" s="63"/>
      <c r="N254" s="63"/>
      <c r="O254" s="63"/>
      <c r="P254" s="63"/>
      <c r="Q254" s="63"/>
      <c r="R254" s="63"/>
      <c r="S254" s="63"/>
    </row>
    <row r="255" spans="10:19" x14ac:dyDescent="0.25">
      <c r="J255" s="63"/>
      <c r="K255" s="63"/>
      <c r="L255" s="63"/>
      <c r="M255" s="63"/>
      <c r="N255" s="63"/>
      <c r="O255" s="63"/>
      <c r="P255" s="63"/>
      <c r="Q255" s="63"/>
      <c r="R255" s="63"/>
      <c r="S255" s="63"/>
    </row>
    <row r="256" spans="10:19" x14ac:dyDescent="0.25">
      <c r="J256" s="63"/>
      <c r="K256" s="63"/>
      <c r="L256" s="63"/>
      <c r="M256" s="63"/>
      <c r="N256" s="63"/>
      <c r="O256" s="63"/>
      <c r="P256" s="63"/>
      <c r="Q256" s="63"/>
      <c r="R256" s="63"/>
      <c r="S256" s="63"/>
    </row>
    <row r="257" spans="10:19" x14ac:dyDescent="0.25">
      <c r="J257" s="63"/>
      <c r="K257" s="63"/>
      <c r="L257" s="63"/>
      <c r="M257" s="63"/>
      <c r="N257" s="63"/>
      <c r="O257" s="63"/>
      <c r="P257" s="63"/>
      <c r="Q257" s="63"/>
      <c r="R257" s="63"/>
      <c r="S257" s="63"/>
    </row>
    <row r="258" spans="10:19" x14ac:dyDescent="0.25">
      <c r="J258" s="63"/>
      <c r="K258" s="63"/>
      <c r="L258" s="63"/>
      <c r="M258" s="63"/>
      <c r="N258" s="63"/>
      <c r="O258" s="63"/>
      <c r="P258" s="63"/>
      <c r="Q258" s="63"/>
      <c r="R258" s="63"/>
      <c r="S258" s="63"/>
    </row>
    <row r="259" spans="10:19" x14ac:dyDescent="0.25">
      <c r="J259" s="63"/>
      <c r="K259" s="63"/>
      <c r="L259" s="63"/>
      <c r="M259" s="63"/>
      <c r="N259" s="63"/>
      <c r="O259" s="63"/>
      <c r="P259" s="63"/>
      <c r="Q259" s="63"/>
      <c r="R259" s="63"/>
      <c r="S259" s="63"/>
    </row>
    <row r="260" spans="10:19" x14ac:dyDescent="0.25">
      <c r="J260" s="63"/>
      <c r="K260" s="63"/>
      <c r="L260" s="63"/>
      <c r="M260" s="63"/>
      <c r="N260" s="63"/>
      <c r="O260" s="63"/>
      <c r="P260" s="63"/>
      <c r="Q260" s="63"/>
      <c r="R260" s="63"/>
      <c r="S260" s="63"/>
    </row>
    <row r="261" spans="10:19" x14ac:dyDescent="0.25">
      <c r="J261" s="63"/>
      <c r="K261" s="63"/>
      <c r="L261" s="63"/>
      <c r="M261" s="63"/>
      <c r="N261" s="63"/>
      <c r="O261" s="63"/>
      <c r="P261" s="63"/>
      <c r="Q261" s="63"/>
      <c r="R261" s="63"/>
      <c r="S261" s="63"/>
    </row>
  </sheetData>
  <sheetProtection sheet="1" objects="1" formatCells="0" formatColumns="0" formatRows="0" sort="0" autoFilter="0"/>
  <conditionalFormatting sqref="H223">
    <cfRule type="cellIs" dxfId="23" priority="2" operator="greaterThan">
      <formula>0</formula>
    </cfRule>
  </conditionalFormatting>
  <conditionalFormatting sqref="A4:XFD4">
    <cfRule type="expression" dxfId="2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tabColor theme="4" tint="0.59999389629810485"/>
    <pageSetUpPr fitToPage="1"/>
  </sheetPr>
  <dimension ref="A1:KI292"/>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5" width="24.5703125" hidden="1" customWidth="1"/>
    <col min="296" max="16384" width="8.5703125" hidden="1"/>
  </cols>
  <sheetData>
    <row r="1" spans="1:44" s="1" customFormat="1" x14ac:dyDescent="0.25">
      <c r="A1" s="1" t="str">
        <f ca="1">MID(CELL("filename",A1),FIND("]",CELL("filename",A1))+1,255)</f>
        <v>Reactive power charges</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H254 &amp; IF(H254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786</v>
      </c>
      <c r="D9"/>
    </row>
    <row r="10" spans="1:44" x14ac:dyDescent="0.25">
      <c r="C10" s="29" t="s">
        <v>787</v>
      </c>
      <c r="D10"/>
      <c r="E10"/>
    </row>
    <row r="11" spans="1:44" x14ac:dyDescent="0.25">
      <c r="C11" s="94" t="s">
        <v>788</v>
      </c>
    </row>
    <row r="13" spans="1:44" x14ac:dyDescent="0.25">
      <c r="B13" s="30" t="s">
        <v>789</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row>
    <row r="15" spans="1:44" x14ac:dyDescent="0.25">
      <c r="C15" s="29" t="s">
        <v>790</v>
      </c>
    </row>
    <row r="17" spans="3:44" x14ac:dyDescent="0.25">
      <c r="C17" s="31" t="str">
        <f ca="1">INDEX('Version control'!$H$34:$H$56,MATCH($A$1,'Version control'!$F$34:$F$56,0),1)&amp;"-A: Inputs to reactive power charge calculations"</f>
        <v>Section 112-A: Inputs to reactive power charge calculations</v>
      </c>
      <c r="D17" s="31"/>
      <c r="E17" s="31"/>
      <c r="F17" s="31"/>
      <c r="G17" s="31"/>
      <c r="H17" s="31"/>
      <c r="I17" s="31"/>
      <c r="J17" s="31"/>
      <c r="K17" s="31"/>
      <c r="L17" s="31"/>
      <c r="M17" s="31"/>
      <c r="N17" s="31"/>
      <c r="O17" s="31"/>
      <c r="P17" s="31"/>
      <c r="Q17" s="31"/>
      <c r="R17" s="31"/>
      <c r="S17" s="31"/>
      <c r="T17" s="31"/>
      <c r="U17" s="31"/>
      <c r="V17" s="31"/>
      <c r="W17" s="31"/>
      <c r="X17" s="31"/>
      <c r="Y17" s="31"/>
      <c r="Z17" s="31"/>
      <c r="AA17" s="31"/>
      <c r="AB17" s="31"/>
      <c r="AC17" s="31"/>
      <c r="AD17" s="31"/>
      <c r="AE17" s="31"/>
      <c r="AF17" s="31"/>
      <c r="AG17" s="31"/>
      <c r="AH17" s="31"/>
      <c r="AI17" s="31"/>
      <c r="AJ17" s="31"/>
      <c r="AK17" s="31"/>
      <c r="AL17" s="31"/>
      <c r="AM17" s="31"/>
      <c r="AN17" s="31"/>
      <c r="AO17" s="31"/>
      <c r="AP17" s="31"/>
      <c r="AQ17" s="31"/>
      <c r="AR17" s="31"/>
    </row>
    <row r="18" spans="3:44" x14ac:dyDescent="0.25">
      <c r="C18" s="32"/>
      <c r="D18"/>
      <c r="E18" s="32"/>
    </row>
    <row r="19" spans="3:44" x14ac:dyDescent="0.25">
      <c r="D19" s="32" t="s">
        <v>344</v>
      </c>
    </row>
    <row r="20" spans="3:44" x14ac:dyDescent="0.25">
      <c r="D20" s="29" t="s">
        <v>791</v>
      </c>
      <c r="E20"/>
    </row>
    <row r="21" spans="3:44" x14ac:dyDescent="0.25">
      <c r="C21" s="91"/>
      <c r="E21" s="23" t="s">
        <v>225</v>
      </c>
      <c r="F21" s="23"/>
      <c r="G21" s="23" t="s">
        <v>792</v>
      </c>
      <c r="H21" s="83"/>
    </row>
    <row r="22" spans="3:44" x14ac:dyDescent="0.25">
      <c r="C22" s="91"/>
      <c r="E22" t="s">
        <v>227</v>
      </c>
      <c r="G22" t="s">
        <v>792</v>
      </c>
      <c r="H22" s="123">
        <f t="array" ref="H22:H30">TRANSPOSE('Inputs by network level'!K21:S21)</f>
        <v>0.19</v>
      </c>
    </row>
    <row r="23" spans="3:44" x14ac:dyDescent="0.25">
      <c r="C23" s="91"/>
      <c r="E23" t="s">
        <v>228</v>
      </c>
      <c r="G23" t="s">
        <v>792</v>
      </c>
      <c r="H23" s="123">
        <v>0</v>
      </c>
    </row>
    <row r="24" spans="3:44" x14ac:dyDescent="0.25">
      <c r="C24" s="91"/>
      <c r="E24" t="s">
        <v>229</v>
      </c>
      <c r="G24" t="s">
        <v>792</v>
      </c>
      <c r="H24" s="123">
        <v>0</v>
      </c>
    </row>
    <row r="25" spans="3:44" x14ac:dyDescent="0.25">
      <c r="C25" s="91"/>
      <c r="E25" t="s">
        <v>230</v>
      </c>
      <c r="G25" t="s">
        <v>792</v>
      </c>
      <c r="H25" s="123">
        <v>0.19</v>
      </c>
    </row>
    <row r="26" spans="3:44" x14ac:dyDescent="0.25">
      <c r="C26" s="91"/>
      <c r="E26" t="s">
        <v>231</v>
      </c>
      <c r="G26" t="s">
        <v>792</v>
      </c>
      <c r="H26" s="123">
        <v>0.19</v>
      </c>
    </row>
    <row r="27" spans="3:44" x14ac:dyDescent="0.25">
      <c r="C27" s="91"/>
      <c r="E27" t="s">
        <v>232</v>
      </c>
      <c r="G27" t="s">
        <v>792</v>
      </c>
      <c r="H27" s="123">
        <v>0</v>
      </c>
    </row>
    <row r="28" spans="3:44" x14ac:dyDescent="0.25">
      <c r="C28" s="91"/>
      <c r="E28" t="s">
        <v>233</v>
      </c>
      <c r="G28" t="s">
        <v>792</v>
      </c>
      <c r="H28" s="123">
        <v>0.19</v>
      </c>
    </row>
    <row r="29" spans="3:44" x14ac:dyDescent="0.25">
      <c r="C29" s="91"/>
      <c r="E29" t="s">
        <v>234</v>
      </c>
      <c r="G29" t="s">
        <v>792</v>
      </c>
      <c r="H29" s="123">
        <v>0.19</v>
      </c>
    </row>
    <row r="30" spans="3:44" x14ac:dyDescent="0.25">
      <c r="C30" s="91"/>
      <c r="E30" t="s">
        <v>235</v>
      </c>
      <c r="G30" t="s">
        <v>792</v>
      </c>
      <c r="H30" s="123">
        <v>0.19</v>
      </c>
    </row>
    <row r="31" spans="3:44" x14ac:dyDescent="0.25">
      <c r="C31" s="91"/>
      <c r="E31" t="s">
        <v>436</v>
      </c>
      <c r="G31" t="s">
        <v>792</v>
      </c>
      <c r="H31" s="79"/>
    </row>
    <row r="32" spans="3:44" x14ac:dyDescent="0.25">
      <c r="C32" s="91"/>
      <c r="E32" s="37" t="s">
        <v>437</v>
      </c>
      <c r="F32" s="37"/>
      <c r="G32" s="37" t="s">
        <v>792</v>
      </c>
      <c r="H32" s="81"/>
    </row>
    <row r="33" spans="3:8" x14ac:dyDescent="0.25">
      <c r="C33" s="91"/>
      <c r="H33" s="92"/>
    </row>
    <row r="34" spans="3:8" x14ac:dyDescent="0.25">
      <c r="D34" s="91" t="s">
        <v>454</v>
      </c>
      <c r="H34" s="92"/>
    </row>
    <row r="35" spans="3:8" x14ac:dyDescent="0.25">
      <c r="C35" s="91"/>
      <c r="E35" s="23" t="s">
        <v>225</v>
      </c>
      <c r="F35" s="23"/>
      <c r="G35" s="64" t="s">
        <v>342</v>
      </c>
      <c r="H35" s="127">
        <f t="array" ref="H35:H44">TRANSPOSE('Load &amp; loss characteristics'!J29:S29)</f>
        <v>1</v>
      </c>
    </row>
    <row r="36" spans="3:8" x14ac:dyDescent="0.25">
      <c r="C36" s="91"/>
      <c r="E36" t="s">
        <v>227</v>
      </c>
      <c r="G36" s="28" t="s">
        <v>342</v>
      </c>
      <c r="H36" s="123">
        <v>1</v>
      </c>
    </row>
    <row r="37" spans="3:8" x14ac:dyDescent="0.25">
      <c r="C37" s="91"/>
      <c r="E37" t="s">
        <v>228</v>
      </c>
      <c r="G37" s="28" t="s">
        <v>342</v>
      </c>
      <c r="H37" s="123">
        <v>1</v>
      </c>
    </row>
    <row r="38" spans="3:8" x14ac:dyDescent="0.25">
      <c r="C38" s="91"/>
      <c r="E38" t="s">
        <v>229</v>
      </c>
      <c r="G38" s="28" t="s">
        <v>342</v>
      </c>
      <c r="H38" s="123">
        <v>1</v>
      </c>
    </row>
    <row r="39" spans="3:8" x14ac:dyDescent="0.25">
      <c r="C39" s="91"/>
      <c r="E39" t="s">
        <v>230</v>
      </c>
      <c r="G39" s="28" t="s">
        <v>342</v>
      </c>
      <c r="H39" s="123">
        <v>1.0149999999999999</v>
      </c>
    </row>
    <row r="40" spans="3:8" x14ac:dyDescent="0.25">
      <c r="C40" s="91"/>
      <c r="E40" t="s">
        <v>231</v>
      </c>
      <c r="G40" s="28" t="s">
        <v>342</v>
      </c>
      <c r="H40" s="123">
        <v>1.026</v>
      </c>
    </row>
    <row r="41" spans="3:8" x14ac:dyDescent="0.25">
      <c r="C41" s="91"/>
      <c r="E41" t="s">
        <v>232</v>
      </c>
      <c r="G41" s="28" t="s">
        <v>342</v>
      </c>
      <c r="H41" s="123">
        <v>1.026</v>
      </c>
    </row>
    <row r="42" spans="3:8" x14ac:dyDescent="0.25">
      <c r="C42" s="91"/>
      <c r="E42" t="s">
        <v>233</v>
      </c>
      <c r="G42" s="28" t="s">
        <v>342</v>
      </c>
      <c r="H42" s="123">
        <v>1.0349999999999999</v>
      </c>
    </row>
    <row r="43" spans="3:8" x14ac:dyDescent="0.25">
      <c r="C43" s="91"/>
      <c r="E43" t="s">
        <v>234</v>
      </c>
      <c r="G43" s="28" t="s">
        <v>342</v>
      </c>
      <c r="H43" s="123">
        <v>1.0569999999999999</v>
      </c>
    </row>
    <row r="44" spans="3:8" x14ac:dyDescent="0.25">
      <c r="C44" s="91"/>
      <c r="E44" t="s">
        <v>235</v>
      </c>
      <c r="G44" s="28" t="s">
        <v>342</v>
      </c>
      <c r="H44" s="123">
        <v>1.0900000000000001</v>
      </c>
    </row>
    <row r="45" spans="3:8" x14ac:dyDescent="0.25">
      <c r="C45" s="91"/>
      <c r="E45" t="s">
        <v>436</v>
      </c>
      <c r="G45" s="28" t="s">
        <v>342</v>
      </c>
      <c r="H45" s="79"/>
    </row>
    <row r="46" spans="3:8" x14ac:dyDescent="0.25">
      <c r="C46" s="91"/>
      <c r="E46" s="37" t="s">
        <v>437</v>
      </c>
      <c r="F46" s="37"/>
      <c r="G46" s="67" t="s">
        <v>342</v>
      </c>
      <c r="H46" s="81"/>
    </row>
    <row r="47" spans="3:8" x14ac:dyDescent="0.25">
      <c r="C47" s="91"/>
      <c r="H47" s="92"/>
    </row>
    <row r="48" spans="3:8" x14ac:dyDescent="0.25">
      <c r="D48" s="32" t="s">
        <v>793</v>
      </c>
      <c r="H48" s="92"/>
    </row>
    <row r="49" spans="3:8" x14ac:dyDescent="0.25">
      <c r="C49" s="91"/>
      <c r="E49" s="23" t="s">
        <v>225</v>
      </c>
      <c r="F49" s="23"/>
      <c r="G49" s="23" t="s">
        <v>697</v>
      </c>
      <c r="H49" s="83"/>
    </row>
    <row r="50" spans="3:8" x14ac:dyDescent="0.25">
      <c r="C50" s="91"/>
      <c r="E50" t="s">
        <v>227</v>
      </c>
      <c r="G50" t="s">
        <v>697</v>
      </c>
      <c r="H50" s="79"/>
    </row>
    <row r="51" spans="3:8" x14ac:dyDescent="0.25">
      <c r="C51" s="91"/>
      <c r="E51" t="s">
        <v>228</v>
      </c>
      <c r="G51" t="s">
        <v>697</v>
      </c>
      <c r="H51" s="123">
        <f t="array" ref="H51:H58">TRANSPOSE('Unit costs'!L114:S114)</f>
        <v>0</v>
      </c>
    </row>
    <row r="52" spans="3:8" x14ac:dyDescent="0.25">
      <c r="C52" s="91"/>
      <c r="E52" t="s">
        <v>229</v>
      </c>
      <c r="G52" t="s">
        <v>697</v>
      </c>
      <c r="H52" s="123">
        <v>0</v>
      </c>
    </row>
    <row r="53" spans="3:8" x14ac:dyDescent="0.25">
      <c r="C53" s="91"/>
      <c r="E53" t="s">
        <v>230</v>
      </c>
      <c r="G53" t="s">
        <v>697</v>
      </c>
      <c r="H53" s="123">
        <v>8.6794513489645837</v>
      </c>
    </row>
    <row r="54" spans="3:8" x14ac:dyDescent="0.25">
      <c r="C54" s="91"/>
      <c r="E54" t="s">
        <v>231</v>
      </c>
      <c r="G54" t="s">
        <v>697</v>
      </c>
      <c r="H54" s="123">
        <v>7.9382433851892769</v>
      </c>
    </row>
    <row r="55" spans="3:8" x14ac:dyDescent="0.25">
      <c r="C55" s="91"/>
      <c r="E55" t="s">
        <v>232</v>
      </c>
      <c r="G55" t="s">
        <v>697</v>
      </c>
      <c r="H55" s="123">
        <v>0</v>
      </c>
    </row>
    <row r="56" spans="3:8" x14ac:dyDescent="0.25">
      <c r="C56" s="91"/>
      <c r="E56" t="s">
        <v>233</v>
      </c>
      <c r="G56" t="s">
        <v>697</v>
      </c>
      <c r="H56" s="123">
        <v>33.090584726418562</v>
      </c>
    </row>
    <row r="57" spans="3:8" x14ac:dyDescent="0.25">
      <c r="C57" s="91"/>
      <c r="E57" t="s">
        <v>234</v>
      </c>
      <c r="G57" t="s">
        <v>697</v>
      </c>
      <c r="H57" s="123">
        <v>8.1832602160498897</v>
      </c>
    </row>
    <row r="58" spans="3:8" x14ac:dyDescent="0.25">
      <c r="C58" s="91"/>
      <c r="E58" t="s">
        <v>235</v>
      </c>
      <c r="G58" t="s">
        <v>697</v>
      </c>
      <c r="H58" s="123">
        <v>20.032152791713386</v>
      </c>
    </row>
    <row r="59" spans="3:8" x14ac:dyDescent="0.25">
      <c r="C59" s="91"/>
      <c r="E59" t="s">
        <v>436</v>
      </c>
      <c r="G59" t="s">
        <v>697</v>
      </c>
      <c r="H59" s="79"/>
    </row>
    <row r="60" spans="3:8" x14ac:dyDescent="0.25">
      <c r="C60" s="91"/>
      <c r="E60" s="37" t="s">
        <v>437</v>
      </c>
      <c r="F60" s="37"/>
      <c r="G60" s="37" t="s">
        <v>697</v>
      </c>
      <c r="H60" s="81"/>
    </row>
    <row r="61" spans="3:8" x14ac:dyDescent="0.25">
      <c r="C61" s="91"/>
      <c r="H61" s="92"/>
    </row>
    <row r="62" spans="3:8" x14ac:dyDescent="0.25">
      <c r="C62" s="91"/>
      <c r="D62" s="32" t="s">
        <v>794</v>
      </c>
      <c r="E62"/>
      <c r="H62" s="92"/>
    </row>
    <row r="63" spans="3:8" x14ac:dyDescent="0.25">
      <c r="C63" s="91"/>
      <c r="E63" s="23" t="s">
        <v>225</v>
      </c>
      <c r="F63" s="23"/>
      <c r="G63" s="23" t="s">
        <v>697</v>
      </c>
      <c r="H63" s="127">
        <f t="array" ref="H63:H72">TRANSPOSE('Unit costs'!J115:S115)</f>
        <v>23.374299189754094</v>
      </c>
    </row>
    <row r="64" spans="3:8" x14ac:dyDescent="0.25">
      <c r="C64" s="91"/>
      <c r="E64" t="s">
        <v>227</v>
      </c>
      <c r="G64" t="s">
        <v>697</v>
      </c>
      <c r="H64" s="123">
        <v>0</v>
      </c>
    </row>
    <row r="65" spans="3:59" x14ac:dyDescent="0.25">
      <c r="C65" s="91"/>
      <c r="E65" t="s">
        <v>228</v>
      </c>
      <c r="G65" t="s">
        <v>697</v>
      </c>
      <c r="H65" s="123">
        <v>0</v>
      </c>
    </row>
    <row r="66" spans="3:59" x14ac:dyDescent="0.25">
      <c r="C66" s="91"/>
      <c r="E66" t="s">
        <v>229</v>
      </c>
      <c r="G66" t="s">
        <v>697</v>
      </c>
      <c r="H66" s="123">
        <v>0</v>
      </c>
    </row>
    <row r="67" spans="3:59" x14ac:dyDescent="0.25">
      <c r="C67" s="91"/>
      <c r="E67" t="s">
        <v>230</v>
      </c>
      <c r="G67" t="s">
        <v>697</v>
      </c>
      <c r="H67" s="123">
        <v>6.7528606972780532</v>
      </c>
    </row>
    <row r="68" spans="3:59" x14ac:dyDescent="0.25">
      <c r="C68" s="91"/>
      <c r="E68" t="s">
        <v>231</v>
      </c>
      <c r="G68" t="s">
        <v>697</v>
      </c>
      <c r="H68" s="123">
        <v>6.1761797613701779</v>
      </c>
    </row>
    <row r="69" spans="3:59" x14ac:dyDescent="0.25">
      <c r="C69" s="91"/>
      <c r="E69" t="s">
        <v>232</v>
      </c>
      <c r="G69" t="s">
        <v>697</v>
      </c>
      <c r="H69" s="123">
        <v>0</v>
      </c>
    </row>
    <row r="70" spans="3:59" x14ac:dyDescent="0.25">
      <c r="C70" s="91"/>
      <c r="E70" t="s">
        <v>233</v>
      </c>
      <c r="G70" t="s">
        <v>697</v>
      </c>
      <c r="H70" s="123">
        <v>25.74541869811144</v>
      </c>
    </row>
    <row r="71" spans="3:59" x14ac:dyDescent="0.25">
      <c r="C71" s="91"/>
      <c r="E71" t="s">
        <v>234</v>
      </c>
      <c r="G71" t="s">
        <v>697</v>
      </c>
      <c r="H71" s="123">
        <v>6.3668098439372782</v>
      </c>
    </row>
    <row r="72" spans="3:59" x14ac:dyDescent="0.25">
      <c r="C72" s="91"/>
      <c r="E72" t="s">
        <v>235</v>
      </c>
      <c r="G72" t="s">
        <v>697</v>
      </c>
      <c r="H72" s="123">
        <v>15.585586211640868</v>
      </c>
    </row>
    <row r="73" spans="3:59" x14ac:dyDescent="0.25">
      <c r="C73" s="91"/>
      <c r="E73" t="s">
        <v>436</v>
      </c>
      <c r="G73" t="s">
        <v>697</v>
      </c>
      <c r="H73" s="79"/>
    </row>
    <row r="74" spans="3:59" x14ac:dyDescent="0.25">
      <c r="C74" s="91"/>
      <c r="E74" s="37" t="s">
        <v>437</v>
      </c>
      <c r="F74" s="37"/>
      <c r="G74" s="37" t="s">
        <v>697</v>
      </c>
      <c r="H74" s="81"/>
    </row>
    <row r="75" spans="3:59" x14ac:dyDescent="0.25">
      <c r="C75" s="91"/>
      <c r="H75" s="63"/>
    </row>
    <row r="76" spans="3:59" x14ac:dyDescent="0.25">
      <c r="D76" s="91" t="s">
        <v>795</v>
      </c>
    </row>
    <row r="77" spans="3:59" x14ac:dyDescent="0.25">
      <c r="D77" s="29" t="s">
        <v>796</v>
      </c>
      <c r="E77" s="228"/>
    </row>
    <row r="78" spans="3:59" x14ac:dyDescent="0.25">
      <c r="C78" s="91"/>
      <c r="E78" t="s">
        <v>797</v>
      </c>
      <c r="G78" t="s">
        <v>798</v>
      </c>
      <c r="I78" t="s">
        <v>190</v>
      </c>
      <c r="J78" s="186">
        <f>'Fixed inputs'!J143</f>
        <v>0</v>
      </c>
      <c r="K78" s="186">
        <f>'Fixed inputs'!K143</f>
        <v>0</v>
      </c>
      <c r="L78" s="186">
        <f>'Fixed inputs'!L143</f>
        <v>0</v>
      </c>
      <c r="M78" s="186">
        <f>'Fixed inputs'!M143</f>
        <v>0</v>
      </c>
      <c r="N78" s="186">
        <f>'Fixed inputs'!N143</f>
        <v>0</v>
      </c>
      <c r="O78" s="186">
        <f>'Fixed inputs'!O143</f>
        <v>0</v>
      </c>
      <c r="P78" s="186">
        <f>'Fixed inputs'!P143</f>
        <v>0</v>
      </c>
      <c r="Q78" s="186">
        <f>'Fixed inputs'!Q143</f>
        <v>0</v>
      </c>
      <c r="R78" s="186">
        <f>'Fixed inputs'!R143</f>
        <v>0</v>
      </c>
      <c r="S78" s="186">
        <f>'Fixed inputs'!S143</f>
        <v>0</v>
      </c>
      <c r="T78" s="186">
        <f>'Fixed inputs'!T143</f>
        <v>0</v>
      </c>
      <c r="U78" s="186">
        <f>'Fixed inputs'!U143</f>
        <v>1</v>
      </c>
      <c r="V78" s="186">
        <f>'Fixed inputs'!V143</f>
        <v>1</v>
      </c>
      <c r="W78" s="186">
        <f>'Fixed inputs'!W143</f>
        <v>1</v>
      </c>
      <c r="X78" s="186">
        <f>'Fixed inputs'!X143</f>
        <v>0</v>
      </c>
      <c r="Y78" s="186">
        <f>'Fixed inputs'!Y143</f>
        <v>0</v>
      </c>
      <c r="Z78" s="186">
        <f>'Fixed inputs'!Z143</f>
        <v>0</v>
      </c>
      <c r="AA78" s="186">
        <f>'Fixed inputs'!AA143</f>
        <v>0</v>
      </c>
      <c r="AB78" s="186">
        <f>'Fixed inputs'!AB143</f>
        <v>0</v>
      </c>
      <c r="AC78" s="186">
        <f>'Fixed inputs'!AC143</f>
        <v>0</v>
      </c>
      <c r="AD78" s="186">
        <f>'Fixed inputs'!AD143</f>
        <v>0</v>
      </c>
      <c r="AE78" s="186">
        <f>'Fixed inputs'!AE143</f>
        <v>1</v>
      </c>
      <c r="AF78" s="186">
        <f>'Fixed inputs'!AF143</f>
        <v>0</v>
      </c>
      <c r="AG78" s="186">
        <f>'Fixed inputs'!AG143</f>
        <v>1</v>
      </c>
      <c r="AH78" s="186">
        <f>'Fixed inputs'!AH143</f>
        <v>0</v>
      </c>
      <c r="AI78" s="186">
        <f>'Fixed inputs'!AI143</f>
        <v>1</v>
      </c>
      <c r="AJ78" s="186">
        <f>'Fixed inputs'!AJ143</f>
        <v>0</v>
      </c>
      <c r="AK78" s="186">
        <f>'Fixed inputs'!AK143</f>
        <v>1</v>
      </c>
      <c r="AL78" s="186">
        <f>'Fixed inputs'!AL143</f>
        <v>0</v>
      </c>
      <c r="AM78" s="186">
        <f>'Fixed inputs'!AM143</f>
        <v>1</v>
      </c>
      <c r="AN78" s="186">
        <f>'Fixed inputs'!AN143</f>
        <v>0</v>
      </c>
      <c r="AO78" s="186">
        <f>'Fixed inputs'!AO143</f>
        <v>1</v>
      </c>
      <c r="AP78" s="186">
        <f>'Fixed inputs'!AP143</f>
        <v>0</v>
      </c>
      <c r="AR78" t="s">
        <v>262</v>
      </c>
    </row>
    <row r="79" spans="3:59" x14ac:dyDescent="0.25">
      <c r="C79" s="91"/>
    </row>
    <row r="80" spans="3:59" x14ac:dyDescent="0.25">
      <c r="D80" s="32" t="s">
        <v>121</v>
      </c>
      <c r="E80"/>
      <c r="H80" s="14"/>
      <c r="J80" s="63"/>
      <c r="K80" s="63"/>
      <c r="L80" s="63"/>
      <c r="M80" s="63"/>
      <c r="N80" s="63"/>
      <c r="O80" s="63"/>
      <c r="P80" s="63"/>
      <c r="Q80" s="63"/>
      <c r="R80" s="63"/>
      <c r="S80" s="63"/>
      <c r="BG80" s="3"/>
    </row>
    <row r="81" spans="3:59" x14ac:dyDescent="0.25">
      <c r="C81" s="32"/>
      <c r="D81"/>
      <c r="E81" s="23" t="s">
        <v>227</v>
      </c>
      <c r="F81" s="23"/>
      <c r="G81" s="23" t="s">
        <v>203</v>
      </c>
      <c r="H81" s="132"/>
      <c r="I81" s="23"/>
      <c r="J81" s="110">
        <f>'Standing charge factors'!J44</f>
        <v>0</v>
      </c>
      <c r="K81" s="110">
        <f>'Standing charge factors'!K44</f>
        <v>0</v>
      </c>
      <c r="L81" s="110">
        <f>'Standing charge factors'!L44</f>
        <v>0</v>
      </c>
      <c r="M81" s="110">
        <f>'Standing charge factors'!M44</f>
        <v>0</v>
      </c>
      <c r="N81" s="110">
        <f>'Standing charge factors'!N44</f>
        <v>0</v>
      </c>
      <c r="O81" s="110">
        <f>'Standing charge factors'!O44</f>
        <v>0</v>
      </c>
      <c r="P81" s="110">
        <f>'Standing charge factors'!P44</f>
        <v>0</v>
      </c>
      <c r="Q81" s="110">
        <f>'Standing charge factors'!Q44</f>
        <v>0</v>
      </c>
      <c r="R81" s="110">
        <f>'Standing charge factors'!R44</f>
        <v>0</v>
      </c>
      <c r="S81" s="110">
        <f>'Standing charge factors'!S44</f>
        <v>0</v>
      </c>
      <c r="T81" s="110">
        <f>'Standing charge factors'!T44</f>
        <v>0</v>
      </c>
      <c r="U81" s="110">
        <f>'Standing charge factors'!U44</f>
        <v>0</v>
      </c>
      <c r="V81" s="110">
        <f>'Standing charge factors'!V44</f>
        <v>0</v>
      </c>
      <c r="W81" s="110">
        <f>'Standing charge factors'!W44</f>
        <v>0</v>
      </c>
      <c r="X81" s="110">
        <f>'Standing charge factors'!X44</f>
        <v>0</v>
      </c>
      <c r="Y81" s="110">
        <f>'Standing charge factors'!Y44</f>
        <v>0</v>
      </c>
      <c r="Z81" s="110">
        <f>'Standing charge factors'!Z44</f>
        <v>0</v>
      </c>
      <c r="AA81" s="110">
        <f>'Standing charge factors'!AA44</f>
        <v>0</v>
      </c>
      <c r="AB81" s="110">
        <f>'Standing charge factors'!AB44</f>
        <v>0</v>
      </c>
      <c r="AC81" s="110">
        <f>'Standing charge factors'!AC44</f>
        <v>0</v>
      </c>
      <c r="AD81" s="110">
        <f>'Standing charge factors'!AD44</f>
        <v>0</v>
      </c>
      <c r="AE81" s="110">
        <f>'Standing charge factors'!AE44</f>
        <v>0</v>
      </c>
      <c r="AF81" s="110">
        <f>'Standing charge factors'!AF44</f>
        <v>0</v>
      </c>
      <c r="AG81" s="110">
        <f>'Standing charge factors'!AG44</f>
        <v>0</v>
      </c>
      <c r="AH81" s="110">
        <f>'Standing charge factors'!AH44</f>
        <v>0</v>
      </c>
      <c r="AI81" s="110">
        <f>'Standing charge factors'!AI44</f>
        <v>0</v>
      </c>
      <c r="AJ81" s="110">
        <f>'Standing charge factors'!AJ44</f>
        <v>0</v>
      </c>
      <c r="AK81" s="110">
        <f>'Standing charge factors'!AK44</f>
        <v>0</v>
      </c>
      <c r="AL81" s="110">
        <f>'Standing charge factors'!AL44</f>
        <v>0</v>
      </c>
      <c r="AM81" s="110">
        <f>'Standing charge factors'!AM44</f>
        <v>0</v>
      </c>
      <c r="AN81" s="110">
        <f>'Standing charge factors'!AN44</f>
        <v>0</v>
      </c>
      <c r="AO81" s="110">
        <f>'Standing charge factors'!AO44</f>
        <v>0</v>
      </c>
      <c r="AP81" s="110">
        <f>'Standing charge factors'!AP44</f>
        <v>0</v>
      </c>
      <c r="BG81" s="3"/>
    </row>
    <row r="82" spans="3:59" x14ac:dyDescent="0.25">
      <c r="C82" s="32"/>
      <c r="D82"/>
      <c r="E82" t="s">
        <v>228</v>
      </c>
      <c r="G82" t="s">
        <v>203</v>
      </c>
      <c r="H82" s="63"/>
      <c r="J82" s="25">
        <f>'Standing charge factors'!J45</f>
        <v>0</v>
      </c>
      <c r="K82" s="25">
        <f>'Standing charge factors'!K45</f>
        <v>0</v>
      </c>
      <c r="L82" s="25">
        <f>'Standing charge factors'!L45</f>
        <v>0</v>
      </c>
      <c r="M82" s="25">
        <f>'Standing charge factors'!M45</f>
        <v>0</v>
      </c>
      <c r="N82" s="25">
        <f>'Standing charge factors'!N45</f>
        <v>0</v>
      </c>
      <c r="O82" s="25">
        <f>'Standing charge factors'!O45</f>
        <v>0</v>
      </c>
      <c r="P82" s="25">
        <f>'Standing charge factors'!P45</f>
        <v>0</v>
      </c>
      <c r="Q82" s="25">
        <f>'Standing charge factors'!Q45</f>
        <v>0</v>
      </c>
      <c r="R82" s="25">
        <f>'Standing charge factors'!R45</f>
        <v>0</v>
      </c>
      <c r="S82" s="25">
        <f>'Standing charge factors'!S45</f>
        <v>0</v>
      </c>
      <c r="T82" s="25">
        <f>'Standing charge factors'!T45</f>
        <v>0</v>
      </c>
      <c r="U82" s="25">
        <f>'Standing charge factors'!U45</f>
        <v>0</v>
      </c>
      <c r="V82" s="25">
        <f>'Standing charge factors'!V45</f>
        <v>0</v>
      </c>
      <c r="W82" s="25">
        <f>'Standing charge factors'!W45</f>
        <v>0</v>
      </c>
      <c r="X82" s="25">
        <f>'Standing charge factors'!X45</f>
        <v>0</v>
      </c>
      <c r="Y82" s="25">
        <f>'Standing charge factors'!Y45</f>
        <v>0</v>
      </c>
      <c r="Z82" s="25">
        <f>'Standing charge factors'!Z45</f>
        <v>0</v>
      </c>
      <c r="AA82" s="25">
        <f>'Standing charge factors'!AA45</f>
        <v>0</v>
      </c>
      <c r="AB82" s="25">
        <f>'Standing charge factors'!AB45</f>
        <v>0</v>
      </c>
      <c r="AC82" s="25">
        <f>'Standing charge factors'!AC45</f>
        <v>0</v>
      </c>
      <c r="AD82" s="25">
        <f>'Standing charge factors'!AD45</f>
        <v>0</v>
      </c>
      <c r="AE82" s="25">
        <f>'Standing charge factors'!AE45</f>
        <v>0</v>
      </c>
      <c r="AF82" s="25">
        <f>'Standing charge factors'!AF45</f>
        <v>0</v>
      </c>
      <c r="AG82" s="25">
        <f>'Standing charge factors'!AG45</f>
        <v>0</v>
      </c>
      <c r="AH82" s="25">
        <f>'Standing charge factors'!AH45</f>
        <v>0</v>
      </c>
      <c r="AI82" s="25">
        <f>'Standing charge factors'!AI45</f>
        <v>0</v>
      </c>
      <c r="AJ82" s="25">
        <f>'Standing charge factors'!AJ45</f>
        <v>0</v>
      </c>
      <c r="AK82" s="25">
        <f>'Standing charge factors'!AK45</f>
        <v>0</v>
      </c>
      <c r="AL82" s="25">
        <f>'Standing charge factors'!AL45</f>
        <v>0</v>
      </c>
      <c r="AM82" s="25">
        <f>'Standing charge factors'!AM45</f>
        <v>0</v>
      </c>
      <c r="AN82" s="25">
        <f>'Standing charge factors'!AN45</f>
        <v>0</v>
      </c>
      <c r="AO82" s="25">
        <f>'Standing charge factors'!AO45</f>
        <v>0</v>
      </c>
      <c r="AP82" s="25">
        <f>'Standing charge factors'!AP45</f>
        <v>0</v>
      </c>
      <c r="BG82" s="3"/>
    </row>
    <row r="83" spans="3:59" x14ac:dyDescent="0.25">
      <c r="C83" s="32"/>
      <c r="D83"/>
      <c r="E83" t="s">
        <v>229</v>
      </c>
      <c r="G83" t="s">
        <v>203</v>
      </c>
      <c r="H83" s="63"/>
      <c r="J83" s="25">
        <f>'Standing charge factors'!J46</f>
        <v>0</v>
      </c>
      <c r="K83" s="25">
        <f>'Standing charge factors'!K46</f>
        <v>0</v>
      </c>
      <c r="L83" s="25">
        <f>'Standing charge factors'!L46</f>
        <v>0</v>
      </c>
      <c r="M83" s="25">
        <f>'Standing charge factors'!M46</f>
        <v>0</v>
      </c>
      <c r="N83" s="25">
        <f>'Standing charge factors'!N46</f>
        <v>0</v>
      </c>
      <c r="O83" s="25">
        <f>'Standing charge factors'!O46</f>
        <v>0</v>
      </c>
      <c r="P83" s="25">
        <f>'Standing charge factors'!P46</f>
        <v>0</v>
      </c>
      <c r="Q83" s="25">
        <f>'Standing charge factors'!Q46</f>
        <v>0</v>
      </c>
      <c r="R83" s="25">
        <f>'Standing charge factors'!R46</f>
        <v>0</v>
      </c>
      <c r="S83" s="25">
        <f>'Standing charge factors'!S46</f>
        <v>0</v>
      </c>
      <c r="T83" s="25">
        <f>'Standing charge factors'!T46</f>
        <v>0</v>
      </c>
      <c r="U83" s="25">
        <f>'Standing charge factors'!U46</f>
        <v>0</v>
      </c>
      <c r="V83" s="25">
        <f>'Standing charge factors'!V46</f>
        <v>0</v>
      </c>
      <c r="W83" s="25">
        <f>'Standing charge factors'!W46</f>
        <v>0</v>
      </c>
      <c r="X83" s="25">
        <f>'Standing charge factors'!X46</f>
        <v>0</v>
      </c>
      <c r="Y83" s="25">
        <f>'Standing charge factors'!Y46</f>
        <v>0</v>
      </c>
      <c r="Z83" s="25">
        <f>'Standing charge factors'!Z46</f>
        <v>0</v>
      </c>
      <c r="AA83" s="25">
        <f>'Standing charge factors'!AA46</f>
        <v>0</v>
      </c>
      <c r="AB83" s="25">
        <f>'Standing charge factors'!AB46</f>
        <v>0</v>
      </c>
      <c r="AC83" s="25">
        <f>'Standing charge factors'!AC46</f>
        <v>0</v>
      </c>
      <c r="AD83" s="25">
        <f>'Standing charge factors'!AD46</f>
        <v>0</v>
      </c>
      <c r="AE83" s="25">
        <f>'Standing charge factors'!AE46</f>
        <v>0</v>
      </c>
      <c r="AF83" s="25">
        <f>'Standing charge factors'!AF46</f>
        <v>0</v>
      </c>
      <c r="AG83" s="25">
        <f>'Standing charge factors'!AG46</f>
        <v>0</v>
      </c>
      <c r="AH83" s="25">
        <f>'Standing charge factors'!AH46</f>
        <v>0</v>
      </c>
      <c r="AI83" s="25">
        <f>'Standing charge factors'!AI46</f>
        <v>0</v>
      </c>
      <c r="AJ83" s="25">
        <f>'Standing charge factors'!AJ46</f>
        <v>0</v>
      </c>
      <c r="AK83" s="25">
        <f>'Standing charge factors'!AK46</f>
        <v>0</v>
      </c>
      <c r="AL83" s="25">
        <f>'Standing charge factors'!AL46</f>
        <v>0</v>
      </c>
      <c r="AM83" s="25">
        <f>'Standing charge factors'!AM46</f>
        <v>0</v>
      </c>
      <c r="AN83" s="25">
        <f>'Standing charge factors'!AN46</f>
        <v>0</v>
      </c>
      <c r="AO83" s="25">
        <f>'Standing charge factors'!AO46</f>
        <v>0</v>
      </c>
      <c r="AP83" s="25">
        <f>'Standing charge factors'!AP46</f>
        <v>0</v>
      </c>
      <c r="BG83" s="3"/>
    </row>
    <row r="84" spans="3:59" x14ac:dyDescent="0.25">
      <c r="C84" s="32"/>
      <c r="D84"/>
      <c r="E84" t="s">
        <v>230</v>
      </c>
      <c r="G84" t="s">
        <v>203</v>
      </c>
      <c r="H84" s="63"/>
      <c r="J84" s="25">
        <f>'Standing charge factors'!J47</f>
        <v>0</v>
      </c>
      <c r="K84" s="25">
        <f>'Standing charge factors'!K47</f>
        <v>0</v>
      </c>
      <c r="L84" s="25">
        <f>'Standing charge factors'!L47</f>
        <v>0</v>
      </c>
      <c r="M84" s="25">
        <f>'Standing charge factors'!M47</f>
        <v>0</v>
      </c>
      <c r="N84" s="25">
        <f>'Standing charge factors'!N47</f>
        <v>0</v>
      </c>
      <c r="O84" s="25">
        <f>'Standing charge factors'!O47</f>
        <v>0</v>
      </c>
      <c r="P84" s="25">
        <f>'Standing charge factors'!P47</f>
        <v>0</v>
      </c>
      <c r="Q84" s="25">
        <f>'Standing charge factors'!Q47</f>
        <v>0</v>
      </c>
      <c r="R84" s="25">
        <f>'Standing charge factors'!R47</f>
        <v>0.2</v>
      </c>
      <c r="S84" s="25">
        <f>'Standing charge factors'!S47</f>
        <v>0</v>
      </c>
      <c r="T84" s="25">
        <f>'Standing charge factors'!T47</f>
        <v>0</v>
      </c>
      <c r="U84" s="25">
        <f>'Standing charge factors'!U47</f>
        <v>0</v>
      </c>
      <c r="V84" s="25">
        <f>'Standing charge factors'!V47</f>
        <v>0</v>
      </c>
      <c r="W84" s="25">
        <f>'Standing charge factors'!W47</f>
        <v>0.2</v>
      </c>
      <c r="X84" s="25">
        <f>'Standing charge factors'!X47</f>
        <v>0</v>
      </c>
      <c r="Y84" s="25">
        <f>'Standing charge factors'!Y47</f>
        <v>0</v>
      </c>
      <c r="Z84" s="25">
        <f>'Standing charge factors'!Z47</f>
        <v>0</v>
      </c>
      <c r="AA84" s="25">
        <f>'Standing charge factors'!AA47</f>
        <v>0</v>
      </c>
      <c r="AB84" s="25">
        <f>'Standing charge factors'!AB47</f>
        <v>0</v>
      </c>
      <c r="AC84" s="25">
        <f>'Standing charge factors'!AC47</f>
        <v>0</v>
      </c>
      <c r="AD84" s="25">
        <f>'Standing charge factors'!AD47</f>
        <v>0</v>
      </c>
      <c r="AE84" s="25">
        <f>'Standing charge factors'!AE47</f>
        <v>0</v>
      </c>
      <c r="AF84" s="25">
        <f>'Standing charge factors'!AF47</f>
        <v>0</v>
      </c>
      <c r="AG84" s="25">
        <f>'Standing charge factors'!AG47</f>
        <v>0</v>
      </c>
      <c r="AH84" s="25">
        <f>'Standing charge factors'!AH47</f>
        <v>0</v>
      </c>
      <c r="AI84" s="25">
        <f>'Standing charge factors'!AI47</f>
        <v>0</v>
      </c>
      <c r="AJ84" s="25">
        <f>'Standing charge factors'!AJ47</f>
        <v>0</v>
      </c>
      <c r="AK84" s="25">
        <f>'Standing charge factors'!AK47</f>
        <v>0</v>
      </c>
      <c r="AL84" s="25">
        <f>'Standing charge factors'!AL47</f>
        <v>0</v>
      </c>
      <c r="AM84" s="25">
        <f>'Standing charge factors'!AM47</f>
        <v>0</v>
      </c>
      <c r="AN84" s="25">
        <f>'Standing charge factors'!AN47</f>
        <v>0</v>
      </c>
      <c r="AO84" s="25">
        <f>'Standing charge factors'!AO47</f>
        <v>0</v>
      </c>
      <c r="AP84" s="25">
        <f>'Standing charge factors'!AP47</f>
        <v>0</v>
      </c>
      <c r="BG84" s="3"/>
    </row>
    <row r="85" spans="3:59" x14ac:dyDescent="0.25">
      <c r="C85" s="32"/>
      <c r="D85"/>
      <c r="E85" t="s">
        <v>231</v>
      </c>
      <c r="G85" t="s">
        <v>203</v>
      </c>
      <c r="H85" s="63"/>
      <c r="J85" s="25">
        <f>'Standing charge factors'!J48</f>
        <v>0</v>
      </c>
      <c r="K85" s="25">
        <f>'Standing charge factors'!K48</f>
        <v>0</v>
      </c>
      <c r="L85" s="25">
        <f>'Standing charge factors'!L48</f>
        <v>0</v>
      </c>
      <c r="M85" s="25">
        <f>'Standing charge factors'!M48</f>
        <v>0</v>
      </c>
      <c r="N85" s="25">
        <f>'Standing charge factors'!N48</f>
        <v>0</v>
      </c>
      <c r="O85" s="25">
        <f>'Standing charge factors'!O48</f>
        <v>0</v>
      </c>
      <c r="P85" s="25">
        <f>'Standing charge factors'!P48</f>
        <v>0</v>
      </c>
      <c r="Q85" s="25">
        <f>'Standing charge factors'!Q48</f>
        <v>0</v>
      </c>
      <c r="R85" s="25">
        <f>'Standing charge factors'!R48</f>
        <v>1</v>
      </c>
      <c r="S85" s="25">
        <f>'Standing charge factors'!S48</f>
        <v>0</v>
      </c>
      <c r="T85" s="25">
        <f>'Standing charge factors'!T48</f>
        <v>0</v>
      </c>
      <c r="U85" s="25">
        <f>'Standing charge factors'!U48</f>
        <v>0</v>
      </c>
      <c r="V85" s="25">
        <f>'Standing charge factors'!V48</f>
        <v>0</v>
      </c>
      <c r="W85" s="25">
        <f>'Standing charge factors'!W48</f>
        <v>1</v>
      </c>
      <c r="X85" s="25">
        <f>'Standing charge factors'!X48</f>
        <v>0</v>
      </c>
      <c r="Y85" s="25">
        <f>'Standing charge factors'!Y48</f>
        <v>0</v>
      </c>
      <c r="Z85" s="25">
        <f>'Standing charge factors'!Z48</f>
        <v>0</v>
      </c>
      <c r="AA85" s="25">
        <f>'Standing charge factors'!AA48</f>
        <v>0</v>
      </c>
      <c r="AB85" s="25">
        <f>'Standing charge factors'!AB48</f>
        <v>0</v>
      </c>
      <c r="AC85" s="25">
        <f>'Standing charge factors'!AC48</f>
        <v>0</v>
      </c>
      <c r="AD85" s="25">
        <f>'Standing charge factors'!AD48</f>
        <v>0</v>
      </c>
      <c r="AE85" s="25">
        <f>'Standing charge factors'!AE48</f>
        <v>0</v>
      </c>
      <c r="AF85" s="25">
        <f>'Standing charge factors'!AF48</f>
        <v>0</v>
      </c>
      <c r="AG85" s="25">
        <f>'Standing charge factors'!AG48</f>
        <v>0</v>
      </c>
      <c r="AH85" s="25">
        <f>'Standing charge factors'!AH48</f>
        <v>0</v>
      </c>
      <c r="AI85" s="25">
        <f>'Standing charge factors'!AI48</f>
        <v>0</v>
      </c>
      <c r="AJ85" s="25">
        <f>'Standing charge factors'!AJ48</f>
        <v>0</v>
      </c>
      <c r="AK85" s="25">
        <f>'Standing charge factors'!AK48</f>
        <v>0</v>
      </c>
      <c r="AL85" s="25">
        <f>'Standing charge factors'!AL48</f>
        <v>0</v>
      </c>
      <c r="AM85" s="25">
        <f>'Standing charge factors'!AM48</f>
        <v>0</v>
      </c>
      <c r="AN85" s="25">
        <f>'Standing charge factors'!AN48</f>
        <v>0</v>
      </c>
      <c r="AO85" s="25">
        <f>'Standing charge factors'!AO48</f>
        <v>0</v>
      </c>
      <c r="AP85" s="25">
        <f>'Standing charge factors'!AP48</f>
        <v>0</v>
      </c>
      <c r="BG85" s="3"/>
    </row>
    <row r="86" spans="3:59" x14ac:dyDescent="0.25">
      <c r="C86" s="32"/>
      <c r="D86"/>
      <c r="E86" t="s">
        <v>232</v>
      </c>
      <c r="G86" t="s">
        <v>203</v>
      </c>
      <c r="H86" s="63"/>
      <c r="J86" s="25">
        <f>'Standing charge factors'!J49</f>
        <v>0</v>
      </c>
      <c r="K86" s="25">
        <f>'Standing charge factors'!K49</f>
        <v>0</v>
      </c>
      <c r="L86" s="25">
        <f>'Standing charge factors'!L49</f>
        <v>0</v>
      </c>
      <c r="M86" s="25">
        <f>'Standing charge factors'!M49</f>
        <v>0</v>
      </c>
      <c r="N86" s="25">
        <f>'Standing charge factors'!N49</f>
        <v>0</v>
      </c>
      <c r="O86" s="25">
        <f>'Standing charge factors'!O49</f>
        <v>0</v>
      </c>
      <c r="P86" s="25">
        <f>'Standing charge factors'!P49</f>
        <v>0</v>
      </c>
      <c r="Q86" s="25">
        <f>'Standing charge factors'!Q49</f>
        <v>0</v>
      </c>
      <c r="R86" s="25">
        <f>'Standing charge factors'!R49</f>
        <v>1</v>
      </c>
      <c r="S86" s="25">
        <f>'Standing charge factors'!S49</f>
        <v>0</v>
      </c>
      <c r="T86" s="25">
        <f>'Standing charge factors'!T49</f>
        <v>0</v>
      </c>
      <c r="U86" s="25">
        <f>'Standing charge factors'!U49</f>
        <v>0</v>
      </c>
      <c r="V86" s="25">
        <f>'Standing charge factors'!V49</f>
        <v>0</v>
      </c>
      <c r="W86" s="25">
        <f>'Standing charge factors'!W49</f>
        <v>1</v>
      </c>
      <c r="X86" s="25">
        <f>'Standing charge factors'!X49</f>
        <v>0</v>
      </c>
      <c r="Y86" s="25">
        <f>'Standing charge factors'!Y49</f>
        <v>0</v>
      </c>
      <c r="Z86" s="25">
        <f>'Standing charge factors'!Z49</f>
        <v>0</v>
      </c>
      <c r="AA86" s="25">
        <f>'Standing charge factors'!AA49</f>
        <v>0</v>
      </c>
      <c r="AB86" s="25">
        <f>'Standing charge factors'!AB49</f>
        <v>0</v>
      </c>
      <c r="AC86" s="25">
        <f>'Standing charge factors'!AC49</f>
        <v>0</v>
      </c>
      <c r="AD86" s="25">
        <f>'Standing charge factors'!AD49</f>
        <v>0</v>
      </c>
      <c r="AE86" s="25">
        <f>'Standing charge factors'!AE49</f>
        <v>0</v>
      </c>
      <c r="AF86" s="25">
        <f>'Standing charge factors'!AF49</f>
        <v>0</v>
      </c>
      <c r="AG86" s="25">
        <f>'Standing charge factors'!AG49</f>
        <v>0</v>
      </c>
      <c r="AH86" s="25">
        <f>'Standing charge factors'!AH49</f>
        <v>0</v>
      </c>
      <c r="AI86" s="25">
        <f>'Standing charge factors'!AI49</f>
        <v>0</v>
      </c>
      <c r="AJ86" s="25">
        <f>'Standing charge factors'!AJ49</f>
        <v>0</v>
      </c>
      <c r="AK86" s="25">
        <f>'Standing charge factors'!AK49</f>
        <v>0</v>
      </c>
      <c r="AL86" s="25">
        <f>'Standing charge factors'!AL49</f>
        <v>0</v>
      </c>
      <c r="AM86" s="25">
        <f>'Standing charge factors'!AM49</f>
        <v>0</v>
      </c>
      <c r="AN86" s="25">
        <f>'Standing charge factors'!AN49</f>
        <v>0</v>
      </c>
      <c r="AO86" s="25">
        <f>'Standing charge factors'!AO49</f>
        <v>0</v>
      </c>
      <c r="AP86" s="25">
        <f>'Standing charge factors'!AP49</f>
        <v>0</v>
      </c>
      <c r="BG86" s="3"/>
    </row>
    <row r="87" spans="3:59" x14ac:dyDescent="0.25">
      <c r="C87" s="32"/>
      <c r="D87"/>
      <c r="E87" t="s">
        <v>233</v>
      </c>
      <c r="G87" t="s">
        <v>203</v>
      </c>
      <c r="H87" s="63"/>
      <c r="J87" s="25">
        <f>'Standing charge factors'!J50</f>
        <v>0</v>
      </c>
      <c r="K87" s="25">
        <f>'Standing charge factors'!K50</f>
        <v>0</v>
      </c>
      <c r="L87" s="25">
        <f>'Standing charge factors'!L50</f>
        <v>0</v>
      </c>
      <c r="M87" s="25">
        <f>'Standing charge factors'!M50</f>
        <v>0</v>
      </c>
      <c r="N87" s="25">
        <f>'Standing charge factors'!N50</f>
        <v>0</v>
      </c>
      <c r="O87" s="25">
        <f>'Standing charge factors'!O50</f>
        <v>0</v>
      </c>
      <c r="P87" s="25">
        <f>'Standing charge factors'!P50</f>
        <v>0</v>
      </c>
      <c r="Q87" s="25">
        <f>'Standing charge factors'!Q50</f>
        <v>0</v>
      </c>
      <c r="R87" s="25">
        <f>'Standing charge factors'!R50</f>
        <v>1</v>
      </c>
      <c r="S87" s="25">
        <f>'Standing charge factors'!S50</f>
        <v>0</v>
      </c>
      <c r="T87" s="25">
        <f>'Standing charge factors'!T50</f>
        <v>0</v>
      </c>
      <c r="U87" s="25">
        <f>'Standing charge factors'!U50</f>
        <v>0.2</v>
      </c>
      <c r="V87" s="25">
        <f>'Standing charge factors'!V50</f>
        <v>1</v>
      </c>
      <c r="W87" s="25">
        <f>'Standing charge factors'!W50</f>
        <v>1</v>
      </c>
      <c r="X87" s="25">
        <f>'Standing charge factors'!X50</f>
        <v>0</v>
      </c>
      <c r="Y87" s="25">
        <f>'Standing charge factors'!Y50</f>
        <v>0</v>
      </c>
      <c r="Z87" s="25">
        <f>'Standing charge factors'!Z50</f>
        <v>0</v>
      </c>
      <c r="AA87" s="25">
        <f>'Standing charge factors'!AA50</f>
        <v>0</v>
      </c>
      <c r="AB87" s="25">
        <f>'Standing charge factors'!AB50</f>
        <v>0</v>
      </c>
      <c r="AC87" s="25">
        <f>'Standing charge factors'!AC50</f>
        <v>0</v>
      </c>
      <c r="AD87" s="25">
        <f>'Standing charge factors'!AD50</f>
        <v>0</v>
      </c>
      <c r="AE87" s="25">
        <f>'Standing charge factors'!AE50</f>
        <v>0</v>
      </c>
      <c r="AF87" s="25">
        <f>'Standing charge factors'!AF50</f>
        <v>0</v>
      </c>
      <c r="AG87" s="25">
        <f>'Standing charge factors'!AG50</f>
        <v>0</v>
      </c>
      <c r="AH87" s="25">
        <f>'Standing charge factors'!AH50</f>
        <v>0</v>
      </c>
      <c r="AI87" s="25">
        <f>'Standing charge factors'!AI50</f>
        <v>0</v>
      </c>
      <c r="AJ87" s="25">
        <f>'Standing charge factors'!AJ50</f>
        <v>0</v>
      </c>
      <c r="AK87" s="25">
        <f>'Standing charge factors'!AK50</f>
        <v>0</v>
      </c>
      <c r="AL87" s="25">
        <f>'Standing charge factors'!AL50</f>
        <v>0</v>
      </c>
      <c r="AM87" s="25">
        <f>'Standing charge factors'!AM50</f>
        <v>0</v>
      </c>
      <c r="AN87" s="25">
        <f>'Standing charge factors'!AN50</f>
        <v>0</v>
      </c>
      <c r="AO87" s="25">
        <f>'Standing charge factors'!AO50</f>
        <v>0</v>
      </c>
      <c r="AP87" s="25">
        <f>'Standing charge factors'!AP50</f>
        <v>0</v>
      </c>
      <c r="BG87" s="3"/>
    </row>
    <row r="88" spans="3:59" x14ac:dyDescent="0.25">
      <c r="C88" s="32"/>
      <c r="D88"/>
      <c r="E88" t="s">
        <v>234</v>
      </c>
      <c r="G88" t="s">
        <v>203</v>
      </c>
      <c r="H88" s="63"/>
      <c r="J88" s="25">
        <f>'Standing charge factors'!J51</f>
        <v>0</v>
      </c>
      <c r="K88" s="25">
        <f>'Standing charge factors'!K51</f>
        <v>0</v>
      </c>
      <c r="L88" s="25">
        <f>'Standing charge factors'!L51</f>
        <v>0</v>
      </c>
      <c r="M88" s="25">
        <f>'Standing charge factors'!M51</f>
        <v>0</v>
      </c>
      <c r="N88" s="25">
        <f>'Standing charge factors'!N51</f>
        <v>0</v>
      </c>
      <c r="O88" s="25">
        <f>'Standing charge factors'!O51</f>
        <v>0</v>
      </c>
      <c r="P88" s="25">
        <f>'Standing charge factors'!P51</f>
        <v>0</v>
      </c>
      <c r="Q88" s="25">
        <f>'Standing charge factors'!Q51</f>
        <v>1</v>
      </c>
      <c r="R88" s="25">
        <f>'Standing charge factors'!R51</f>
        <v>0</v>
      </c>
      <c r="S88" s="25">
        <f>'Standing charge factors'!S51</f>
        <v>0</v>
      </c>
      <c r="T88" s="25">
        <f>'Standing charge factors'!T51</f>
        <v>0</v>
      </c>
      <c r="U88" s="25">
        <f>'Standing charge factors'!U51</f>
        <v>1</v>
      </c>
      <c r="V88" s="25">
        <f>'Standing charge factors'!V51</f>
        <v>1</v>
      </c>
      <c r="W88" s="25">
        <f>'Standing charge factors'!W51</f>
        <v>0</v>
      </c>
      <c r="X88" s="25">
        <f>'Standing charge factors'!X51</f>
        <v>0</v>
      </c>
      <c r="Y88" s="25">
        <f>'Standing charge factors'!Y51</f>
        <v>0</v>
      </c>
      <c r="Z88" s="25">
        <f>'Standing charge factors'!Z51</f>
        <v>0</v>
      </c>
      <c r="AA88" s="25">
        <f>'Standing charge factors'!AA51</f>
        <v>0</v>
      </c>
      <c r="AB88" s="25">
        <f>'Standing charge factors'!AB51</f>
        <v>0</v>
      </c>
      <c r="AC88" s="25">
        <f>'Standing charge factors'!AC51</f>
        <v>0</v>
      </c>
      <c r="AD88" s="25">
        <f>'Standing charge factors'!AD51</f>
        <v>0</v>
      </c>
      <c r="AE88" s="25">
        <f>'Standing charge factors'!AE51</f>
        <v>0</v>
      </c>
      <c r="AF88" s="25">
        <f>'Standing charge factors'!AF51</f>
        <v>0</v>
      </c>
      <c r="AG88" s="25">
        <f>'Standing charge factors'!AG51</f>
        <v>0</v>
      </c>
      <c r="AH88" s="25">
        <f>'Standing charge factors'!AH51</f>
        <v>0</v>
      </c>
      <c r="AI88" s="25">
        <f>'Standing charge factors'!AI51</f>
        <v>0</v>
      </c>
      <c r="AJ88" s="25">
        <f>'Standing charge factors'!AJ51</f>
        <v>0</v>
      </c>
      <c r="AK88" s="25">
        <f>'Standing charge factors'!AK51</f>
        <v>0</v>
      </c>
      <c r="AL88" s="25">
        <f>'Standing charge factors'!AL51</f>
        <v>0</v>
      </c>
      <c r="AM88" s="25">
        <f>'Standing charge factors'!AM51</f>
        <v>0</v>
      </c>
      <c r="AN88" s="25">
        <f>'Standing charge factors'!AN51</f>
        <v>0</v>
      </c>
      <c r="AO88" s="25">
        <f>'Standing charge factors'!AO51</f>
        <v>0</v>
      </c>
      <c r="AP88" s="25">
        <f>'Standing charge factors'!AP51</f>
        <v>0</v>
      </c>
      <c r="BG88" s="3"/>
    </row>
    <row r="89" spans="3:59" x14ac:dyDescent="0.25">
      <c r="C89" s="32"/>
      <c r="D89"/>
      <c r="E89" s="37" t="s">
        <v>235</v>
      </c>
      <c r="F89" s="37"/>
      <c r="G89" s="37" t="s">
        <v>203</v>
      </c>
      <c r="H89" s="133"/>
      <c r="I89" s="37"/>
      <c r="J89" s="144">
        <f>'Standing charge factors'!J52</f>
        <v>1</v>
      </c>
      <c r="K89" s="144">
        <f>'Standing charge factors'!K52</f>
        <v>1</v>
      </c>
      <c r="L89" s="144">
        <f>'Standing charge factors'!L52</f>
        <v>1</v>
      </c>
      <c r="M89" s="144">
        <f>'Standing charge factors'!M52</f>
        <v>1</v>
      </c>
      <c r="N89" s="144">
        <f>'Standing charge factors'!N52</f>
        <v>1</v>
      </c>
      <c r="O89" s="144">
        <f>'Standing charge factors'!O52</f>
        <v>1</v>
      </c>
      <c r="P89" s="144">
        <f>'Standing charge factors'!P52</f>
        <v>1</v>
      </c>
      <c r="Q89" s="144">
        <f>'Standing charge factors'!Q52</f>
        <v>0</v>
      </c>
      <c r="R89" s="144">
        <f>'Standing charge factors'!R52</f>
        <v>0</v>
      </c>
      <c r="S89" s="144">
        <f>'Standing charge factors'!S52</f>
        <v>1</v>
      </c>
      <c r="T89" s="144">
        <f>'Standing charge factors'!T52</f>
        <v>1</v>
      </c>
      <c r="U89" s="144">
        <f>'Standing charge factors'!U52</f>
        <v>1</v>
      </c>
      <c r="V89" s="144">
        <f>'Standing charge factors'!V52</f>
        <v>0</v>
      </c>
      <c r="W89" s="144">
        <f>'Standing charge factors'!W52</f>
        <v>0</v>
      </c>
      <c r="X89" s="144">
        <f>'Standing charge factors'!X52</f>
        <v>0</v>
      </c>
      <c r="Y89" s="144">
        <f>'Standing charge factors'!Y52</f>
        <v>0</v>
      </c>
      <c r="Z89" s="144">
        <f>'Standing charge factors'!Z52</f>
        <v>0</v>
      </c>
      <c r="AA89" s="144">
        <f>'Standing charge factors'!AA52</f>
        <v>0</v>
      </c>
      <c r="AB89" s="144">
        <f>'Standing charge factors'!AB52</f>
        <v>0</v>
      </c>
      <c r="AC89" s="144">
        <f>'Standing charge factors'!AC52</f>
        <v>0</v>
      </c>
      <c r="AD89" s="144">
        <f>'Standing charge factors'!AD52</f>
        <v>0</v>
      </c>
      <c r="AE89" s="144">
        <f>'Standing charge factors'!AE52</f>
        <v>0</v>
      </c>
      <c r="AF89" s="144">
        <f>'Standing charge factors'!AF52</f>
        <v>0</v>
      </c>
      <c r="AG89" s="144">
        <f>'Standing charge factors'!AG52</f>
        <v>0</v>
      </c>
      <c r="AH89" s="144">
        <f>'Standing charge factors'!AH52</f>
        <v>0</v>
      </c>
      <c r="AI89" s="144">
        <f>'Standing charge factors'!AI52</f>
        <v>0</v>
      </c>
      <c r="AJ89" s="144">
        <f>'Standing charge factors'!AJ52</f>
        <v>0</v>
      </c>
      <c r="AK89" s="144">
        <f>'Standing charge factors'!AK52</f>
        <v>0</v>
      </c>
      <c r="AL89" s="144">
        <f>'Standing charge factors'!AL52</f>
        <v>0</v>
      </c>
      <c r="AM89" s="144">
        <f>'Standing charge factors'!AM52</f>
        <v>0</v>
      </c>
      <c r="AN89" s="144">
        <f>'Standing charge factors'!AN52</f>
        <v>0</v>
      </c>
      <c r="AO89" s="144">
        <f>'Standing charge factors'!AO52</f>
        <v>0</v>
      </c>
      <c r="AP89" s="144">
        <f>'Standing charge factors'!AP52</f>
        <v>0</v>
      </c>
      <c r="BG89" s="3"/>
    </row>
    <row r="90" spans="3:59" x14ac:dyDescent="0.25">
      <c r="C90" s="91"/>
    </row>
    <row r="91" spans="3:59" x14ac:dyDescent="0.25">
      <c r="D91" s="32" t="s">
        <v>464</v>
      </c>
      <c r="E91" s="32"/>
      <c r="I91" t="s">
        <v>190</v>
      </c>
      <c r="AR91" t="s">
        <v>799</v>
      </c>
    </row>
    <row r="92" spans="3:59" x14ac:dyDescent="0.25">
      <c r="D92" s="29" t="s">
        <v>461</v>
      </c>
      <c r="E92"/>
      <c r="AR92" s="229"/>
    </row>
    <row r="93" spans="3:59" x14ac:dyDescent="0.25">
      <c r="D93"/>
      <c r="E93" s="23" t="s">
        <v>225</v>
      </c>
      <c r="F93" s="23"/>
      <c r="G93" s="64" t="s">
        <v>342</v>
      </c>
      <c r="H93" s="23"/>
      <c r="I93" s="23"/>
      <c r="J93" s="83"/>
      <c r="K93" s="83"/>
      <c r="L93" s="83"/>
      <c r="M93" s="83"/>
      <c r="N93" s="83"/>
      <c r="O93" s="83"/>
      <c r="P93" s="83"/>
      <c r="Q93" s="83"/>
      <c r="R93" s="83"/>
      <c r="S93" s="83"/>
      <c r="T93" s="83"/>
      <c r="U93" s="83"/>
      <c r="V93" s="83"/>
      <c r="W93" s="83"/>
      <c r="X93" s="83"/>
      <c r="Y93" s="83"/>
      <c r="Z93" s="83"/>
      <c r="AA93" s="83"/>
      <c r="AB93" s="83"/>
      <c r="AC93" s="127">
        <f t="array" ref="AC93:AP102">TRANSPOSE('Load &amp; loss characteristics'!J285:S298)</f>
        <v>-1.0900000000000001</v>
      </c>
      <c r="AD93" s="127">
        <v>-1.0569999999999999</v>
      </c>
      <c r="AE93" s="127">
        <v>-1.0900000000000001</v>
      </c>
      <c r="AF93" s="127">
        <v>-1.0900000000000001</v>
      </c>
      <c r="AG93" s="127">
        <v>-1.0900000000000001</v>
      </c>
      <c r="AH93" s="127">
        <v>-1.0900000000000001</v>
      </c>
      <c r="AI93" s="127">
        <v>-1.0569999999999999</v>
      </c>
      <c r="AJ93" s="127">
        <v>-1.0569999999999999</v>
      </c>
      <c r="AK93" s="127">
        <v>-1.0569999999999999</v>
      </c>
      <c r="AL93" s="127">
        <v>-1.0569999999999999</v>
      </c>
      <c r="AM93" s="127">
        <v>-1.0349999999999999</v>
      </c>
      <c r="AN93" s="127">
        <v>-1.0349999999999999</v>
      </c>
      <c r="AO93" s="127">
        <v>-1.0349999999999999</v>
      </c>
      <c r="AP93" s="127">
        <v>-1.0349999999999999</v>
      </c>
    </row>
    <row r="94" spans="3:59" x14ac:dyDescent="0.25">
      <c r="D94"/>
      <c r="E94" t="s">
        <v>227</v>
      </c>
      <c r="G94" s="28" t="s">
        <v>342</v>
      </c>
      <c r="J94" s="79"/>
      <c r="K94" s="79"/>
      <c r="L94" s="79"/>
      <c r="M94" s="79"/>
      <c r="N94" s="79"/>
      <c r="O94" s="79"/>
      <c r="P94" s="79"/>
      <c r="Q94" s="79"/>
      <c r="R94" s="79"/>
      <c r="S94" s="79"/>
      <c r="T94" s="79"/>
      <c r="U94" s="79"/>
      <c r="V94" s="79"/>
      <c r="W94" s="79"/>
      <c r="X94" s="79"/>
      <c r="Y94" s="79"/>
      <c r="Z94" s="79"/>
      <c r="AA94" s="79"/>
      <c r="AB94" s="79"/>
      <c r="AC94" s="123">
        <v>-1.0900000000000001</v>
      </c>
      <c r="AD94" s="123">
        <v>-1.0569999999999999</v>
      </c>
      <c r="AE94" s="123">
        <v>-1.0900000000000001</v>
      </c>
      <c r="AF94" s="123">
        <v>-1.0900000000000001</v>
      </c>
      <c r="AG94" s="123">
        <v>-1.0900000000000001</v>
      </c>
      <c r="AH94" s="123">
        <v>-1.0900000000000001</v>
      </c>
      <c r="AI94" s="123">
        <v>-1.0569999999999999</v>
      </c>
      <c r="AJ94" s="123">
        <v>-1.0569999999999999</v>
      </c>
      <c r="AK94" s="123">
        <v>-1.0569999999999999</v>
      </c>
      <c r="AL94" s="123">
        <v>-1.0569999999999999</v>
      </c>
      <c r="AM94" s="123">
        <v>-1.0349999999999999</v>
      </c>
      <c r="AN94" s="123">
        <v>-1.0349999999999999</v>
      </c>
      <c r="AO94" s="123">
        <v>-1.0349999999999999</v>
      </c>
      <c r="AP94" s="123">
        <v>-1.0349999999999999</v>
      </c>
    </row>
    <row r="95" spans="3:59" x14ac:dyDescent="0.25">
      <c r="D95"/>
      <c r="E95" t="s">
        <v>228</v>
      </c>
      <c r="G95" s="28" t="s">
        <v>342</v>
      </c>
      <c r="J95" s="79"/>
      <c r="K95" s="79"/>
      <c r="L95" s="79"/>
      <c r="M95" s="79"/>
      <c r="N95" s="79"/>
      <c r="O95" s="79"/>
      <c r="P95" s="79"/>
      <c r="Q95" s="79"/>
      <c r="R95" s="79"/>
      <c r="S95" s="79"/>
      <c r="T95" s="79"/>
      <c r="U95" s="79"/>
      <c r="V95" s="79"/>
      <c r="W95" s="79"/>
      <c r="X95" s="79"/>
      <c r="Y95" s="79"/>
      <c r="Z95" s="79"/>
      <c r="AA95" s="79"/>
      <c r="AB95" s="79"/>
      <c r="AC95" s="123">
        <v>-1.0900000000000001</v>
      </c>
      <c r="AD95" s="123">
        <v>-1.0569999999999999</v>
      </c>
      <c r="AE95" s="123">
        <v>-1.0900000000000001</v>
      </c>
      <c r="AF95" s="123">
        <v>-1.0900000000000001</v>
      </c>
      <c r="AG95" s="123">
        <v>-1.0900000000000001</v>
      </c>
      <c r="AH95" s="123">
        <v>-1.0900000000000001</v>
      </c>
      <c r="AI95" s="123">
        <v>-1.0569999999999999</v>
      </c>
      <c r="AJ95" s="123">
        <v>-1.0569999999999999</v>
      </c>
      <c r="AK95" s="123">
        <v>-1.0569999999999999</v>
      </c>
      <c r="AL95" s="123">
        <v>-1.0569999999999999</v>
      </c>
      <c r="AM95" s="123">
        <v>-1.0349999999999999</v>
      </c>
      <c r="AN95" s="123">
        <v>-1.0349999999999999</v>
      </c>
      <c r="AO95" s="123">
        <v>-1.0349999999999999</v>
      </c>
      <c r="AP95" s="123">
        <v>-1.0349999999999999</v>
      </c>
    </row>
    <row r="96" spans="3:59" x14ac:dyDescent="0.25">
      <c r="D96"/>
      <c r="E96" t="s">
        <v>229</v>
      </c>
      <c r="G96" s="28" t="s">
        <v>342</v>
      </c>
      <c r="J96" s="79"/>
      <c r="K96" s="79"/>
      <c r="L96" s="79"/>
      <c r="M96" s="79"/>
      <c r="N96" s="79"/>
      <c r="O96" s="79"/>
      <c r="P96" s="79"/>
      <c r="Q96" s="79"/>
      <c r="R96" s="79"/>
      <c r="S96" s="79"/>
      <c r="T96" s="79"/>
      <c r="U96" s="79"/>
      <c r="V96" s="79"/>
      <c r="W96" s="79"/>
      <c r="X96" s="79"/>
      <c r="Y96" s="79"/>
      <c r="Z96" s="79"/>
      <c r="AA96" s="79"/>
      <c r="AB96" s="79"/>
      <c r="AC96" s="123">
        <v>-1.0900000000000001</v>
      </c>
      <c r="AD96" s="123">
        <v>-1.0569999999999999</v>
      </c>
      <c r="AE96" s="123">
        <v>-1.0900000000000001</v>
      </c>
      <c r="AF96" s="123">
        <v>-1.0900000000000001</v>
      </c>
      <c r="AG96" s="123">
        <v>-1.0900000000000001</v>
      </c>
      <c r="AH96" s="123">
        <v>-1.0900000000000001</v>
      </c>
      <c r="AI96" s="123">
        <v>-1.0569999999999999</v>
      </c>
      <c r="AJ96" s="123">
        <v>-1.0569999999999999</v>
      </c>
      <c r="AK96" s="123">
        <v>-1.0569999999999999</v>
      </c>
      <c r="AL96" s="123">
        <v>-1.0569999999999999</v>
      </c>
      <c r="AM96" s="123">
        <v>-1.0349999999999999</v>
      </c>
      <c r="AN96" s="123">
        <v>-1.0349999999999999</v>
      </c>
      <c r="AO96" s="123">
        <v>-1.0349999999999999</v>
      </c>
      <c r="AP96" s="123">
        <v>-1.0349999999999999</v>
      </c>
    </row>
    <row r="97" spans="3:42" x14ac:dyDescent="0.25">
      <c r="D97"/>
      <c r="E97" t="s">
        <v>230</v>
      </c>
      <c r="G97" s="28" t="s">
        <v>342</v>
      </c>
      <c r="J97" s="79"/>
      <c r="K97" s="79"/>
      <c r="L97" s="79"/>
      <c r="M97" s="79"/>
      <c r="N97" s="79"/>
      <c r="O97" s="79"/>
      <c r="P97" s="79"/>
      <c r="Q97" s="79"/>
      <c r="R97" s="79"/>
      <c r="S97" s="79"/>
      <c r="T97" s="79"/>
      <c r="U97" s="79"/>
      <c r="V97" s="79"/>
      <c r="W97" s="79"/>
      <c r="X97" s="79"/>
      <c r="Y97" s="79"/>
      <c r="Z97" s="79"/>
      <c r="AA97" s="79"/>
      <c r="AB97" s="79"/>
      <c r="AC97" s="123">
        <v>-1.0900000000000001</v>
      </c>
      <c r="AD97" s="123">
        <v>-1.0569999999999999</v>
      </c>
      <c r="AE97" s="123">
        <v>-1.0900000000000001</v>
      </c>
      <c r="AF97" s="123">
        <v>-1.0900000000000001</v>
      </c>
      <c r="AG97" s="123">
        <v>-1.0900000000000001</v>
      </c>
      <c r="AH97" s="123">
        <v>-1.0900000000000001</v>
      </c>
      <c r="AI97" s="123">
        <v>-1.0569999999999999</v>
      </c>
      <c r="AJ97" s="123">
        <v>-1.0569999999999999</v>
      </c>
      <c r="AK97" s="123">
        <v>-1.0569999999999999</v>
      </c>
      <c r="AL97" s="123">
        <v>-1.0569999999999999</v>
      </c>
      <c r="AM97" s="123">
        <v>-1.0349999999999999</v>
      </c>
      <c r="AN97" s="123">
        <v>-1.0349999999999999</v>
      </c>
      <c r="AO97" s="123">
        <v>-1.0349999999999999</v>
      </c>
      <c r="AP97" s="123">
        <v>-1.0349999999999999</v>
      </c>
    </row>
    <row r="98" spans="3:42" x14ac:dyDescent="0.25">
      <c r="D98"/>
      <c r="E98" t="s">
        <v>231</v>
      </c>
      <c r="G98" s="28" t="s">
        <v>342</v>
      </c>
      <c r="J98" s="79"/>
      <c r="K98" s="79"/>
      <c r="L98" s="79"/>
      <c r="M98" s="79"/>
      <c r="N98" s="79"/>
      <c r="O98" s="79"/>
      <c r="P98" s="79"/>
      <c r="Q98" s="79"/>
      <c r="R98" s="79"/>
      <c r="S98" s="79"/>
      <c r="T98" s="79"/>
      <c r="U98" s="79"/>
      <c r="V98" s="79"/>
      <c r="W98" s="79"/>
      <c r="X98" s="79"/>
      <c r="Y98" s="79"/>
      <c r="Z98" s="79"/>
      <c r="AA98" s="79"/>
      <c r="AB98" s="79"/>
      <c r="AC98" s="123">
        <v>-1.0900000000000001</v>
      </c>
      <c r="AD98" s="123">
        <v>-1.0569999999999999</v>
      </c>
      <c r="AE98" s="123">
        <v>-1.0900000000000001</v>
      </c>
      <c r="AF98" s="123">
        <v>-1.0900000000000001</v>
      </c>
      <c r="AG98" s="123">
        <v>-1.0900000000000001</v>
      </c>
      <c r="AH98" s="123">
        <v>-1.0900000000000001</v>
      </c>
      <c r="AI98" s="123">
        <v>-1.0569999999999999</v>
      </c>
      <c r="AJ98" s="123">
        <v>-1.0569999999999999</v>
      </c>
      <c r="AK98" s="123">
        <v>-1.0569999999999999</v>
      </c>
      <c r="AL98" s="123">
        <v>-1.0569999999999999</v>
      </c>
      <c r="AM98" s="123">
        <v>-1.0349999999999999</v>
      </c>
      <c r="AN98" s="123">
        <v>-1.0349999999999999</v>
      </c>
      <c r="AO98" s="123">
        <v>-1.0349999999999999</v>
      </c>
      <c r="AP98" s="123">
        <v>-1.0349999999999999</v>
      </c>
    </row>
    <row r="99" spans="3:42" x14ac:dyDescent="0.25">
      <c r="D99"/>
      <c r="E99" t="s">
        <v>232</v>
      </c>
      <c r="G99" s="28" t="s">
        <v>342</v>
      </c>
      <c r="J99" s="79"/>
      <c r="K99" s="79"/>
      <c r="L99" s="79"/>
      <c r="M99" s="79"/>
      <c r="N99" s="79"/>
      <c r="O99" s="79"/>
      <c r="P99" s="79"/>
      <c r="Q99" s="79"/>
      <c r="R99" s="79"/>
      <c r="S99" s="79"/>
      <c r="T99" s="79"/>
      <c r="U99" s="79"/>
      <c r="V99" s="79"/>
      <c r="W99" s="79"/>
      <c r="X99" s="79"/>
      <c r="Y99" s="79"/>
      <c r="Z99" s="79"/>
      <c r="AA99" s="79"/>
      <c r="AB99" s="79"/>
      <c r="AC99" s="123">
        <v>0</v>
      </c>
      <c r="AD99" s="123">
        <v>0</v>
      </c>
      <c r="AE99" s="123">
        <v>0</v>
      </c>
      <c r="AF99" s="123">
        <v>0</v>
      </c>
      <c r="AG99" s="123">
        <v>0</v>
      </c>
      <c r="AH99" s="123">
        <v>0</v>
      </c>
      <c r="AI99" s="123">
        <v>0</v>
      </c>
      <c r="AJ99" s="123">
        <v>0</v>
      </c>
      <c r="AK99" s="123">
        <v>0</v>
      </c>
      <c r="AL99" s="123">
        <v>0</v>
      </c>
      <c r="AM99" s="123">
        <v>0</v>
      </c>
      <c r="AN99" s="123">
        <v>0</v>
      </c>
      <c r="AO99" s="123">
        <v>0</v>
      </c>
      <c r="AP99" s="123">
        <v>0</v>
      </c>
    </row>
    <row r="100" spans="3:42" x14ac:dyDescent="0.25">
      <c r="D100"/>
      <c r="E100" t="s">
        <v>233</v>
      </c>
      <c r="G100" s="28" t="s">
        <v>342</v>
      </c>
      <c r="J100" s="79"/>
      <c r="K100" s="79"/>
      <c r="L100" s="79"/>
      <c r="M100" s="79"/>
      <c r="N100" s="79"/>
      <c r="O100" s="79"/>
      <c r="P100" s="79"/>
      <c r="Q100" s="79"/>
      <c r="R100" s="79"/>
      <c r="S100" s="79"/>
      <c r="T100" s="79"/>
      <c r="U100" s="79"/>
      <c r="V100" s="79"/>
      <c r="W100" s="79"/>
      <c r="X100" s="79"/>
      <c r="Y100" s="79"/>
      <c r="Z100" s="79"/>
      <c r="AA100" s="79"/>
      <c r="AB100" s="79"/>
      <c r="AC100" s="123">
        <v>-1.0900000000000001</v>
      </c>
      <c r="AD100" s="123">
        <v>-1.0569999999999999</v>
      </c>
      <c r="AE100" s="123">
        <v>-1.0900000000000001</v>
      </c>
      <c r="AF100" s="123">
        <v>-1.0900000000000001</v>
      </c>
      <c r="AG100" s="123">
        <v>-1.0900000000000001</v>
      </c>
      <c r="AH100" s="123">
        <v>-1.0900000000000001</v>
      </c>
      <c r="AI100" s="123">
        <v>-1.0569999999999999</v>
      </c>
      <c r="AJ100" s="123">
        <v>-1.0569999999999999</v>
      </c>
      <c r="AK100" s="123">
        <v>-1.0569999999999999</v>
      </c>
      <c r="AL100" s="123">
        <v>-1.0569999999999999</v>
      </c>
      <c r="AM100" s="123">
        <v>-1.0349999999999999</v>
      </c>
      <c r="AN100" s="123">
        <v>-1.0349999999999999</v>
      </c>
      <c r="AO100" s="123">
        <v>-1.0349999999999999</v>
      </c>
      <c r="AP100" s="123">
        <v>-1.0349999999999999</v>
      </c>
    </row>
    <row r="101" spans="3:42" x14ac:dyDescent="0.25">
      <c r="D101"/>
      <c r="E101" t="s">
        <v>234</v>
      </c>
      <c r="G101" s="28" t="s">
        <v>342</v>
      </c>
      <c r="J101" s="79"/>
      <c r="K101" s="79"/>
      <c r="L101" s="79"/>
      <c r="M101" s="79"/>
      <c r="N101" s="79"/>
      <c r="O101" s="79"/>
      <c r="P101" s="79"/>
      <c r="Q101" s="79"/>
      <c r="R101" s="79"/>
      <c r="S101" s="79"/>
      <c r="T101" s="79"/>
      <c r="U101" s="79"/>
      <c r="V101" s="79"/>
      <c r="W101" s="79"/>
      <c r="X101" s="79"/>
      <c r="Y101" s="79"/>
      <c r="Z101" s="79"/>
      <c r="AA101" s="79"/>
      <c r="AB101" s="79"/>
      <c r="AC101" s="123">
        <v>-1.0900000000000001</v>
      </c>
      <c r="AD101" s="123">
        <v>-1.0569999999999999</v>
      </c>
      <c r="AE101" s="123">
        <v>-1.0900000000000001</v>
      </c>
      <c r="AF101" s="123">
        <v>-1.0900000000000001</v>
      </c>
      <c r="AG101" s="123">
        <v>-1.0900000000000001</v>
      </c>
      <c r="AH101" s="123">
        <v>-1.0900000000000001</v>
      </c>
      <c r="AI101" s="123">
        <v>-1.0569999999999999</v>
      </c>
      <c r="AJ101" s="123">
        <v>-1.0569999999999999</v>
      </c>
      <c r="AK101" s="123">
        <v>-1.0569999999999999</v>
      </c>
      <c r="AL101" s="123">
        <v>-1.0569999999999999</v>
      </c>
      <c r="AM101" s="123">
        <v>0</v>
      </c>
      <c r="AN101" s="123">
        <v>0</v>
      </c>
      <c r="AO101" s="123">
        <v>0</v>
      </c>
      <c r="AP101" s="123">
        <v>0</v>
      </c>
    </row>
    <row r="102" spans="3:42" x14ac:dyDescent="0.25">
      <c r="D102"/>
      <c r="E102" t="s">
        <v>235</v>
      </c>
      <c r="G102" s="28" t="s">
        <v>342</v>
      </c>
      <c r="J102" s="79"/>
      <c r="K102" s="79"/>
      <c r="L102" s="79"/>
      <c r="M102" s="79"/>
      <c r="N102" s="79"/>
      <c r="O102" s="79"/>
      <c r="P102" s="79"/>
      <c r="Q102" s="79"/>
      <c r="R102" s="79"/>
      <c r="S102" s="79"/>
      <c r="T102" s="79"/>
      <c r="U102" s="79"/>
      <c r="V102" s="79"/>
      <c r="W102" s="79"/>
      <c r="X102" s="79"/>
      <c r="Y102" s="79"/>
      <c r="Z102" s="79"/>
      <c r="AA102" s="79"/>
      <c r="AB102" s="79"/>
      <c r="AC102" s="123">
        <v>-1.0900000000000001</v>
      </c>
      <c r="AD102" s="123">
        <v>0</v>
      </c>
      <c r="AE102" s="123">
        <v>-1.0900000000000001</v>
      </c>
      <c r="AF102" s="123">
        <v>-1.0900000000000001</v>
      </c>
      <c r="AG102" s="123">
        <v>-1.0900000000000001</v>
      </c>
      <c r="AH102" s="123">
        <v>-1.0900000000000001</v>
      </c>
      <c r="AI102" s="123">
        <v>0</v>
      </c>
      <c r="AJ102" s="123">
        <v>0</v>
      </c>
      <c r="AK102" s="123">
        <v>0</v>
      </c>
      <c r="AL102" s="123">
        <v>0</v>
      </c>
      <c r="AM102" s="123">
        <v>0</v>
      </c>
      <c r="AN102" s="123">
        <v>0</v>
      </c>
      <c r="AO102" s="123">
        <v>0</v>
      </c>
      <c r="AP102" s="123">
        <v>0</v>
      </c>
    </row>
    <row r="103" spans="3:42" x14ac:dyDescent="0.25">
      <c r="D103"/>
      <c r="E103" t="s">
        <v>436</v>
      </c>
      <c r="G103" s="28" t="s">
        <v>342</v>
      </c>
      <c r="J103" s="79"/>
      <c r="K103" s="79"/>
      <c r="L103" s="79"/>
      <c r="M103" s="79"/>
      <c r="N103" s="79"/>
      <c r="O103" s="79"/>
      <c r="P103" s="79"/>
      <c r="Q103" s="79"/>
      <c r="R103" s="79"/>
      <c r="S103" s="79"/>
      <c r="T103" s="79"/>
      <c r="U103" s="79"/>
      <c r="V103" s="79"/>
      <c r="W103" s="79"/>
      <c r="X103" s="79"/>
      <c r="Y103" s="79"/>
      <c r="Z103" s="79"/>
      <c r="AA103" s="79"/>
      <c r="AB103" s="79"/>
      <c r="AC103" s="79"/>
      <c r="AD103" s="79"/>
      <c r="AE103" s="79"/>
      <c r="AF103" s="79"/>
      <c r="AG103" s="79"/>
      <c r="AH103" s="79"/>
      <c r="AI103" s="79"/>
      <c r="AJ103" s="79"/>
      <c r="AK103" s="79"/>
      <c r="AL103" s="79"/>
      <c r="AM103" s="79"/>
      <c r="AN103" s="79"/>
      <c r="AO103" s="79"/>
      <c r="AP103" s="79"/>
    </row>
    <row r="104" spans="3:42" x14ac:dyDescent="0.25">
      <c r="D104"/>
      <c r="E104" s="37" t="s">
        <v>437</v>
      </c>
      <c r="F104" s="37"/>
      <c r="G104" s="67" t="s">
        <v>342</v>
      </c>
      <c r="H104" s="37"/>
      <c r="I104" s="37"/>
      <c r="J104" s="81"/>
      <c r="K104" s="81"/>
      <c r="L104" s="81"/>
      <c r="M104" s="81"/>
      <c r="N104" s="81"/>
      <c r="O104" s="81"/>
      <c r="P104" s="81"/>
      <c r="Q104" s="81"/>
      <c r="R104" s="81"/>
      <c r="S104" s="81"/>
      <c r="T104" s="81"/>
      <c r="U104" s="81"/>
      <c r="V104" s="81"/>
      <c r="W104" s="81"/>
      <c r="X104" s="81"/>
      <c r="Y104" s="81"/>
      <c r="Z104" s="81"/>
      <c r="AA104" s="81"/>
      <c r="AB104" s="81"/>
      <c r="AC104" s="81"/>
      <c r="AD104" s="81"/>
      <c r="AE104" s="81"/>
      <c r="AF104" s="81"/>
      <c r="AG104" s="81"/>
      <c r="AH104" s="81"/>
      <c r="AI104" s="81"/>
      <c r="AJ104" s="81"/>
      <c r="AK104" s="81"/>
      <c r="AL104" s="81"/>
      <c r="AM104" s="81"/>
      <c r="AN104" s="81"/>
      <c r="AO104" s="81"/>
      <c r="AP104" s="81"/>
    </row>
    <row r="105" spans="3:42" x14ac:dyDescent="0.25">
      <c r="C105" s="91"/>
    </row>
    <row r="106" spans="3:42" x14ac:dyDescent="0.25">
      <c r="D106" s="32" t="s">
        <v>476</v>
      </c>
      <c r="E106"/>
    </row>
    <row r="107" spans="3:42" x14ac:dyDescent="0.25">
      <c r="C107" s="91"/>
      <c r="E107" s="23" t="s">
        <v>225</v>
      </c>
      <c r="F107" s="23"/>
      <c r="G107" s="23" t="s">
        <v>203</v>
      </c>
      <c r="H107" s="23"/>
      <c r="I107" s="23"/>
      <c r="J107" s="65"/>
      <c r="K107" s="65"/>
      <c r="L107" s="65"/>
      <c r="M107" s="65"/>
      <c r="N107" s="65"/>
      <c r="O107" s="65"/>
      <c r="P107" s="65"/>
      <c r="Q107" s="65"/>
      <c r="R107" s="65"/>
      <c r="S107" s="65"/>
      <c r="T107" s="65"/>
      <c r="U107" s="65"/>
      <c r="V107" s="65"/>
      <c r="W107" s="65"/>
      <c r="X107" s="65"/>
      <c r="Y107" s="65"/>
      <c r="Z107" s="65"/>
      <c r="AA107" s="65"/>
      <c r="AB107" s="65"/>
      <c r="AC107" s="65"/>
      <c r="AD107" s="65"/>
      <c r="AE107" s="65"/>
      <c r="AF107" s="65"/>
      <c r="AG107" s="65"/>
      <c r="AH107" s="65"/>
      <c r="AI107" s="65"/>
      <c r="AJ107" s="65"/>
      <c r="AK107" s="65"/>
      <c r="AL107" s="65"/>
      <c r="AM107" s="65"/>
      <c r="AN107" s="65"/>
      <c r="AO107" s="65"/>
      <c r="AP107" s="65"/>
    </row>
    <row r="108" spans="3:42" x14ac:dyDescent="0.25">
      <c r="C108" s="91"/>
      <c r="E108" t="s">
        <v>227</v>
      </c>
      <c r="G108" t="s">
        <v>203</v>
      </c>
      <c r="J108" s="66"/>
      <c r="K108" s="66"/>
      <c r="L108" s="66"/>
      <c r="M108" s="66"/>
      <c r="N108" s="66"/>
      <c r="O108" s="66"/>
      <c r="P108" s="66"/>
      <c r="Q108" s="66"/>
      <c r="R108" s="66"/>
      <c r="S108" s="66"/>
      <c r="T108" s="66"/>
      <c r="U108" s="66"/>
      <c r="V108" s="66"/>
      <c r="W108" s="66"/>
      <c r="X108" s="66"/>
      <c r="Y108" s="66"/>
      <c r="Z108" s="66"/>
      <c r="AA108" s="66"/>
      <c r="AB108" s="66"/>
      <c r="AC108" s="66"/>
      <c r="AD108" s="66"/>
      <c r="AE108" s="66"/>
      <c r="AF108" s="66"/>
      <c r="AG108" s="66"/>
      <c r="AH108" s="66"/>
      <c r="AI108" s="66"/>
      <c r="AJ108" s="66"/>
      <c r="AK108" s="66"/>
      <c r="AL108" s="66"/>
      <c r="AM108" s="66"/>
      <c r="AN108" s="66"/>
      <c r="AO108" s="66"/>
      <c r="AP108" s="66"/>
    </row>
    <row r="109" spans="3:42" x14ac:dyDescent="0.25">
      <c r="C109" s="91"/>
      <c r="E109" t="s">
        <v>228</v>
      </c>
      <c r="G109" t="s">
        <v>203</v>
      </c>
      <c r="J109" s="25">
        <f t="array" ref="J109:AP116">TRANSPOSE('Customer contributions'!L68:S100)</f>
        <v>0</v>
      </c>
      <c r="K109" s="25">
        <v>0</v>
      </c>
      <c r="L109" s="25">
        <v>0</v>
      </c>
      <c r="M109" s="25">
        <v>0</v>
      </c>
      <c r="N109" s="25">
        <v>0</v>
      </c>
      <c r="O109" s="25">
        <v>0</v>
      </c>
      <c r="P109" s="25">
        <v>0</v>
      </c>
      <c r="Q109" s="25">
        <v>0</v>
      </c>
      <c r="R109" s="25">
        <v>0</v>
      </c>
      <c r="S109" s="25">
        <v>0</v>
      </c>
      <c r="T109" s="25">
        <v>0</v>
      </c>
      <c r="U109" s="25">
        <v>0</v>
      </c>
      <c r="V109" s="25">
        <v>0</v>
      </c>
      <c r="W109" s="25">
        <v>0</v>
      </c>
      <c r="X109" s="25">
        <v>0</v>
      </c>
      <c r="Y109" s="25">
        <v>0</v>
      </c>
      <c r="Z109" s="25">
        <v>0</v>
      </c>
      <c r="AA109" s="25">
        <v>0</v>
      </c>
      <c r="AB109" s="25">
        <v>0</v>
      </c>
      <c r="AC109" s="25">
        <v>0</v>
      </c>
      <c r="AD109" s="25">
        <v>0</v>
      </c>
      <c r="AE109" s="25">
        <v>0</v>
      </c>
      <c r="AF109" s="25">
        <v>0</v>
      </c>
      <c r="AG109" s="25">
        <v>0</v>
      </c>
      <c r="AH109" s="25">
        <v>0</v>
      </c>
      <c r="AI109" s="25">
        <v>0</v>
      </c>
      <c r="AJ109" s="25">
        <v>0</v>
      </c>
      <c r="AK109" s="25">
        <v>0</v>
      </c>
      <c r="AL109" s="25">
        <v>0</v>
      </c>
      <c r="AM109" s="25">
        <v>0</v>
      </c>
      <c r="AN109" s="25">
        <v>0</v>
      </c>
      <c r="AO109" s="25">
        <v>0</v>
      </c>
      <c r="AP109" s="25">
        <v>0</v>
      </c>
    </row>
    <row r="110" spans="3:42" x14ac:dyDescent="0.25">
      <c r="C110" s="91"/>
      <c r="E110" t="s">
        <v>229</v>
      </c>
      <c r="G110" t="s">
        <v>203</v>
      </c>
      <c r="J110" s="25">
        <v>0</v>
      </c>
      <c r="K110" s="25">
        <v>0</v>
      </c>
      <c r="L110" s="25">
        <v>0</v>
      </c>
      <c r="M110" s="25">
        <v>0</v>
      </c>
      <c r="N110" s="25">
        <v>0</v>
      </c>
      <c r="O110" s="25">
        <v>0</v>
      </c>
      <c r="P110" s="25">
        <v>0</v>
      </c>
      <c r="Q110" s="25">
        <v>0</v>
      </c>
      <c r="R110" s="25">
        <v>0</v>
      </c>
      <c r="S110" s="25">
        <v>0</v>
      </c>
      <c r="T110" s="25">
        <v>0</v>
      </c>
      <c r="U110" s="25">
        <v>0</v>
      </c>
      <c r="V110" s="25">
        <v>0</v>
      </c>
      <c r="W110" s="25">
        <v>0</v>
      </c>
      <c r="X110" s="25">
        <v>0</v>
      </c>
      <c r="Y110" s="25">
        <v>0</v>
      </c>
      <c r="Z110" s="25">
        <v>0</v>
      </c>
      <c r="AA110" s="25">
        <v>0</v>
      </c>
      <c r="AB110" s="25">
        <v>0</v>
      </c>
      <c r="AC110" s="25">
        <v>0</v>
      </c>
      <c r="AD110" s="25">
        <v>0</v>
      </c>
      <c r="AE110" s="25">
        <v>0</v>
      </c>
      <c r="AF110" s="25">
        <v>0</v>
      </c>
      <c r="AG110" s="25">
        <v>0</v>
      </c>
      <c r="AH110" s="25">
        <v>0</v>
      </c>
      <c r="AI110" s="25">
        <v>0</v>
      </c>
      <c r="AJ110" s="25">
        <v>0</v>
      </c>
      <c r="AK110" s="25">
        <v>0</v>
      </c>
      <c r="AL110" s="25">
        <v>0</v>
      </c>
      <c r="AM110" s="25">
        <v>0</v>
      </c>
      <c r="AN110" s="25">
        <v>0</v>
      </c>
      <c r="AO110" s="25">
        <v>0</v>
      </c>
      <c r="AP110" s="25">
        <v>0</v>
      </c>
    </row>
    <row r="111" spans="3:42" x14ac:dyDescent="0.25">
      <c r="C111" s="91"/>
      <c r="E111" t="s">
        <v>230</v>
      </c>
      <c r="G111" t="s">
        <v>203</v>
      </c>
      <c r="J111" s="25">
        <v>6.4338235294117696E-3</v>
      </c>
      <c r="K111" s="25">
        <v>6.4338235294117696E-3</v>
      </c>
      <c r="L111" s="25">
        <v>6.4338235294117696E-3</v>
      </c>
      <c r="M111" s="25">
        <v>6.4338235294117696E-3</v>
      </c>
      <c r="N111" s="25">
        <v>6.4338235294117696E-3</v>
      </c>
      <c r="O111" s="25">
        <v>6.4338235294117696E-3</v>
      </c>
      <c r="P111" s="25">
        <v>6.4338235294117696E-3</v>
      </c>
      <c r="Q111" s="25">
        <v>6.4338235294117696E-3</v>
      </c>
      <c r="R111" s="25">
        <v>1.16978609625668E-2</v>
      </c>
      <c r="S111" s="25">
        <v>6.4338235294117696E-3</v>
      </c>
      <c r="T111" s="25">
        <v>6.4338235294117696E-3</v>
      </c>
      <c r="U111" s="25">
        <v>6.4338235294117696E-3</v>
      </c>
      <c r="V111" s="25">
        <v>6.4338235294117696E-3</v>
      </c>
      <c r="W111" s="25">
        <v>1.16978609625668E-2</v>
      </c>
      <c r="X111" s="25">
        <v>6.4338235294117696E-3</v>
      </c>
      <c r="Y111" s="25">
        <v>6.4338235294117696E-3</v>
      </c>
      <c r="Z111" s="25">
        <v>6.4338235294117696E-3</v>
      </c>
      <c r="AA111" s="25">
        <v>6.4338235294117696E-3</v>
      </c>
      <c r="AB111" s="25">
        <v>6.4338235294117696E-3</v>
      </c>
      <c r="AC111" s="25">
        <v>6.4338235294117696E-3</v>
      </c>
      <c r="AD111" s="25">
        <v>6.4338235294117696E-3</v>
      </c>
      <c r="AE111" s="25">
        <v>6.4338235294117696E-3</v>
      </c>
      <c r="AF111" s="25">
        <v>6.4338235294117696E-3</v>
      </c>
      <c r="AG111" s="25">
        <v>6.4338235294117696E-3</v>
      </c>
      <c r="AH111" s="25">
        <v>6.4338235294117696E-3</v>
      </c>
      <c r="AI111" s="25">
        <v>6.4338235294117696E-3</v>
      </c>
      <c r="AJ111" s="25">
        <v>6.4338235294117696E-3</v>
      </c>
      <c r="AK111" s="25">
        <v>6.4338235294117696E-3</v>
      </c>
      <c r="AL111" s="25">
        <v>6.4338235294117696E-3</v>
      </c>
      <c r="AM111" s="25">
        <v>1.16978609625668E-2</v>
      </c>
      <c r="AN111" s="25">
        <v>1.16978609625668E-2</v>
      </c>
      <c r="AO111" s="25">
        <v>1.16978609625668E-2</v>
      </c>
      <c r="AP111" s="25">
        <v>1.16978609625668E-2</v>
      </c>
    </row>
    <row r="112" spans="3:42" x14ac:dyDescent="0.25">
      <c r="C112" s="91"/>
      <c r="E112" t="s">
        <v>231</v>
      </c>
      <c r="G112" t="s">
        <v>203</v>
      </c>
      <c r="J112" s="25">
        <v>4.1617122473246101E-3</v>
      </c>
      <c r="K112" s="25">
        <v>4.1617122473246101E-3</v>
      </c>
      <c r="L112" s="25">
        <v>4.1617122473246101E-3</v>
      </c>
      <c r="M112" s="25">
        <v>4.1617122473246101E-3</v>
      </c>
      <c r="N112" s="25">
        <v>4.1617122473246101E-3</v>
      </c>
      <c r="O112" s="25">
        <v>4.1617122473246101E-3</v>
      </c>
      <c r="P112" s="25">
        <v>4.1617122473246101E-3</v>
      </c>
      <c r="Q112" s="25">
        <v>4.1617122473246101E-3</v>
      </c>
      <c r="R112" s="25">
        <v>7.56674954059021E-3</v>
      </c>
      <c r="S112" s="25">
        <v>4.1617122473246101E-3</v>
      </c>
      <c r="T112" s="25">
        <v>4.1617122473246101E-3</v>
      </c>
      <c r="U112" s="25">
        <v>4.1617122473246101E-3</v>
      </c>
      <c r="V112" s="25">
        <v>4.1617122473246101E-3</v>
      </c>
      <c r="W112" s="25">
        <v>7.56674954059021E-3</v>
      </c>
      <c r="X112" s="25">
        <v>4.1617122473246101E-3</v>
      </c>
      <c r="Y112" s="25">
        <v>4.1617122473246101E-3</v>
      </c>
      <c r="Z112" s="25">
        <v>4.1617122473246101E-3</v>
      </c>
      <c r="AA112" s="25">
        <v>4.1617122473246101E-3</v>
      </c>
      <c r="AB112" s="25">
        <v>4.1617122473246101E-3</v>
      </c>
      <c r="AC112" s="25">
        <v>4.1617122473246101E-3</v>
      </c>
      <c r="AD112" s="25">
        <v>4.1617122473246101E-3</v>
      </c>
      <c r="AE112" s="25">
        <v>4.1617122473246101E-3</v>
      </c>
      <c r="AF112" s="25">
        <v>4.1617122473246101E-3</v>
      </c>
      <c r="AG112" s="25">
        <v>4.1617122473246101E-3</v>
      </c>
      <c r="AH112" s="25">
        <v>4.1617122473246101E-3</v>
      </c>
      <c r="AI112" s="25">
        <v>4.1617122473246101E-3</v>
      </c>
      <c r="AJ112" s="25">
        <v>4.1617122473246101E-3</v>
      </c>
      <c r="AK112" s="25">
        <v>4.1617122473246101E-3</v>
      </c>
      <c r="AL112" s="25">
        <v>4.1617122473246101E-3</v>
      </c>
      <c r="AM112" s="25">
        <v>7.56674954059021E-3</v>
      </c>
      <c r="AN112" s="25">
        <v>7.56674954059021E-3</v>
      </c>
      <c r="AO112" s="25">
        <v>7.56674954059021E-3</v>
      </c>
      <c r="AP112" s="25">
        <v>7.56674954059021E-3</v>
      </c>
    </row>
    <row r="113" spans="3:44" x14ac:dyDescent="0.25">
      <c r="C113" s="91"/>
      <c r="E113" t="s">
        <v>232</v>
      </c>
      <c r="G113" t="s">
        <v>203</v>
      </c>
      <c r="J113" s="25">
        <v>0</v>
      </c>
      <c r="K113" s="25">
        <v>0</v>
      </c>
      <c r="L113" s="25">
        <v>0</v>
      </c>
      <c r="M113" s="25">
        <v>0</v>
      </c>
      <c r="N113" s="25">
        <v>0</v>
      </c>
      <c r="O113" s="25">
        <v>0</v>
      </c>
      <c r="P113" s="25">
        <v>0</v>
      </c>
      <c r="Q113" s="25">
        <v>0</v>
      </c>
      <c r="R113" s="25">
        <v>0</v>
      </c>
      <c r="S113" s="25">
        <v>0</v>
      </c>
      <c r="T113" s="25">
        <v>0</v>
      </c>
      <c r="U113" s="25">
        <v>0</v>
      </c>
      <c r="V113" s="25">
        <v>0</v>
      </c>
      <c r="W113" s="25">
        <v>0</v>
      </c>
      <c r="X113" s="25">
        <v>0</v>
      </c>
      <c r="Y113" s="25">
        <v>0</v>
      </c>
      <c r="Z113" s="25">
        <v>0</v>
      </c>
      <c r="AA113" s="25">
        <v>0</v>
      </c>
      <c r="AB113" s="25">
        <v>0</v>
      </c>
      <c r="AC113" s="25">
        <v>0</v>
      </c>
      <c r="AD113" s="25">
        <v>0</v>
      </c>
      <c r="AE113" s="25">
        <v>0</v>
      </c>
      <c r="AF113" s="25">
        <v>0</v>
      </c>
      <c r="AG113" s="25">
        <v>0</v>
      </c>
      <c r="AH113" s="25">
        <v>0</v>
      </c>
      <c r="AI113" s="25">
        <v>0</v>
      </c>
      <c r="AJ113" s="25">
        <v>0</v>
      </c>
      <c r="AK113" s="25">
        <v>0</v>
      </c>
      <c r="AL113" s="25">
        <v>0</v>
      </c>
      <c r="AM113" s="25">
        <v>0</v>
      </c>
      <c r="AN113" s="25">
        <v>0</v>
      </c>
      <c r="AO113" s="25">
        <v>0</v>
      </c>
      <c r="AP113" s="25">
        <v>0</v>
      </c>
    </row>
    <row r="114" spans="3:44" x14ac:dyDescent="0.25">
      <c r="C114" s="91"/>
      <c r="E114" t="s">
        <v>233</v>
      </c>
      <c r="G114" t="s">
        <v>203</v>
      </c>
      <c r="J114" s="25">
        <v>0.42522380337704002</v>
      </c>
      <c r="K114" s="25">
        <v>0.42522380337704002</v>
      </c>
      <c r="L114" s="25">
        <v>0.42522380337704002</v>
      </c>
      <c r="M114" s="25">
        <v>0.42522380337704002</v>
      </c>
      <c r="N114" s="25">
        <v>0.42522380337704002</v>
      </c>
      <c r="O114" s="25">
        <v>0.42522380337704002</v>
      </c>
      <c r="P114" s="25">
        <v>0.42522380337704002</v>
      </c>
      <c r="Q114" s="25">
        <v>0.42522380337704002</v>
      </c>
      <c r="R114" s="25">
        <v>0.38896884219615702</v>
      </c>
      <c r="S114" s="25">
        <v>0.42522380337704002</v>
      </c>
      <c r="T114" s="25">
        <v>0.42522380337704002</v>
      </c>
      <c r="U114" s="25">
        <v>0.42522380337704002</v>
      </c>
      <c r="V114" s="25">
        <v>0.42522380337704002</v>
      </c>
      <c r="W114" s="25">
        <v>0.38896884219615702</v>
      </c>
      <c r="X114" s="25">
        <v>0.42522380337704002</v>
      </c>
      <c r="Y114" s="25">
        <v>0.42522380337704002</v>
      </c>
      <c r="Z114" s="25">
        <v>0.42522380337704002</v>
      </c>
      <c r="AA114" s="25">
        <v>0.42522380337704002</v>
      </c>
      <c r="AB114" s="25">
        <v>0.42522380337704002</v>
      </c>
      <c r="AC114" s="25">
        <v>0.42522380337704002</v>
      </c>
      <c r="AD114" s="25">
        <v>0.42522380337704002</v>
      </c>
      <c r="AE114" s="25">
        <v>0.42522380337704002</v>
      </c>
      <c r="AF114" s="25">
        <v>0.42522380337704002</v>
      </c>
      <c r="AG114" s="25">
        <v>0.42522380337704002</v>
      </c>
      <c r="AH114" s="25">
        <v>0.42522380337704002</v>
      </c>
      <c r="AI114" s="25">
        <v>0.42522380337704002</v>
      </c>
      <c r="AJ114" s="25">
        <v>0.42522380337704002</v>
      </c>
      <c r="AK114" s="25">
        <v>0.42522380337704002</v>
      </c>
      <c r="AL114" s="25">
        <v>0.42522380337704002</v>
      </c>
      <c r="AM114" s="25">
        <v>0.38896884219615702</v>
      </c>
      <c r="AN114" s="25">
        <v>0.38896884219615702</v>
      </c>
      <c r="AO114" s="25">
        <v>0.38896884219615702</v>
      </c>
      <c r="AP114" s="25">
        <v>0.38896884219615702</v>
      </c>
    </row>
    <row r="115" spans="3:44" x14ac:dyDescent="0.25">
      <c r="C115" s="91"/>
      <c r="E115" t="s">
        <v>234</v>
      </c>
      <c r="G115" t="s">
        <v>203</v>
      </c>
      <c r="J115" s="25">
        <v>0.78260869565217395</v>
      </c>
      <c r="K115" s="25">
        <v>0.78260869565217395</v>
      </c>
      <c r="L115" s="25">
        <v>0.78260869565217395</v>
      </c>
      <c r="M115" s="25">
        <v>0.78260869565217395</v>
      </c>
      <c r="N115" s="25">
        <v>0.78260869565217395</v>
      </c>
      <c r="O115" s="25">
        <v>0.78260869565217395</v>
      </c>
      <c r="P115" s="25">
        <v>0.78260869565217395</v>
      </c>
      <c r="Q115" s="25">
        <v>0.78260869565217395</v>
      </c>
      <c r="R115" s="25">
        <v>0</v>
      </c>
      <c r="S115" s="25">
        <v>0.78260869565217395</v>
      </c>
      <c r="T115" s="25">
        <v>0.78260869565217395</v>
      </c>
      <c r="U115" s="25">
        <v>0.78260869565217395</v>
      </c>
      <c r="V115" s="25">
        <v>0.78260869565217395</v>
      </c>
      <c r="W115" s="25">
        <v>0</v>
      </c>
      <c r="X115" s="25">
        <v>0.78260869565217395</v>
      </c>
      <c r="Y115" s="25">
        <v>0.78260869565217395</v>
      </c>
      <c r="Z115" s="25">
        <v>0.78260869565217395</v>
      </c>
      <c r="AA115" s="25">
        <v>0.78260869565217395</v>
      </c>
      <c r="AB115" s="25">
        <v>0.78260869565217395</v>
      </c>
      <c r="AC115" s="25">
        <v>0.78260869565217395</v>
      </c>
      <c r="AD115" s="25">
        <v>0.78260869565217395</v>
      </c>
      <c r="AE115" s="25">
        <v>0.78260869565217395</v>
      </c>
      <c r="AF115" s="25">
        <v>0.78260869565217395</v>
      </c>
      <c r="AG115" s="25">
        <v>0.78260869565217395</v>
      </c>
      <c r="AH115" s="25">
        <v>0.78260869565217395</v>
      </c>
      <c r="AI115" s="25">
        <v>0.78260869565217395</v>
      </c>
      <c r="AJ115" s="25">
        <v>0.78260869565217395</v>
      </c>
      <c r="AK115" s="25">
        <v>0.78260869565217395</v>
      </c>
      <c r="AL115" s="25">
        <v>0.78260869565217395</v>
      </c>
      <c r="AM115" s="25">
        <v>0</v>
      </c>
      <c r="AN115" s="25">
        <v>0</v>
      </c>
      <c r="AO115" s="25">
        <v>0</v>
      </c>
      <c r="AP115" s="25">
        <v>0</v>
      </c>
    </row>
    <row r="116" spans="3:44" x14ac:dyDescent="0.25">
      <c r="C116" s="91"/>
      <c r="E116" t="s">
        <v>235</v>
      </c>
      <c r="G116" t="s">
        <v>203</v>
      </c>
      <c r="J116" s="25">
        <v>0.966742252456538</v>
      </c>
      <c r="K116" s="25">
        <v>0.966742252456538</v>
      </c>
      <c r="L116" s="25">
        <v>0.966742252456538</v>
      </c>
      <c r="M116" s="25">
        <v>0.966742252456538</v>
      </c>
      <c r="N116" s="25">
        <v>0.966742252456538</v>
      </c>
      <c r="O116" s="25">
        <v>0.966742252456538</v>
      </c>
      <c r="P116" s="25">
        <v>0.966742252456538</v>
      </c>
      <c r="Q116" s="25">
        <v>0</v>
      </c>
      <c r="R116" s="25">
        <v>0</v>
      </c>
      <c r="S116" s="25">
        <v>0.966742252456538</v>
      </c>
      <c r="T116" s="25">
        <v>0.966742252456538</v>
      </c>
      <c r="U116" s="25">
        <v>0.966742252456538</v>
      </c>
      <c r="V116" s="25">
        <v>0</v>
      </c>
      <c r="W116" s="25">
        <v>0</v>
      </c>
      <c r="X116" s="25">
        <v>0.966742252456538</v>
      </c>
      <c r="Y116" s="25">
        <v>0.966742252456538</v>
      </c>
      <c r="Z116" s="25">
        <v>0.966742252456538</v>
      </c>
      <c r="AA116" s="25">
        <v>0.966742252456538</v>
      </c>
      <c r="AB116" s="25">
        <v>0.966742252456538</v>
      </c>
      <c r="AC116" s="25">
        <v>0.966742252456538</v>
      </c>
      <c r="AD116" s="25">
        <v>0</v>
      </c>
      <c r="AE116" s="25">
        <v>0.966742252456538</v>
      </c>
      <c r="AF116" s="25">
        <v>0.966742252456538</v>
      </c>
      <c r="AG116" s="25">
        <v>0.966742252456538</v>
      </c>
      <c r="AH116" s="25">
        <v>0.966742252456538</v>
      </c>
      <c r="AI116" s="25">
        <v>0</v>
      </c>
      <c r="AJ116" s="25">
        <v>0</v>
      </c>
      <c r="AK116" s="25">
        <v>0</v>
      </c>
      <c r="AL116" s="25">
        <v>0</v>
      </c>
      <c r="AM116" s="25">
        <v>0</v>
      </c>
      <c r="AN116" s="25">
        <v>0</v>
      </c>
      <c r="AO116" s="25">
        <v>0</v>
      </c>
      <c r="AP116" s="25">
        <v>0</v>
      </c>
    </row>
    <row r="117" spans="3:44" x14ac:dyDescent="0.25">
      <c r="C117" s="91"/>
      <c r="E117" t="s">
        <v>436</v>
      </c>
      <c r="G117" t="s">
        <v>203</v>
      </c>
      <c r="J117" s="66"/>
      <c r="K117" s="66"/>
      <c r="L117" s="66"/>
      <c r="M117" s="66"/>
      <c r="N117" s="66"/>
      <c r="O117" s="66"/>
      <c r="P117" s="66"/>
      <c r="Q117" s="66"/>
      <c r="R117" s="66"/>
      <c r="S117" s="66"/>
      <c r="T117" s="66"/>
      <c r="U117" s="66"/>
      <c r="V117" s="66"/>
      <c r="W117" s="66"/>
      <c r="X117" s="66"/>
      <c r="Y117" s="66"/>
      <c r="Z117" s="66"/>
      <c r="AA117" s="66"/>
      <c r="AB117" s="66"/>
      <c r="AC117" s="66"/>
      <c r="AD117" s="66"/>
      <c r="AE117" s="66"/>
      <c r="AF117" s="66"/>
      <c r="AG117" s="66"/>
      <c r="AH117" s="66"/>
      <c r="AI117" s="66"/>
      <c r="AJ117" s="66"/>
      <c r="AK117" s="66"/>
      <c r="AL117" s="66"/>
      <c r="AM117" s="66"/>
      <c r="AN117" s="66"/>
      <c r="AO117" s="66"/>
      <c r="AP117" s="66"/>
    </row>
    <row r="118" spans="3:44" x14ac:dyDescent="0.25">
      <c r="C118" s="91"/>
      <c r="E118" s="37" t="s">
        <v>437</v>
      </c>
      <c r="F118" s="37"/>
      <c r="G118" s="37" t="s">
        <v>203</v>
      </c>
      <c r="H118" s="37"/>
      <c r="I118" s="37"/>
      <c r="J118" s="68"/>
      <c r="K118" s="68"/>
      <c r="L118" s="68"/>
      <c r="M118" s="68"/>
      <c r="N118" s="68"/>
      <c r="O118" s="68"/>
      <c r="P118" s="68"/>
      <c r="Q118" s="68"/>
      <c r="R118" s="68"/>
      <c r="S118" s="68"/>
      <c r="T118" s="68"/>
      <c r="U118" s="68"/>
      <c r="V118" s="68"/>
      <c r="W118" s="68"/>
      <c r="X118" s="68"/>
      <c r="Y118" s="68"/>
      <c r="Z118" s="68"/>
      <c r="AA118" s="68"/>
      <c r="AB118" s="68"/>
      <c r="AC118" s="68"/>
      <c r="AD118" s="68"/>
      <c r="AE118" s="68"/>
      <c r="AF118" s="68"/>
      <c r="AG118" s="68"/>
      <c r="AH118" s="68"/>
      <c r="AI118" s="68"/>
      <c r="AJ118" s="68"/>
      <c r="AK118" s="68"/>
      <c r="AL118" s="68"/>
      <c r="AM118" s="68"/>
      <c r="AN118" s="68"/>
      <c r="AO118" s="68"/>
      <c r="AP118" s="68"/>
    </row>
    <row r="120" spans="3:44" x14ac:dyDescent="0.25">
      <c r="C120" s="31" t="str">
        <f ca="1">INDEX('Version control'!$H$34:$H$56,MATCH($A$1,'Version control'!$F$34:$F$56,0),1)&amp;"-B: Yardstick charge (demand)"</f>
        <v>Section 112-B: Yardstick charge (demand)</v>
      </c>
      <c r="D120" s="31"/>
      <c r="E120" s="31"/>
      <c r="F120" s="31"/>
      <c r="G120" s="31"/>
      <c r="H120" s="31"/>
      <c r="I120" s="31"/>
      <c r="J120" s="31"/>
      <c r="K120" s="31"/>
      <c r="L120" s="31"/>
      <c r="M120" s="31"/>
      <c r="N120" s="31"/>
      <c r="O120" s="31"/>
      <c r="P120" s="31"/>
      <c r="Q120" s="31"/>
      <c r="R120" s="31"/>
      <c r="S120" s="31"/>
      <c r="T120" s="31"/>
      <c r="U120" s="31"/>
      <c r="V120" s="31"/>
      <c r="W120" s="31"/>
      <c r="X120" s="31"/>
      <c r="Y120" s="31"/>
      <c r="Z120" s="31"/>
      <c r="AA120" s="31"/>
      <c r="AB120" s="31"/>
      <c r="AC120" s="31"/>
      <c r="AD120" s="31"/>
      <c r="AE120" s="31"/>
      <c r="AF120" s="31"/>
      <c r="AG120" s="31"/>
      <c r="AH120" s="31"/>
      <c r="AI120" s="31"/>
      <c r="AJ120" s="31"/>
      <c r="AK120" s="31"/>
      <c r="AL120" s="31"/>
      <c r="AM120" s="31"/>
      <c r="AN120" s="31"/>
      <c r="AO120" s="31"/>
      <c r="AP120" s="31"/>
      <c r="AQ120" s="31"/>
      <c r="AR120" s="31"/>
    </row>
    <row r="121" spans="3:44" x14ac:dyDescent="0.25">
      <c r="C121" s="32"/>
      <c r="D121"/>
      <c r="E121" s="32"/>
    </row>
    <row r="122" spans="3:44" x14ac:dyDescent="0.25">
      <c r="D122" s="32" t="s">
        <v>733</v>
      </c>
      <c r="E122"/>
    </row>
    <row r="123" spans="3:44" x14ac:dyDescent="0.25">
      <c r="E123" s="23" t="s">
        <v>225</v>
      </c>
      <c r="F123" s="23"/>
      <c r="G123" s="23" t="s">
        <v>327</v>
      </c>
      <c r="H123" s="302"/>
      <c r="I123" s="302"/>
      <c r="J123" s="320"/>
      <c r="K123" s="320"/>
      <c r="L123" s="320"/>
      <c r="M123" s="320"/>
      <c r="N123" s="320"/>
      <c r="O123" s="320"/>
      <c r="P123" s="320"/>
      <c r="Q123" s="320"/>
      <c r="R123" s="320"/>
      <c r="S123" s="320"/>
      <c r="T123" s="320"/>
      <c r="U123" s="320"/>
      <c r="V123" s="320"/>
      <c r="W123" s="320"/>
      <c r="X123" s="320"/>
      <c r="Y123" s="320"/>
      <c r="Z123" s="320"/>
      <c r="AA123" s="320"/>
      <c r="AB123" s="320"/>
      <c r="AC123" s="320"/>
      <c r="AD123" s="320"/>
      <c r="AE123" s="320"/>
      <c r="AF123" s="320"/>
      <c r="AG123" s="320"/>
      <c r="AH123" s="320"/>
      <c r="AI123" s="320"/>
      <c r="AJ123" s="320"/>
      <c r="AK123" s="320"/>
      <c r="AL123" s="320"/>
      <c r="AM123" s="320"/>
      <c r="AN123" s="320"/>
      <c r="AO123" s="320"/>
      <c r="AP123" s="320"/>
      <c r="AQ123" s="304"/>
      <c r="AR123" s="304"/>
    </row>
    <row r="124" spans="3:44" x14ac:dyDescent="0.25">
      <c r="E124" t="s">
        <v>227</v>
      </c>
      <c r="G124" t="s">
        <v>327</v>
      </c>
      <c r="H124" s="304"/>
      <c r="I124" s="304"/>
      <c r="J124" s="305"/>
      <c r="K124" s="305"/>
      <c r="L124" s="305"/>
      <c r="M124" s="305"/>
      <c r="N124" s="305"/>
      <c r="O124" s="305"/>
      <c r="P124" s="305"/>
      <c r="Q124" s="305"/>
      <c r="R124" s="305"/>
      <c r="S124" s="305"/>
      <c r="T124" s="305"/>
      <c r="U124" s="305"/>
      <c r="V124" s="305"/>
      <c r="W124" s="305"/>
      <c r="X124" s="305"/>
      <c r="Y124" s="305"/>
      <c r="Z124" s="305"/>
      <c r="AA124" s="305"/>
      <c r="AB124" s="305"/>
      <c r="AC124" s="305"/>
      <c r="AD124" s="305"/>
      <c r="AE124" s="305"/>
      <c r="AF124" s="305"/>
      <c r="AG124" s="305"/>
      <c r="AH124" s="305"/>
      <c r="AI124" s="305"/>
      <c r="AJ124" s="305"/>
      <c r="AK124" s="305"/>
      <c r="AL124" s="305"/>
      <c r="AM124" s="305"/>
      <c r="AN124" s="305"/>
      <c r="AO124" s="305"/>
      <c r="AP124" s="305"/>
      <c r="AQ124" s="304"/>
      <c r="AR124" s="304"/>
    </row>
    <row r="125" spans="3:44" x14ac:dyDescent="0.25">
      <c r="E125" t="s">
        <v>228</v>
      </c>
      <c r="G125" t="s">
        <v>327</v>
      </c>
      <c r="H125" s="304"/>
      <c r="I125" s="304"/>
      <c r="J125" s="319">
        <f>'Initial unit rates'!J125</f>
        <v>0</v>
      </c>
      <c r="K125" s="319">
        <f>'Initial unit rates'!K125</f>
        <v>0</v>
      </c>
      <c r="L125" s="319">
        <f>'Initial unit rates'!L125</f>
        <v>0</v>
      </c>
      <c r="M125" s="319">
        <f>'Initial unit rates'!M125</f>
        <v>0</v>
      </c>
      <c r="N125" s="319">
        <f>'Initial unit rates'!N125</f>
        <v>0</v>
      </c>
      <c r="O125" s="319">
        <f>'Initial unit rates'!O125</f>
        <v>0</v>
      </c>
      <c r="P125" s="319">
        <f>'Initial unit rates'!P125</f>
        <v>0</v>
      </c>
      <c r="Q125" s="319">
        <f>'Initial unit rates'!Q125</f>
        <v>0</v>
      </c>
      <c r="R125" s="319">
        <f>'Initial unit rates'!R125</f>
        <v>0</v>
      </c>
      <c r="S125" s="319">
        <f>'Initial unit rates'!S125</f>
        <v>0</v>
      </c>
      <c r="T125" s="319">
        <f>'Initial unit rates'!T125</f>
        <v>0</v>
      </c>
      <c r="U125" s="319">
        <f>'Initial unit rates'!U125</f>
        <v>0</v>
      </c>
      <c r="V125" s="319">
        <f>'Initial unit rates'!V125</f>
        <v>0</v>
      </c>
      <c r="W125" s="319">
        <f>'Initial unit rates'!W125</f>
        <v>0</v>
      </c>
      <c r="X125" s="319">
        <f>'Initial unit rates'!X125</f>
        <v>0</v>
      </c>
      <c r="Y125" s="319">
        <f>'Initial unit rates'!Y125</f>
        <v>0</v>
      </c>
      <c r="Z125" s="319">
        <f>'Initial unit rates'!Z125</f>
        <v>0</v>
      </c>
      <c r="AA125" s="319">
        <f>'Initial unit rates'!AA125</f>
        <v>0</v>
      </c>
      <c r="AB125" s="319">
        <f>'Initial unit rates'!AB125</f>
        <v>0</v>
      </c>
      <c r="AC125" s="305"/>
      <c r="AD125" s="305"/>
      <c r="AE125" s="305"/>
      <c r="AF125" s="305"/>
      <c r="AG125" s="305"/>
      <c r="AH125" s="305"/>
      <c r="AI125" s="305"/>
      <c r="AJ125" s="305"/>
      <c r="AK125" s="305"/>
      <c r="AL125" s="305"/>
      <c r="AM125" s="305"/>
      <c r="AN125" s="305"/>
      <c r="AO125" s="305"/>
      <c r="AP125" s="305"/>
      <c r="AQ125" s="304"/>
      <c r="AR125" s="304"/>
    </row>
    <row r="126" spans="3:44" x14ac:dyDescent="0.25">
      <c r="E126" t="s">
        <v>229</v>
      </c>
      <c r="G126" t="s">
        <v>327</v>
      </c>
      <c r="H126" s="304"/>
      <c r="I126" s="304"/>
      <c r="J126" s="319">
        <f>'Initial unit rates'!J126</f>
        <v>0</v>
      </c>
      <c r="K126" s="319">
        <f>'Initial unit rates'!K126</f>
        <v>0</v>
      </c>
      <c r="L126" s="319">
        <f>'Initial unit rates'!L126</f>
        <v>0</v>
      </c>
      <c r="M126" s="319">
        <f>'Initial unit rates'!M126</f>
        <v>0</v>
      </c>
      <c r="N126" s="319">
        <f>'Initial unit rates'!N126</f>
        <v>0</v>
      </c>
      <c r="O126" s="319">
        <f>'Initial unit rates'!O126</f>
        <v>0</v>
      </c>
      <c r="P126" s="319">
        <f>'Initial unit rates'!P126</f>
        <v>0</v>
      </c>
      <c r="Q126" s="319">
        <f>'Initial unit rates'!Q126</f>
        <v>0</v>
      </c>
      <c r="R126" s="319">
        <f>'Initial unit rates'!R126</f>
        <v>0</v>
      </c>
      <c r="S126" s="319">
        <f>'Initial unit rates'!S126</f>
        <v>0</v>
      </c>
      <c r="T126" s="319">
        <f>'Initial unit rates'!T126</f>
        <v>0</v>
      </c>
      <c r="U126" s="319">
        <f>'Initial unit rates'!U126</f>
        <v>0</v>
      </c>
      <c r="V126" s="319">
        <f>'Initial unit rates'!V126</f>
        <v>0</v>
      </c>
      <c r="W126" s="319">
        <f>'Initial unit rates'!W126</f>
        <v>0</v>
      </c>
      <c r="X126" s="319">
        <f>'Initial unit rates'!X126</f>
        <v>0</v>
      </c>
      <c r="Y126" s="319">
        <f>'Initial unit rates'!Y126</f>
        <v>0</v>
      </c>
      <c r="Z126" s="319">
        <f>'Initial unit rates'!Z126</f>
        <v>0</v>
      </c>
      <c r="AA126" s="319">
        <f>'Initial unit rates'!AA126</f>
        <v>0</v>
      </c>
      <c r="AB126" s="319">
        <f>'Initial unit rates'!AB126</f>
        <v>0</v>
      </c>
      <c r="AC126" s="305"/>
      <c r="AD126" s="305"/>
      <c r="AE126" s="305"/>
      <c r="AF126" s="305"/>
      <c r="AG126" s="305"/>
      <c r="AH126" s="305"/>
      <c r="AI126" s="305"/>
      <c r="AJ126" s="305"/>
      <c r="AK126" s="305"/>
      <c r="AL126" s="305"/>
      <c r="AM126" s="305"/>
      <c r="AN126" s="305"/>
      <c r="AO126" s="305"/>
      <c r="AP126" s="305"/>
      <c r="AQ126" s="304"/>
      <c r="AR126" s="304"/>
    </row>
    <row r="127" spans="3:44" x14ac:dyDescent="0.25">
      <c r="E127" t="s">
        <v>230</v>
      </c>
      <c r="G127" t="s">
        <v>327</v>
      </c>
      <c r="H127" s="304"/>
      <c r="I127" s="304"/>
      <c r="J127" s="319">
        <f>'Initial unit rates'!J127</f>
        <v>0.20939536460938335</v>
      </c>
      <c r="K127" s="319">
        <f>'Initial unit rates'!K127</f>
        <v>0.1530821296810328</v>
      </c>
      <c r="L127" s="319">
        <f>'Initial unit rates'!L127</f>
        <v>0</v>
      </c>
      <c r="M127" s="319">
        <f>'Initial unit rates'!M127</f>
        <v>0.19127009843912832</v>
      </c>
      <c r="N127" s="319">
        <f>'Initial unit rates'!N127</f>
        <v>0.15243667743260444</v>
      </c>
      <c r="O127" s="319">
        <f>'Initial unit rates'!O127</f>
        <v>0</v>
      </c>
      <c r="P127" s="319">
        <f>'Initial unit rates'!P127</f>
        <v>0.15154527879242385</v>
      </c>
      <c r="Q127" s="319">
        <f>'Initial unit rates'!Q127</f>
        <v>0.14695721071889173</v>
      </c>
      <c r="R127" s="319">
        <f>'Initial unit rates'!R127</f>
        <v>0.14417730578628996</v>
      </c>
      <c r="S127" s="319">
        <f>'Initial unit rates'!S127</f>
        <v>0.20774870471631307</v>
      </c>
      <c r="T127" s="319">
        <f>'Initial unit rates'!T127</f>
        <v>0.16846066966542211</v>
      </c>
      <c r="U127" s="319">
        <f>'Initial unit rates'!U127</f>
        <v>0.14797536822018334</v>
      </c>
      <c r="V127" s="319">
        <f>'Initial unit rates'!V127</f>
        <v>0.12381094679772803</v>
      </c>
      <c r="W127" s="319">
        <f>'Initial unit rates'!W127</f>
        <v>0.12053386981950025</v>
      </c>
      <c r="X127" s="319">
        <f>'Initial unit rates'!X127</f>
        <v>0.10572920238485511</v>
      </c>
      <c r="Y127" s="319">
        <f>'Initial unit rates'!Y127</f>
        <v>0.19828637359147738</v>
      </c>
      <c r="Z127" s="319">
        <f>'Initial unit rates'!Z127</f>
        <v>0.36693731595003326</v>
      </c>
      <c r="AA127" s="319">
        <f>'Initial unit rates'!AA127</f>
        <v>3.0299074640105523E-2</v>
      </c>
      <c r="AB127" s="319">
        <f>'Initial unit rates'!AB127</f>
        <v>0.18999901228553098</v>
      </c>
      <c r="AC127" s="305"/>
      <c r="AD127" s="305"/>
      <c r="AE127" s="305"/>
      <c r="AF127" s="305"/>
      <c r="AG127" s="305"/>
      <c r="AH127" s="305"/>
      <c r="AI127" s="305"/>
      <c r="AJ127" s="305"/>
      <c r="AK127" s="305"/>
      <c r="AL127" s="305"/>
      <c r="AM127" s="305"/>
      <c r="AN127" s="305"/>
      <c r="AO127" s="305"/>
      <c r="AP127" s="305"/>
      <c r="AQ127" s="304"/>
      <c r="AR127" s="304"/>
    </row>
    <row r="128" spans="3:44" x14ac:dyDescent="0.25">
      <c r="E128" t="s">
        <v>231</v>
      </c>
      <c r="G128" t="s">
        <v>327</v>
      </c>
      <c r="H128" s="304"/>
      <c r="I128" s="304"/>
      <c r="J128" s="319">
        <f>'Initial unit rates'!J128</f>
        <v>0.18989341432826556</v>
      </c>
      <c r="K128" s="319">
        <f>'Initial unit rates'!K128</f>
        <v>0.13882488913735486</v>
      </c>
      <c r="L128" s="319">
        <f>'Initial unit rates'!L128</f>
        <v>0</v>
      </c>
      <c r="M128" s="319">
        <f>'Initial unit rates'!M128</f>
        <v>0.17345623729190199</v>
      </c>
      <c r="N128" s="319">
        <f>'Initial unit rates'!N128</f>
        <v>0.13823955081590464</v>
      </c>
      <c r="O128" s="319">
        <f>'Initial unit rates'!O128</f>
        <v>0</v>
      </c>
      <c r="P128" s="319">
        <f>'Initial unit rates'!P128</f>
        <v>0.13743117221770962</v>
      </c>
      <c r="Q128" s="319">
        <f>'Initial unit rates'!Q128</f>
        <v>0.13327041195790737</v>
      </c>
      <c r="R128" s="319">
        <f>'Initial unit rates'!R128</f>
        <v>0.13099638027521904</v>
      </c>
      <c r="S128" s="319">
        <f>'Initial unit rates'!S128</f>
        <v>0.18840011542016491</v>
      </c>
      <c r="T128" s="319">
        <f>'Initial unit rates'!T128</f>
        <v>0.15277115518993481</v>
      </c>
      <c r="U128" s="319">
        <f>'Initial unit rates'!U128</f>
        <v>0.13419374378335094</v>
      </c>
      <c r="V128" s="319">
        <f>'Initial unit rates'!V128</f>
        <v>0.11227986570998935</v>
      </c>
      <c r="W128" s="319">
        <f>'Initial unit rates'!W128</f>
        <v>0.1095144659612612</v>
      </c>
      <c r="X128" s="319">
        <f>'Initial unit rates'!X128</f>
        <v>9.5882157050216951E-2</v>
      </c>
      <c r="Y128" s="319">
        <f>'Initial unit rates'!Y128</f>
        <v>0.17981905457313241</v>
      </c>
      <c r="Z128" s="319">
        <f>'Initial unit rates'!Z128</f>
        <v>0.33276276148798251</v>
      </c>
      <c r="AA128" s="319">
        <f>'Initial unit rates'!AA128</f>
        <v>2.7477182912475865E-2</v>
      </c>
      <c r="AB128" s="319">
        <f>'Initial unit rates'!AB128</f>
        <v>0.17230353321909578</v>
      </c>
      <c r="AC128" s="305"/>
      <c r="AD128" s="305"/>
      <c r="AE128" s="305"/>
      <c r="AF128" s="305"/>
      <c r="AG128" s="305"/>
      <c r="AH128" s="305"/>
      <c r="AI128" s="305"/>
      <c r="AJ128" s="305"/>
      <c r="AK128" s="305"/>
      <c r="AL128" s="305"/>
      <c r="AM128" s="305"/>
      <c r="AN128" s="305"/>
      <c r="AO128" s="305"/>
      <c r="AP128" s="305"/>
      <c r="AQ128" s="304"/>
      <c r="AR128" s="304"/>
    </row>
    <row r="129" spans="4:44" x14ac:dyDescent="0.25">
      <c r="E129" t="s">
        <v>232</v>
      </c>
      <c r="G129" t="s">
        <v>327</v>
      </c>
      <c r="H129" s="304"/>
      <c r="I129" s="304"/>
      <c r="J129" s="319">
        <f>'Initial unit rates'!J129</f>
        <v>0</v>
      </c>
      <c r="K129" s="319">
        <f>'Initial unit rates'!K129</f>
        <v>0</v>
      </c>
      <c r="L129" s="319">
        <f>'Initial unit rates'!L129</f>
        <v>0</v>
      </c>
      <c r="M129" s="319">
        <f>'Initial unit rates'!M129</f>
        <v>0</v>
      </c>
      <c r="N129" s="319">
        <f>'Initial unit rates'!N129</f>
        <v>0</v>
      </c>
      <c r="O129" s="319">
        <f>'Initial unit rates'!O129</f>
        <v>0</v>
      </c>
      <c r="P129" s="319">
        <f>'Initial unit rates'!P129</f>
        <v>0</v>
      </c>
      <c r="Q129" s="319">
        <f>'Initial unit rates'!Q129</f>
        <v>0</v>
      </c>
      <c r="R129" s="319">
        <f>'Initial unit rates'!R129</f>
        <v>0</v>
      </c>
      <c r="S129" s="319">
        <f>'Initial unit rates'!S129</f>
        <v>0</v>
      </c>
      <c r="T129" s="319">
        <f>'Initial unit rates'!T129</f>
        <v>0</v>
      </c>
      <c r="U129" s="319">
        <f>'Initial unit rates'!U129</f>
        <v>0</v>
      </c>
      <c r="V129" s="319">
        <f>'Initial unit rates'!V129</f>
        <v>0</v>
      </c>
      <c r="W129" s="319">
        <f>'Initial unit rates'!W129</f>
        <v>0</v>
      </c>
      <c r="X129" s="319">
        <f>'Initial unit rates'!X129</f>
        <v>0</v>
      </c>
      <c r="Y129" s="319">
        <f>'Initial unit rates'!Y129</f>
        <v>0</v>
      </c>
      <c r="Z129" s="319">
        <f>'Initial unit rates'!Z129</f>
        <v>0</v>
      </c>
      <c r="AA129" s="319">
        <f>'Initial unit rates'!AA129</f>
        <v>0</v>
      </c>
      <c r="AB129" s="319">
        <f>'Initial unit rates'!AB129</f>
        <v>0</v>
      </c>
      <c r="AC129" s="305"/>
      <c r="AD129" s="305"/>
      <c r="AE129" s="305"/>
      <c r="AF129" s="305"/>
      <c r="AG129" s="305"/>
      <c r="AH129" s="305"/>
      <c r="AI129" s="305"/>
      <c r="AJ129" s="305"/>
      <c r="AK129" s="305"/>
      <c r="AL129" s="305"/>
      <c r="AM129" s="305"/>
      <c r="AN129" s="305"/>
      <c r="AO129" s="305"/>
      <c r="AP129" s="305"/>
      <c r="AQ129" s="304"/>
      <c r="AR129" s="304"/>
    </row>
    <row r="130" spans="4:44" x14ac:dyDescent="0.25">
      <c r="E130" t="s">
        <v>233</v>
      </c>
      <c r="G130" t="s">
        <v>327</v>
      </c>
      <c r="H130" s="304"/>
      <c r="I130" s="304"/>
      <c r="J130" s="319">
        <f>'Initial unit rates'!J130</f>
        <v>0.4529047753878534</v>
      </c>
      <c r="K130" s="319">
        <f>'Initial unit rates'!K130</f>
        <v>0.33110392719732418</v>
      </c>
      <c r="L130" s="319">
        <f>'Initial unit rates'!L130</f>
        <v>0</v>
      </c>
      <c r="M130" s="319">
        <f>'Initial unit rates'!M130</f>
        <v>0.41370133065545484</v>
      </c>
      <c r="N130" s="319">
        <f>'Initial unit rates'!N130</f>
        <v>0.32970786761337229</v>
      </c>
      <c r="O130" s="319">
        <f>'Initial unit rates'!O130</f>
        <v>0</v>
      </c>
      <c r="P130" s="319">
        <f>'Initial unit rates'!P130</f>
        <v>0.32777984641927782</v>
      </c>
      <c r="Q130" s="319">
        <f>'Initial unit rates'!Q130</f>
        <v>0.31785623639007027</v>
      </c>
      <c r="R130" s="319">
        <f>'Initial unit rates'!R130</f>
        <v>0.33327933612130217</v>
      </c>
      <c r="S130" s="319">
        <f>'Initial unit rates'!S130</f>
        <v>0.44934318685697838</v>
      </c>
      <c r="T130" s="319">
        <f>'Initial unit rates'!T130</f>
        <v>0.3643664314099454</v>
      </c>
      <c r="U130" s="319">
        <f>'Initial unit rates'!U130</f>
        <v>0.32005842646859545</v>
      </c>
      <c r="V130" s="319">
        <f>'Initial unit rates'!V130</f>
        <v>0.26779279070760148</v>
      </c>
      <c r="W130" s="319">
        <f>'Initial unit rates'!W130</f>
        <v>0.27862532105517024</v>
      </c>
      <c r="X130" s="319">
        <f>'Initial unit rates'!X130</f>
        <v>0.22868347992028037</v>
      </c>
      <c r="Y130" s="319">
        <f>'Initial unit rates'!Y130</f>
        <v>0.42887695084103955</v>
      </c>
      <c r="Z130" s="319">
        <f>'Initial unit rates'!Z130</f>
        <v>0.79365492627683742</v>
      </c>
      <c r="AA130" s="319">
        <f>'Initial unit rates'!AA130</f>
        <v>6.5534380954113375E-2</v>
      </c>
      <c r="AB130" s="319">
        <f>'Initial unit rates'!AB130</f>
        <v>0.41095207691735269</v>
      </c>
      <c r="AC130" s="305"/>
      <c r="AD130" s="305"/>
      <c r="AE130" s="305"/>
      <c r="AF130" s="305"/>
      <c r="AG130" s="305"/>
      <c r="AH130" s="305"/>
      <c r="AI130" s="305"/>
      <c r="AJ130" s="305"/>
      <c r="AK130" s="305"/>
      <c r="AL130" s="305"/>
      <c r="AM130" s="305"/>
      <c r="AN130" s="305"/>
      <c r="AO130" s="305"/>
      <c r="AP130" s="305"/>
      <c r="AQ130" s="304"/>
      <c r="AR130" s="304"/>
    </row>
    <row r="131" spans="4:44" x14ac:dyDescent="0.25">
      <c r="E131" t="s">
        <v>234</v>
      </c>
      <c r="G131" t="s">
        <v>327</v>
      </c>
      <c r="H131" s="304"/>
      <c r="I131" s="304"/>
      <c r="J131" s="319">
        <f>'Initial unit rates'!J131</f>
        <v>4.1479888119542098E-2</v>
      </c>
      <c r="K131" s="319">
        <f>'Initial unit rates'!K131</f>
        <v>3.0324594931295482E-2</v>
      </c>
      <c r="L131" s="319">
        <f>'Initial unit rates'!L131</f>
        <v>0</v>
      </c>
      <c r="M131" s="319">
        <f>'Initial unit rates'!M131</f>
        <v>3.7889388328481259E-2</v>
      </c>
      <c r="N131" s="319">
        <f>'Initial unit rates'!N131</f>
        <v>3.0196734951676261E-2</v>
      </c>
      <c r="O131" s="319">
        <f>'Initial unit rates'!O131</f>
        <v>0</v>
      </c>
      <c r="P131" s="319">
        <f>'Initial unit rates'!P131</f>
        <v>3.0020154558248843E-2</v>
      </c>
      <c r="Q131" s="319">
        <f>'Initial unit rates'!Q131</f>
        <v>2.9111287493641301E-2</v>
      </c>
      <c r="R131" s="319">
        <f>'Initial unit rates'!R131</f>
        <v>0</v>
      </c>
      <c r="S131" s="319">
        <f>'Initial unit rates'!S131</f>
        <v>4.1153695282069754E-2</v>
      </c>
      <c r="T131" s="319">
        <f>'Initial unit rates'!T131</f>
        <v>3.3370985758448435E-2</v>
      </c>
      <c r="U131" s="319">
        <f>'Initial unit rates'!U131</f>
        <v>2.9312978010145482E-2</v>
      </c>
      <c r="V131" s="319">
        <f>'Initial unit rates'!V131</f>
        <v>2.4526160026152752E-2</v>
      </c>
      <c r="W131" s="319">
        <f>'Initial unit rates'!W131</f>
        <v>0</v>
      </c>
      <c r="X131" s="319">
        <f>'Initial unit rates'!X131</f>
        <v>2.0944281618045364E-2</v>
      </c>
      <c r="Y131" s="319">
        <f>'Initial unit rates'!Y131</f>
        <v>3.9279267750493639E-2</v>
      </c>
      <c r="Z131" s="319">
        <f>'Initial unit rates'!Z131</f>
        <v>7.2687945317631897E-2</v>
      </c>
      <c r="AA131" s="319">
        <f>'Initial unit rates'!AA131</f>
        <v>6.0020537156671759E-3</v>
      </c>
      <c r="AB131" s="319">
        <f>'Initial unit rates'!AB131</f>
        <v>3.7637594256822261E-2</v>
      </c>
      <c r="AC131" s="305"/>
      <c r="AD131" s="305"/>
      <c r="AE131" s="305"/>
      <c r="AF131" s="305"/>
      <c r="AG131" s="305"/>
      <c r="AH131" s="305"/>
      <c r="AI131" s="305"/>
      <c r="AJ131" s="305"/>
      <c r="AK131" s="305"/>
      <c r="AL131" s="305"/>
      <c r="AM131" s="305"/>
      <c r="AN131" s="305"/>
      <c r="AO131" s="305"/>
      <c r="AP131" s="305"/>
      <c r="AQ131" s="304"/>
      <c r="AR131" s="304"/>
    </row>
    <row r="132" spans="4:44" x14ac:dyDescent="0.25">
      <c r="E132" t="s">
        <v>235</v>
      </c>
      <c r="G132" t="s">
        <v>327</v>
      </c>
      <c r="H132" s="304"/>
      <c r="I132" s="304"/>
      <c r="J132" s="319">
        <f>'Initial unit rates'!J132</f>
        <v>1.5063919714727033E-2</v>
      </c>
      <c r="K132" s="319">
        <f>'Initial unit rates'!K132</f>
        <v>1.1012740972448318E-2</v>
      </c>
      <c r="L132" s="319">
        <f>'Initial unit rates'!L132</f>
        <v>0</v>
      </c>
      <c r="M132" s="319">
        <f>'Initial unit rates'!M132</f>
        <v>1.3759986578928553E-2</v>
      </c>
      <c r="N132" s="319">
        <f>'Initial unit rates'!N132</f>
        <v>1.0966307084725195E-2</v>
      </c>
      <c r="O132" s="319">
        <f>'Initial unit rates'!O132</f>
        <v>0</v>
      </c>
      <c r="P132" s="319">
        <f>'Initial unit rates'!P132</f>
        <v>1.0902179793395004E-2</v>
      </c>
      <c r="Q132" s="319">
        <f>'Initial unit rates'!Q132</f>
        <v>0</v>
      </c>
      <c r="R132" s="319">
        <f>'Initial unit rates'!R132</f>
        <v>0</v>
      </c>
      <c r="S132" s="319">
        <f>'Initial unit rates'!S132</f>
        <v>1.494545886688093E-2</v>
      </c>
      <c r="T132" s="319">
        <f>'Initial unit rates'!T132</f>
        <v>1.2119074401016389E-2</v>
      </c>
      <c r="U132" s="319">
        <f>'Initial unit rates'!U132</f>
        <v>1.0645360133851421E-2</v>
      </c>
      <c r="V132" s="319">
        <f>'Initial unit rates'!V132</f>
        <v>0</v>
      </c>
      <c r="W132" s="319">
        <f>'Initial unit rates'!W132</f>
        <v>0</v>
      </c>
      <c r="X132" s="319">
        <f>'Initial unit rates'!X132</f>
        <v>7.6061674965856065E-3</v>
      </c>
      <c r="Y132" s="319">
        <f>'Initial unit rates'!Y132</f>
        <v>1.4264737989202532E-2</v>
      </c>
      <c r="Z132" s="319">
        <f>'Initial unit rates'!Z132</f>
        <v>2.6397500623378325E-2</v>
      </c>
      <c r="AA132" s="319">
        <f>'Initial unit rates'!AA132</f>
        <v>2.1797179162036644E-3</v>
      </c>
      <c r="AB132" s="319">
        <f>'Initial unit rates'!AB132</f>
        <v>1.3668544536722839E-2</v>
      </c>
      <c r="AC132" s="305"/>
      <c r="AD132" s="305"/>
      <c r="AE132" s="305"/>
      <c r="AF132" s="305"/>
      <c r="AG132" s="305"/>
      <c r="AH132" s="305"/>
      <c r="AI132" s="305"/>
      <c r="AJ132" s="305"/>
      <c r="AK132" s="305"/>
      <c r="AL132" s="305"/>
      <c r="AM132" s="305"/>
      <c r="AN132" s="305"/>
      <c r="AO132" s="305"/>
      <c r="AP132" s="305"/>
      <c r="AQ132" s="304"/>
      <c r="AR132" s="304"/>
    </row>
    <row r="133" spans="4:44" x14ac:dyDescent="0.25">
      <c r="E133" t="s">
        <v>436</v>
      </c>
      <c r="G133" t="s">
        <v>327</v>
      </c>
      <c r="H133" s="304"/>
      <c r="I133" s="304"/>
      <c r="J133" s="305"/>
      <c r="K133" s="305"/>
      <c r="L133" s="305"/>
      <c r="M133" s="305"/>
      <c r="N133" s="305"/>
      <c r="O133" s="305"/>
      <c r="P133" s="305"/>
      <c r="Q133" s="305"/>
      <c r="R133" s="305"/>
      <c r="S133" s="305"/>
      <c r="T133" s="305"/>
      <c r="U133" s="305"/>
      <c r="V133" s="305"/>
      <c r="W133" s="305"/>
      <c r="X133" s="305"/>
      <c r="Y133" s="305"/>
      <c r="Z133" s="305"/>
      <c r="AA133" s="305"/>
      <c r="AB133" s="305"/>
      <c r="AC133" s="305"/>
      <c r="AD133" s="305"/>
      <c r="AE133" s="305"/>
      <c r="AF133" s="305"/>
      <c r="AG133" s="305"/>
      <c r="AH133" s="305"/>
      <c r="AI133" s="305"/>
      <c r="AJ133" s="305"/>
      <c r="AK133" s="305"/>
      <c r="AL133" s="305"/>
      <c r="AM133" s="305"/>
      <c r="AN133" s="305"/>
      <c r="AO133" s="305"/>
      <c r="AP133" s="305"/>
      <c r="AQ133" s="304"/>
      <c r="AR133" s="304"/>
    </row>
    <row r="134" spans="4:44" x14ac:dyDescent="0.25">
      <c r="E134" s="37" t="s">
        <v>437</v>
      </c>
      <c r="F134" s="37"/>
      <c r="G134" s="37" t="s">
        <v>327</v>
      </c>
      <c r="H134" s="308"/>
      <c r="I134" s="308"/>
      <c r="J134" s="309"/>
      <c r="K134" s="309"/>
      <c r="L134" s="309"/>
      <c r="M134" s="309"/>
      <c r="N134" s="309"/>
      <c r="O134" s="309"/>
      <c r="P134" s="309"/>
      <c r="Q134" s="309"/>
      <c r="R134" s="309"/>
      <c r="S134" s="309"/>
      <c r="T134" s="309"/>
      <c r="U134" s="309"/>
      <c r="V134" s="309"/>
      <c r="W134" s="309"/>
      <c r="X134" s="309"/>
      <c r="Y134" s="309"/>
      <c r="Z134" s="309"/>
      <c r="AA134" s="309"/>
      <c r="AB134" s="309"/>
      <c r="AC134" s="309"/>
      <c r="AD134" s="309"/>
      <c r="AE134" s="309"/>
      <c r="AF134" s="309"/>
      <c r="AG134" s="309"/>
      <c r="AH134" s="309"/>
      <c r="AI134" s="309"/>
      <c r="AJ134" s="309"/>
      <c r="AK134" s="309"/>
      <c r="AL134" s="309"/>
      <c r="AM134" s="309"/>
      <c r="AN134" s="309"/>
      <c r="AO134" s="309"/>
      <c r="AP134" s="309"/>
      <c r="AQ134" s="304"/>
      <c r="AR134" s="304"/>
    </row>
    <row r="135" spans="4:44" x14ac:dyDescent="0.25">
      <c r="E135"/>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4:44" x14ac:dyDescent="0.25">
      <c r="D136" s="32" t="s">
        <v>734</v>
      </c>
      <c r="E136"/>
      <c r="J136" s="92"/>
      <c r="K136" s="92"/>
      <c r="L136" s="92"/>
      <c r="M136" s="92"/>
      <c r="N136" s="92"/>
      <c r="O136" s="92"/>
      <c r="P136" s="92"/>
      <c r="Q136" s="92"/>
      <c r="R136" s="92"/>
      <c r="S136" s="92"/>
      <c r="T136" s="92"/>
      <c r="U136" s="92"/>
      <c r="V136" s="92"/>
      <c r="W136" s="92"/>
      <c r="X136" s="92"/>
      <c r="Y136" s="92"/>
      <c r="Z136" s="92"/>
      <c r="AA136" s="92"/>
      <c r="AB136" s="92"/>
      <c r="AC136" s="92"/>
      <c r="AD136" s="92"/>
      <c r="AE136" s="92"/>
      <c r="AF136" s="92"/>
      <c r="AG136" s="92"/>
      <c r="AH136" s="92"/>
      <c r="AI136" s="92"/>
      <c r="AJ136" s="92"/>
      <c r="AK136" s="92"/>
      <c r="AL136" s="92"/>
      <c r="AM136" s="92"/>
      <c r="AN136" s="92"/>
      <c r="AO136" s="92"/>
      <c r="AP136" s="92"/>
    </row>
    <row r="137" spans="4:44" x14ac:dyDescent="0.25">
      <c r="E137" s="23" t="s">
        <v>225</v>
      </c>
      <c r="F137" s="23"/>
      <c r="G137" s="23" t="s">
        <v>327</v>
      </c>
      <c r="H137" s="302"/>
      <c r="I137" s="302"/>
      <c r="J137" s="318">
        <f>'Initial unit rates'!J135</f>
        <v>0.57607978079801991</v>
      </c>
      <c r="K137" s="318">
        <f>'Initial unit rates'!K135</f>
        <v>0.42115316103225536</v>
      </c>
      <c r="L137" s="318">
        <f>'Initial unit rates'!L135</f>
        <v>0</v>
      </c>
      <c r="M137" s="318">
        <f>'Initial unit rates'!M135</f>
        <v>0.52621430559161042</v>
      </c>
      <c r="N137" s="318">
        <f>'Initial unit rates'!N135</f>
        <v>0.41937741976652182</v>
      </c>
      <c r="O137" s="318">
        <f>'Initial unit rates'!O135</f>
        <v>0</v>
      </c>
      <c r="P137" s="318">
        <f>'Initial unit rates'!P135</f>
        <v>0.41692504106082878</v>
      </c>
      <c r="Q137" s="318">
        <f>'Initial unit rates'!Q135</f>
        <v>0.4043025398177027</v>
      </c>
      <c r="R137" s="318">
        <f>'Initial unit rates'!R135</f>
        <v>0.39876730033843322</v>
      </c>
      <c r="S137" s="318">
        <f>'Initial unit rates'!S135</f>
        <v>0.57154955888017389</v>
      </c>
      <c r="T137" s="318">
        <f>'Initial unit rates'!T135</f>
        <v>0.46346195788517092</v>
      </c>
      <c r="U137" s="318">
        <f>'Initial unit rates'!U135</f>
        <v>0.40710365220744493</v>
      </c>
      <c r="V137" s="318">
        <f>'Initial unit rates'!V135</f>
        <v>0.34062350532297458</v>
      </c>
      <c r="W137" s="318">
        <f>'Initial unit rates'!W135</f>
        <v>0.33337400504980741</v>
      </c>
      <c r="X137" s="318">
        <f>'Initial unit rates'!X135</f>
        <v>0.29087776535759768</v>
      </c>
      <c r="Y137" s="318">
        <f>'Initial unit rates'!Y135</f>
        <v>0.54551718872526467</v>
      </c>
      <c r="Z137" s="318">
        <f>'Initial unit rates'!Z135</f>
        <v>1.009502616896212</v>
      </c>
      <c r="AA137" s="318">
        <f>'Initial unit rates'!AA135</f>
        <v>8.3357548576185922E-2</v>
      </c>
      <c r="AB137" s="318">
        <f>'Initial unit rates'!AB135</f>
        <v>0.52271734645831869</v>
      </c>
      <c r="AC137" s="320"/>
      <c r="AD137" s="320"/>
      <c r="AE137" s="320"/>
      <c r="AF137" s="320"/>
      <c r="AG137" s="320"/>
      <c r="AH137" s="320"/>
      <c r="AI137" s="320"/>
      <c r="AJ137" s="320"/>
      <c r="AK137" s="320"/>
      <c r="AL137" s="320"/>
      <c r="AM137" s="320"/>
      <c r="AN137" s="320"/>
      <c r="AO137" s="320"/>
      <c r="AP137" s="320"/>
      <c r="AQ137" s="304"/>
      <c r="AR137" s="304"/>
    </row>
    <row r="138" spans="4:44" x14ac:dyDescent="0.25">
      <c r="E138" t="s">
        <v>227</v>
      </c>
      <c r="G138" t="s">
        <v>327</v>
      </c>
      <c r="H138" s="304"/>
      <c r="I138" s="304"/>
      <c r="J138" s="319">
        <f>'Initial unit rates'!J136</f>
        <v>0</v>
      </c>
      <c r="K138" s="319">
        <f>'Initial unit rates'!K136</f>
        <v>0</v>
      </c>
      <c r="L138" s="319">
        <f>'Initial unit rates'!L136</f>
        <v>0</v>
      </c>
      <c r="M138" s="319">
        <f>'Initial unit rates'!M136</f>
        <v>0</v>
      </c>
      <c r="N138" s="319">
        <f>'Initial unit rates'!N136</f>
        <v>0</v>
      </c>
      <c r="O138" s="319">
        <f>'Initial unit rates'!O136</f>
        <v>0</v>
      </c>
      <c r="P138" s="319">
        <f>'Initial unit rates'!P136</f>
        <v>0</v>
      </c>
      <c r="Q138" s="319">
        <f>'Initial unit rates'!Q136</f>
        <v>0</v>
      </c>
      <c r="R138" s="319">
        <f>'Initial unit rates'!R136</f>
        <v>0</v>
      </c>
      <c r="S138" s="319">
        <f>'Initial unit rates'!S136</f>
        <v>0</v>
      </c>
      <c r="T138" s="319">
        <f>'Initial unit rates'!T136</f>
        <v>0</v>
      </c>
      <c r="U138" s="319">
        <f>'Initial unit rates'!U136</f>
        <v>0</v>
      </c>
      <c r="V138" s="319">
        <f>'Initial unit rates'!V136</f>
        <v>0</v>
      </c>
      <c r="W138" s="319">
        <f>'Initial unit rates'!W136</f>
        <v>0</v>
      </c>
      <c r="X138" s="319">
        <f>'Initial unit rates'!X136</f>
        <v>0</v>
      </c>
      <c r="Y138" s="319">
        <f>'Initial unit rates'!Y136</f>
        <v>0</v>
      </c>
      <c r="Z138" s="319">
        <f>'Initial unit rates'!Z136</f>
        <v>0</v>
      </c>
      <c r="AA138" s="319">
        <f>'Initial unit rates'!AA136</f>
        <v>0</v>
      </c>
      <c r="AB138" s="319">
        <f>'Initial unit rates'!AB136</f>
        <v>0</v>
      </c>
      <c r="AC138" s="305"/>
      <c r="AD138" s="305"/>
      <c r="AE138" s="305"/>
      <c r="AF138" s="305"/>
      <c r="AG138" s="305"/>
      <c r="AH138" s="305"/>
      <c r="AI138" s="305"/>
      <c r="AJ138" s="305"/>
      <c r="AK138" s="305"/>
      <c r="AL138" s="305"/>
      <c r="AM138" s="305"/>
      <c r="AN138" s="305"/>
      <c r="AO138" s="305"/>
      <c r="AP138" s="305"/>
      <c r="AQ138" s="304"/>
      <c r="AR138" s="304"/>
    </row>
    <row r="139" spans="4:44" x14ac:dyDescent="0.25">
      <c r="E139" t="s">
        <v>228</v>
      </c>
      <c r="G139" t="s">
        <v>327</v>
      </c>
      <c r="H139" s="304"/>
      <c r="I139" s="304"/>
      <c r="J139" s="319">
        <f>'Initial unit rates'!J137</f>
        <v>0</v>
      </c>
      <c r="K139" s="319">
        <f>'Initial unit rates'!K137</f>
        <v>0</v>
      </c>
      <c r="L139" s="319">
        <f>'Initial unit rates'!L137</f>
        <v>0</v>
      </c>
      <c r="M139" s="319">
        <f>'Initial unit rates'!M137</f>
        <v>0</v>
      </c>
      <c r="N139" s="319">
        <f>'Initial unit rates'!N137</f>
        <v>0</v>
      </c>
      <c r="O139" s="319">
        <f>'Initial unit rates'!O137</f>
        <v>0</v>
      </c>
      <c r="P139" s="319">
        <f>'Initial unit rates'!P137</f>
        <v>0</v>
      </c>
      <c r="Q139" s="319">
        <f>'Initial unit rates'!Q137</f>
        <v>0</v>
      </c>
      <c r="R139" s="319">
        <f>'Initial unit rates'!R137</f>
        <v>0</v>
      </c>
      <c r="S139" s="319">
        <f>'Initial unit rates'!S137</f>
        <v>0</v>
      </c>
      <c r="T139" s="319">
        <f>'Initial unit rates'!T137</f>
        <v>0</v>
      </c>
      <c r="U139" s="319">
        <f>'Initial unit rates'!U137</f>
        <v>0</v>
      </c>
      <c r="V139" s="319">
        <f>'Initial unit rates'!V137</f>
        <v>0</v>
      </c>
      <c r="W139" s="319">
        <f>'Initial unit rates'!W137</f>
        <v>0</v>
      </c>
      <c r="X139" s="319">
        <f>'Initial unit rates'!X137</f>
        <v>0</v>
      </c>
      <c r="Y139" s="319">
        <f>'Initial unit rates'!Y137</f>
        <v>0</v>
      </c>
      <c r="Z139" s="319">
        <f>'Initial unit rates'!Z137</f>
        <v>0</v>
      </c>
      <c r="AA139" s="319">
        <f>'Initial unit rates'!AA137</f>
        <v>0</v>
      </c>
      <c r="AB139" s="319">
        <f>'Initial unit rates'!AB137</f>
        <v>0</v>
      </c>
      <c r="AC139" s="305"/>
      <c r="AD139" s="305"/>
      <c r="AE139" s="305"/>
      <c r="AF139" s="305"/>
      <c r="AG139" s="305"/>
      <c r="AH139" s="305"/>
      <c r="AI139" s="305"/>
      <c r="AJ139" s="305"/>
      <c r="AK139" s="305"/>
      <c r="AL139" s="305"/>
      <c r="AM139" s="305"/>
      <c r="AN139" s="305"/>
      <c r="AO139" s="305"/>
      <c r="AP139" s="305"/>
      <c r="AQ139" s="304"/>
      <c r="AR139" s="304"/>
    </row>
    <row r="140" spans="4:44" x14ac:dyDescent="0.25">
      <c r="E140" t="s">
        <v>229</v>
      </c>
      <c r="G140" t="s">
        <v>327</v>
      </c>
      <c r="H140" s="304"/>
      <c r="I140" s="304"/>
      <c r="J140" s="319">
        <f>'Initial unit rates'!J138</f>
        <v>0</v>
      </c>
      <c r="K140" s="319">
        <f>'Initial unit rates'!K138</f>
        <v>0</v>
      </c>
      <c r="L140" s="319">
        <f>'Initial unit rates'!L138</f>
        <v>0</v>
      </c>
      <c r="M140" s="319">
        <f>'Initial unit rates'!M138</f>
        <v>0</v>
      </c>
      <c r="N140" s="319">
        <f>'Initial unit rates'!N138</f>
        <v>0</v>
      </c>
      <c r="O140" s="319">
        <f>'Initial unit rates'!O138</f>
        <v>0</v>
      </c>
      <c r="P140" s="319">
        <f>'Initial unit rates'!P138</f>
        <v>0</v>
      </c>
      <c r="Q140" s="319">
        <f>'Initial unit rates'!Q138</f>
        <v>0</v>
      </c>
      <c r="R140" s="319">
        <f>'Initial unit rates'!R138</f>
        <v>0</v>
      </c>
      <c r="S140" s="319">
        <f>'Initial unit rates'!S138</f>
        <v>0</v>
      </c>
      <c r="T140" s="319">
        <f>'Initial unit rates'!T138</f>
        <v>0</v>
      </c>
      <c r="U140" s="319">
        <f>'Initial unit rates'!U138</f>
        <v>0</v>
      </c>
      <c r="V140" s="319">
        <f>'Initial unit rates'!V138</f>
        <v>0</v>
      </c>
      <c r="W140" s="319">
        <f>'Initial unit rates'!W138</f>
        <v>0</v>
      </c>
      <c r="X140" s="319">
        <f>'Initial unit rates'!X138</f>
        <v>0</v>
      </c>
      <c r="Y140" s="319">
        <f>'Initial unit rates'!Y138</f>
        <v>0</v>
      </c>
      <c r="Z140" s="319">
        <f>'Initial unit rates'!Z138</f>
        <v>0</v>
      </c>
      <c r="AA140" s="319">
        <f>'Initial unit rates'!AA138</f>
        <v>0</v>
      </c>
      <c r="AB140" s="319">
        <f>'Initial unit rates'!AB138</f>
        <v>0</v>
      </c>
      <c r="AC140" s="305"/>
      <c r="AD140" s="305"/>
      <c r="AE140" s="305"/>
      <c r="AF140" s="305"/>
      <c r="AG140" s="305"/>
      <c r="AH140" s="305"/>
      <c r="AI140" s="305"/>
      <c r="AJ140" s="305"/>
      <c r="AK140" s="305"/>
      <c r="AL140" s="305"/>
      <c r="AM140" s="305"/>
      <c r="AN140" s="305"/>
      <c r="AO140" s="305"/>
      <c r="AP140" s="305"/>
      <c r="AQ140" s="304"/>
      <c r="AR140" s="304"/>
    </row>
    <row r="141" spans="4:44" x14ac:dyDescent="0.25">
      <c r="E141" t="s">
        <v>230</v>
      </c>
      <c r="G141" t="s">
        <v>327</v>
      </c>
      <c r="H141" s="304"/>
      <c r="I141" s="304"/>
      <c r="J141" s="319">
        <f>'Initial unit rates'!J139</f>
        <v>0.16397052326982242</v>
      </c>
      <c r="K141" s="319">
        <f>'Initial unit rates'!K139</f>
        <v>0.1198735079636665</v>
      </c>
      <c r="L141" s="319">
        <f>'Initial unit rates'!L139</f>
        <v>0</v>
      </c>
      <c r="M141" s="319">
        <f>'Initial unit rates'!M139</f>
        <v>0.1497772321055903</v>
      </c>
      <c r="N141" s="319">
        <f>'Initial unit rates'!N139</f>
        <v>0.11936807584429791</v>
      </c>
      <c r="O141" s="319">
        <f>'Initial unit rates'!O139</f>
        <v>0</v>
      </c>
      <c r="P141" s="319">
        <f>'Initial unit rates'!P139</f>
        <v>0.1186700513118777</v>
      </c>
      <c r="Q141" s="319">
        <f>'Initial unit rates'!Q139</f>
        <v>0.11507728829050892</v>
      </c>
      <c r="R141" s="319">
        <f>'Initial unit rates'!R139</f>
        <v>0.11350178409110391</v>
      </c>
      <c r="S141" s="319">
        <f>'Initial unit rates'!S139</f>
        <v>0.16268107885056396</v>
      </c>
      <c r="T141" s="319">
        <f>'Initial unit rates'!T139</f>
        <v>0.13191592949993203</v>
      </c>
      <c r="U141" s="319">
        <f>'Initial unit rates'!U139</f>
        <v>0.11587457345758659</v>
      </c>
      <c r="V141" s="319">
        <f>'Initial unit rates'!V139</f>
        <v>9.6952221319830875E-2</v>
      </c>
      <c r="W141" s="319">
        <f>'Initial unit rates'!W139</f>
        <v>9.4888784287569E-2</v>
      </c>
      <c r="X141" s="319">
        <f>'Initial unit rates'!X139</f>
        <v>8.2793010591643137E-2</v>
      </c>
      <c r="Y141" s="319">
        <f>'Initial unit rates'!Y139</f>
        <v>0.15527144307001092</v>
      </c>
      <c r="Z141" s="319">
        <f>'Initial unit rates'!Z139</f>
        <v>0.28733636876723362</v>
      </c>
      <c r="AA141" s="319">
        <f>'Initial unit rates'!AA139</f>
        <v>2.372619438160609E-2</v>
      </c>
      <c r="AB141" s="319">
        <f>'Initial unit rates'!AB139</f>
        <v>0.14878188695019404</v>
      </c>
      <c r="AC141" s="305"/>
      <c r="AD141" s="305"/>
      <c r="AE141" s="305"/>
      <c r="AF141" s="305"/>
      <c r="AG141" s="305"/>
      <c r="AH141" s="305"/>
      <c r="AI141" s="305"/>
      <c r="AJ141" s="305"/>
      <c r="AK141" s="305"/>
      <c r="AL141" s="305"/>
      <c r="AM141" s="305"/>
      <c r="AN141" s="305"/>
      <c r="AO141" s="305"/>
      <c r="AP141" s="305"/>
      <c r="AQ141" s="304"/>
      <c r="AR141" s="304"/>
    </row>
    <row r="142" spans="4:44" x14ac:dyDescent="0.25">
      <c r="E142" t="s">
        <v>231</v>
      </c>
      <c r="G142" t="s">
        <v>327</v>
      </c>
      <c r="H142" s="304"/>
      <c r="I142" s="304"/>
      <c r="J142" s="319">
        <f>'Initial unit rates'!J140</f>
        <v>0.14835992363385692</v>
      </c>
      <c r="K142" s="319">
        <f>'Initial unit rates'!K140</f>
        <v>0.10846110710976305</v>
      </c>
      <c r="L142" s="319">
        <f>'Initial unit rates'!L140</f>
        <v>0</v>
      </c>
      <c r="M142" s="319">
        <f>'Initial unit rates'!M140</f>
        <v>0.13551788622830749</v>
      </c>
      <c r="N142" s="319">
        <f>'Initial unit rates'!N140</f>
        <v>0.10800379399557464</v>
      </c>
      <c r="O142" s="319">
        <f>'Initial unit rates'!O140</f>
        <v>0</v>
      </c>
      <c r="P142" s="319">
        <f>'Initial unit rates'!P140</f>
        <v>0.10737222397762693</v>
      </c>
      <c r="Q142" s="319">
        <f>'Initial unit rates'!Q140</f>
        <v>0.10412150527004738</v>
      </c>
      <c r="R142" s="319">
        <f>'Initial unit rates'!R140</f>
        <v>0.10269599489142943</v>
      </c>
      <c r="S142" s="319">
        <f>'Initial unit rates'!S140</f>
        <v>0.14719323908741264</v>
      </c>
      <c r="T142" s="319">
        <f>'Initial unit rates'!T140</f>
        <v>0.11935704562273036</v>
      </c>
      <c r="U142" s="319">
        <f>'Initial unit rates'!U140</f>
        <v>0.10484288594349564</v>
      </c>
      <c r="V142" s="319">
        <f>'Initial unit rates'!V140</f>
        <v>8.7722011641528624E-2</v>
      </c>
      <c r="W142" s="319">
        <f>'Initial unit rates'!W140</f>
        <v>8.5855021438503612E-2</v>
      </c>
      <c r="X142" s="319">
        <f>'Initial unit rates'!X140</f>
        <v>7.4910810088595417E-2</v>
      </c>
      <c r="Y142" s="319">
        <f>'Initial unit rates'!Y140</f>
        <v>0.14048902800949467</v>
      </c>
      <c r="Z142" s="319">
        <f>'Initial unit rates'!Z140</f>
        <v>0.25998088484103854</v>
      </c>
      <c r="AA142" s="319">
        <f>'Initial unit rates'!AA140</f>
        <v>2.146737301548246E-2</v>
      </c>
      <c r="AB142" s="319">
        <f>'Initial unit rates'!AB140</f>
        <v>0.13461730160919932</v>
      </c>
      <c r="AC142" s="305"/>
      <c r="AD142" s="305"/>
      <c r="AE142" s="305"/>
      <c r="AF142" s="305"/>
      <c r="AG142" s="305"/>
      <c r="AH142" s="305"/>
      <c r="AI142" s="305"/>
      <c r="AJ142" s="305"/>
      <c r="AK142" s="305"/>
      <c r="AL142" s="305"/>
      <c r="AM142" s="305"/>
      <c r="AN142" s="305"/>
      <c r="AO142" s="305"/>
      <c r="AP142" s="305"/>
      <c r="AQ142" s="304"/>
      <c r="AR142" s="304"/>
    </row>
    <row r="143" spans="4:44" x14ac:dyDescent="0.25">
      <c r="E143" t="s">
        <v>232</v>
      </c>
      <c r="G143" t="s">
        <v>327</v>
      </c>
      <c r="H143" s="304"/>
      <c r="I143" s="304"/>
      <c r="J143" s="319">
        <f>'Initial unit rates'!J141</f>
        <v>0</v>
      </c>
      <c r="K143" s="319">
        <f>'Initial unit rates'!K141</f>
        <v>0</v>
      </c>
      <c r="L143" s="319">
        <f>'Initial unit rates'!L141</f>
        <v>0</v>
      </c>
      <c r="M143" s="319">
        <f>'Initial unit rates'!M141</f>
        <v>0</v>
      </c>
      <c r="N143" s="319">
        <f>'Initial unit rates'!N141</f>
        <v>0</v>
      </c>
      <c r="O143" s="319">
        <f>'Initial unit rates'!O141</f>
        <v>0</v>
      </c>
      <c r="P143" s="319">
        <f>'Initial unit rates'!P141</f>
        <v>0</v>
      </c>
      <c r="Q143" s="319">
        <f>'Initial unit rates'!Q141</f>
        <v>0</v>
      </c>
      <c r="R143" s="319">
        <f>'Initial unit rates'!R141</f>
        <v>0</v>
      </c>
      <c r="S143" s="319">
        <f>'Initial unit rates'!S141</f>
        <v>0</v>
      </c>
      <c r="T143" s="319">
        <f>'Initial unit rates'!T141</f>
        <v>0</v>
      </c>
      <c r="U143" s="319">
        <f>'Initial unit rates'!U141</f>
        <v>0</v>
      </c>
      <c r="V143" s="319">
        <f>'Initial unit rates'!V141</f>
        <v>0</v>
      </c>
      <c r="W143" s="319">
        <f>'Initial unit rates'!W141</f>
        <v>0</v>
      </c>
      <c r="X143" s="319">
        <f>'Initial unit rates'!X141</f>
        <v>0</v>
      </c>
      <c r="Y143" s="319">
        <f>'Initial unit rates'!Y141</f>
        <v>0</v>
      </c>
      <c r="Z143" s="319">
        <f>'Initial unit rates'!Z141</f>
        <v>0</v>
      </c>
      <c r="AA143" s="319">
        <f>'Initial unit rates'!AA141</f>
        <v>0</v>
      </c>
      <c r="AB143" s="319">
        <f>'Initial unit rates'!AB141</f>
        <v>0</v>
      </c>
      <c r="AC143" s="305"/>
      <c r="AD143" s="305"/>
      <c r="AE143" s="305"/>
      <c r="AF143" s="305"/>
      <c r="AG143" s="305"/>
      <c r="AH143" s="305"/>
      <c r="AI143" s="305"/>
      <c r="AJ143" s="305"/>
      <c r="AK143" s="305"/>
      <c r="AL143" s="305"/>
      <c r="AM143" s="305"/>
      <c r="AN143" s="305"/>
      <c r="AO143" s="305"/>
      <c r="AP143" s="305"/>
      <c r="AQ143" s="304"/>
      <c r="AR143" s="304"/>
    </row>
    <row r="144" spans="4:44" x14ac:dyDescent="0.25">
      <c r="E144" t="s">
        <v>233</v>
      </c>
      <c r="G144" t="s">
        <v>327</v>
      </c>
      <c r="H144" s="304"/>
      <c r="I144" s="304"/>
      <c r="J144" s="319">
        <f>'Initial unit rates'!J142</f>
        <v>0.61306093515924365</v>
      </c>
      <c r="K144" s="319">
        <f>'Initial unit rates'!K142</f>
        <v>0.44818887826620529</v>
      </c>
      <c r="L144" s="319">
        <f>'Initial unit rates'!L142</f>
        <v>0</v>
      </c>
      <c r="M144" s="319">
        <f>'Initial unit rates'!M142</f>
        <v>0.55999437062914803</v>
      </c>
      <c r="N144" s="319">
        <f>'Initial unit rates'!N142</f>
        <v>0.44629914417509831</v>
      </c>
      <c r="O144" s="319">
        <f>'Initial unit rates'!O142</f>
        <v>0</v>
      </c>
      <c r="P144" s="319">
        <f>'Initial unit rates'!P142</f>
        <v>0.44368933624086715</v>
      </c>
      <c r="Q144" s="319">
        <f>'Initial unit rates'!Q142</f>
        <v>0.43025653982256556</v>
      </c>
      <c r="R144" s="319">
        <f>'Initial unit rates'!R142</f>
        <v>0.42436596840415802</v>
      </c>
      <c r="S144" s="319">
        <f>'Initial unit rates'!S142</f>
        <v>0.60823989790362887</v>
      </c>
      <c r="T144" s="319">
        <f>'Initial unit rates'!T142</f>
        <v>0.49321366724279497</v>
      </c>
      <c r="U144" s="319">
        <f>'Initial unit rates'!U142</f>
        <v>0.43323746822585496</v>
      </c>
      <c r="V144" s="319">
        <f>'Initial unit rates'!V142</f>
        <v>0.3624896614514892</v>
      </c>
      <c r="W144" s="319">
        <f>'Initial unit rates'!W142</f>
        <v>0.35477478312205291</v>
      </c>
      <c r="X144" s="319">
        <f>'Initial unit rates'!X142</f>
        <v>0.30955051850653814</v>
      </c>
      <c r="Y144" s="319">
        <f>'Initial unit rates'!Y142</f>
        <v>0.58053639272337021</v>
      </c>
      <c r="Z144" s="319">
        <f>'Initial unit rates'!Z142</f>
        <v>1.0743071341659951</v>
      </c>
      <c r="AA144" s="319">
        <f>'Initial unit rates'!AA142</f>
        <v>8.8708644854550101E-2</v>
      </c>
      <c r="AB144" s="319">
        <f>'Initial unit rates'!AB142</f>
        <v>0.55627292594747602</v>
      </c>
      <c r="AC144" s="305"/>
      <c r="AD144" s="305"/>
      <c r="AE144" s="305"/>
      <c r="AF144" s="305"/>
      <c r="AG144" s="305"/>
      <c r="AH144" s="305"/>
      <c r="AI144" s="305"/>
      <c r="AJ144" s="305"/>
      <c r="AK144" s="305"/>
      <c r="AL144" s="305"/>
      <c r="AM144" s="305"/>
      <c r="AN144" s="305"/>
      <c r="AO144" s="305"/>
      <c r="AP144" s="305"/>
      <c r="AQ144" s="304"/>
      <c r="AR144" s="304"/>
    </row>
    <row r="145" spans="2:44" x14ac:dyDescent="0.25">
      <c r="E145" t="s">
        <v>234</v>
      </c>
      <c r="G145" t="s">
        <v>327</v>
      </c>
      <c r="H145" s="304"/>
      <c r="I145" s="304"/>
      <c r="J145" s="319">
        <f>'Initial unit rates'!J143</f>
        <v>0.14845366564782531</v>
      </c>
      <c r="K145" s="319">
        <f>'Initial unit rates'!K143</f>
        <v>0.10852963884238109</v>
      </c>
      <c r="L145" s="319">
        <f>'Initial unit rates'!L143</f>
        <v>0</v>
      </c>
      <c r="M145" s="319">
        <f>'Initial unit rates'!M143</f>
        <v>0.13560351393202033</v>
      </c>
      <c r="N145" s="319">
        <f>'Initial unit rates'!N143</f>
        <v>0.10807203677244717</v>
      </c>
      <c r="O145" s="319">
        <f>'Initial unit rates'!O143</f>
        <v>0</v>
      </c>
      <c r="P145" s="319">
        <f>'Initial unit rates'!P143</f>
        <v>0.1074400676935941</v>
      </c>
      <c r="Q145" s="319">
        <f>'Initial unit rates'!Q143</f>
        <v>0.10418729500195315</v>
      </c>
      <c r="R145" s="319">
        <f>'Initial unit rates'!R143</f>
        <v>0</v>
      </c>
      <c r="S145" s="319">
        <f>'Initial unit rates'!S143</f>
        <v>0.14728624392548897</v>
      </c>
      <c r="T145" s="319">
        <f>'Initial unit rates'!T143</f>
        <v>0.11943246201257433</v>
      </c>
      <c r="U145" s="319">
        <f>'Initial unit rates'!U143</f>
        <v>0.10490913148365145</v>
      </c>
      <c r="V145" s="319">
        <f>'Initial unit rates'!V143</f>
        <v>8.7777439265372167E-2</v>
      </c>
      <c r="W145" s="319">
        <f>'Initial unit rates'!W143</f>
        <v>0</v>
      </c>
      <c r="X145" s="319">
        <f>'Initial unit rates'!X143</f>
        <v>7.495814288598239E-2</v>
      </c>
      <c r="Y145" s="319">
        <f>'Initial unit rates'!Y143</f>
        <v>0.14057779675582116</v>
      </c>
      <c r="Z145" s="319">
        <f>'Initial unit rates'!Z143</f>
        <v>0.26014515515839481</v>
      </c>
      <c r="AA145" s="319">
        <f>'Initial unit rates'!AA143</f>
        <v>2.1480937290333721E-2</v>
      </c>
      <c r="AB145" s="319">
        <f>'Initial unit rates'!AB143</f>
        <v>0.13470236027368734</v>
      </c>
      <c r="AC145" s="305"/>
      <c r="AD145" s="305"/>
      <c r="AE145" s="305"/>
      <c r="AF145" s="305"/>
      <c r="AG145" s="305"/>
      <c r="AH145" s="305"/>
      <c r="AI145" s="305"/>
      <c r="AJ145" s="305"/>
      <c r="AK145" s="305"/>
      <c r="AL145" s="305"/>
      <c r="AM145" s="305"/>
      <c r="AN145" s="305"/>
      <c r="AO145" s="305"/>
      <c r="AP145" s="305"/>
      <c r="AQ145" s="304"/>
      <c r="AR145" s="304"/>
    </row>
    <row r="146" spans="2:44" x14ac:dyDescent="0.25">
      <c r="E146" t="s">
        <v>235</v>
      </c>
      <c r="G146" t="s">
        <v>327</v>
      </c>
      <c r="H146" s="304"/>
      <c r="I146" s="304"/>
      <c r="J146" s="319">
        <f>'Initial unit rates'!J144</f>
        <v>0.35240387710546184</v>
      </c>
      <c r="K146" s="319">
        <f>'Initial unit rates'!K144</f>
        <v>0.25763099443864013</v>
      </c>
      <c r="L146" s="319">
        <f>'Initial unit rates'!L144</f>
        <v>0</v>
      </c>
      <c r="M146" s="319">
        <f>'Initial unit rates'!M144</f>
        <v>0.32189979176488265</v>
      </c>
      <c r="N146" s="319">
        <f>'Initial unit rates'!N144</f>
        <v>0.25654472457179323</v>
      </c>
      <c r="O146" s="319">
        <f>'Initial unit rates'!O144</f>
        <v>0</v>
      </c>
      <c r="P146" s="319">
        <f>'Initial unit rates'!P144</f>
        <v>0.25504453693663626</v>
      </c>
      <c r="Q146" s="319">
        <f>'Initial unit rates'!Q144</f>
        <v>0</v>
      </c>
      <c r="R146" s="319">
        <f>'Initial unit rates'!R144</f>
        <v>0</v>
      </c>
      <c r="S146" s="319">
        <f>'Initial unit rates'!S144</f>
        <v>0.34963261551772556</v>
      </c>
      <c r="T146" s="319">
        <f>'Initial unit rates'!T144</f>
        <v>0.28351245138889258</v>
      </c>
      <c r="U146" s="319">
        <f>'Initial unit rates'!U144</f>
        <v>0.24903652272426741</v>
      </c>
      <c r="V146" s="319">
        <f>'Initial unit rates'!V144</f>
        <v>0</v>
      </c>
      <c r="W146" s="319">
        <f>'Initial unit rates'!W144</f>
        <v>0</v>
      </c>
      <c r="X146" s="319">
        <f>'Initial unit rates'!X144</f>
        <v>0.17793794486901138</v>
      </c>
      <c r="Y146" s="319">
        <f>'Initial unit rates'!Y144</f>
        <v>0.33370789731267714</v>
      </c>
      <c r="Z146" s="319">
        <f>'Initial unit rates'!Z144</f>
        <v>0.61754056990079587</v>
      </c>
      <c r="AA146" s="319">
        <f>'Initial unit rates'!AA144</f>
        <v>5.0992109571285547E-2</v>
      </c>
      <c r="AB146" s="319">
        <f>'Initial unit rates'!AB144</f>
        <v>0.31976060549636909</v>
      </c>
      <c r="AC146" s="305"/>
      <c r="AD146" s="305"/>
      <c r="AE146" s="305"/>
      <c r="AF146" s="305"/>
      <c r="AG146" s="305"/>
      <c r="AH146" s="305"/>
      <c r="AI146" s="305"/>
      <c r="AJ146" s="305"/>
      <c r="AK146" s="305"/>
      <c r="AL146" s="305"/>
      <c r="AM146" s="305"/>
      <c r="AN146" s="305"/>
      <c r="AO146" s="305"/>
      <c r="AP146" s="305"/>
      <c r="AQ146" s="304"/>
      <c r="AR146" s="304"/>
    </row>
    <row r="147" spans="2:44" x14ac:dyDescent="0.25">
      <c r="E147" t="s">
        <v>436</v>
      </c>
      <c r="G147" t="s">
        <v>327</v>
      </c>
      <c r="H147" s="304"/>
      <c r="I147" s="304"/>
      <c r="J147" s="305"/>
      <c r="K147" s="305"/>
      <c r="L147" s="305"/>
      <c r="M147" s="305"/>
      <c r="N147" s="305"/>
      <c r="O147" s="305"/>
      <c r="P147" s="305"/>
      <c r="Q147" s="305"/>
      <c r="R147" s="305"/>
      <c r="S147" s="305"/>
      <c r="T147" s="305"/>
      <c r="U147" s="305"/>
      <c r="V147" s="305"/>
      <c r="W147" s="305"/>
      <c r="X147" s="305"/>
      <c r="Y147" s="305"/>
      <c r="Z147" s="305"/>
      <c r="AA147" s="305"/>
      <c r="AB147" s="305"/>
      <c r="AC147" s="305"/>
      <c r="AD147" s="305"/>
      <c r="AE147" s="305"/>
      <c r="AF147" s="305"/>
      <c r="AG147" s="305"/>
      <c r="AH147" s="305"/>
      <c r="AI147" s="305"/>
      <c r="AJ147" s="305"/>
      <c r="AK147" s="305"/>
      <c r="AL147" s="305"/>
      <c r="AM147" s="305"/>
      <c r="AN147" s="305"/>
      <c r="AO147" s="305"/>
      <c r="AP147" s="305"/>
      <c r="AQ147" s="304"/>
      <c r="AR147" s="304"/>
    </row>
    <row r="148" spans="2:44" x14ac:dyDescent="0.25">
      <c r="E148" s="37" t="s">
        <v>437</v>
      </c>
      <c r="F148" s="37"/>
      <c r="G148" s="37" t="s">
        <v>327</v>
      </c>
      <c r="H148" s="308"/>
      <c r="I148" s="308"/>
      <c r="J148" s="309"/>
      <c r="K148" s="309"/>
      <c r="L148" s="309"/>
      <c r="M148" s="309"/>
      <c r="N148" s="309"/>
      <c r="O148" s="309"/>
      <c r="P148" s="309"/>
      <c r="Q148" s="309"/>
      <c r="R148" s="309"/>
      <c r="S148" s="309"/>
      <c r="T148" s="309"/>
      <c r="U148" s="309"/>
      <c r="V148" s="309"/>
      <c r="W148" s="309"/>
      <c r="X148" s="309"/>
      <c r="Y148" s="309"/>
      <c r="Z148" s="309"/>
      <c r="AA148" s="309"/>
      <c r="AB148" s="309"/>
      <c r="AC148" s="309"/>
      <c r="AD148" s="309"/>
      <c r="AE148" s="309"/>
      <c r="AF148" s="309"/>
      <c r="AG148" s="309"/>
      <c r="AH148" s="309"/>
      <c r="AI148" s="309"/>
      <c r="AJ148" s="309"/>
      <c r="AK148" s="309"/>
      <c r="AL148" s="309"/>
      <c r="AM148" s="309"/>
      <c r="AN148" s="309"/>
      <c r="AO148" s="309"/>
      <c r="AP148" s="309"/>
      <c r="AQ148" s="304"/>
      <c r="AR148" s="304"/>
    </row>
    <row r="149" spans="2:44" x14ac:dyDescent="0.25">
      <c r="D149"/>
      <c r="E149"/>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B150" s="30" t="s">
        <v>800</v>
      </c>
      <c r="C150" s="30"/>
      <c r="D150" s="30"/>
      <c r="E150" s="30"/>
      <c r="F150" s="30"/>
      <c r="G150" s="30"/>
      <c r="H150" s="30"/>
      <c r="I150" s="30"/>
      <c r="J150" s="201"/>
      <c r="K150" s="201"/>
      <c r="L150" s="201"/>
      <c r="M150" s="201"/>
      <c r="N150" s="201"/>
      <c r="O150" s="201"/>
      <c r="P150" s="201"/>
      <c r="Q150" s="201"/>
      <c r="R150" s="201"/>
      <c r="S150" s="201"/>
      <c r="T150" s="201"/>
      <c r="U150" s="201"/>
      <c r="V150" s="201"/>
      <c r="W150" s="201"/>
      <c r="X150" s="201"/>
      <c r="Y150" s="201"/>
      <c r="Z150" s="201"/>
      <c r="AA150" s="201"/>
      <c r="AB150" s="201"/>
      <c r="AC150" s="201"/>
      <c r="AD150" s="201"/>
      <c r="AE150" s="201"/>
      <c r="AF150" s="201"/>
      <c r="AG150" s="201"/>
      <c r="AH150" s="201"/>
      <c r="AI150" s="201"/>
      <c r="AJ150" s="201"/>
      <c r="AK150" s="201"/>
      <c r="AL150" s="201"/>
      <c r="AM150" s="201"/>
      <c r="AN150" s="201"/>
      <c r="AO150" s="201"/>
      <c r="AP150" s="201"/>
      <c r="AQ150" s="30"/>
      <c r="AR150" s="30"/>
    </row>
    <row r="151" spans="2:44" x14ac:dyDescent="0.25">
      <c r="C151" s="230"/>
      <c r="D151"/>
      <c r="E151"/>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C152" s="29" t="s">
        <v>801</v>
      </c>
      <c r="D152"/>
      <c r="E152"/>
      <c r="J152" s="92"/>
      <c r="K152" s="92"/>
      <c r="L152" s="92"/>
      <c r="M152" s="92"/>
      <c r="N152" s="92"/>
      <c r="O152" s="92"/>
      <c r="P152" s="92"/>
      <c r="Q152" s="92"/>
      <c r="R152" s="92"/>
      <c r="S152" s="92"/>
      <c r="T152" s="92"/>
      <c r="U152" s="92"/>
      <c r="V152" s="92"/>
      <c r="W152" s="92"/>
      <c r="X152" s="92"/>
      <c r="Y152" s="92"/>
      <c r="Z152" s="92"/>
      <c r="AA152" s="92"/>
      <c r="AB152" s="92"/>
      <c r="AC152" s="92"/>
      <c r="AD152" s="92"/>
      <c r="AE152" s="92"/>
      <c r="AF152" s="92"/>
      <c r="AG152" s="92"/>
      <c r="AH152" s="92"/>
      <c r="AI152" s="92"/>
      <c r="AJ152" s="92"/>
      <c r="AK152" s="92"/>
      <c r="AL152" s="92"/>
      <c r="AM152" s="92"/>
      <c r="AN152" s="92"/>
      <c r="AO152" s="92"/>
      <c r="AP152" s="92"/>
    </row>
    <row r="153" spans="2:44" x14ac:dyDescent="0.25">
      <c r="C153" s="29" t="s">
        <v>802</v>
      </c>
      <c r="D153"/>
      <c r="E153"/>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C154" s="230"/>
      <c r="D154"/>
      <c r="E154"/>
      <c r="J154" s="92"/>
      <c r="K154" s="92"/>
      <c r="L154" s="92"/>
      <c r="M154" s="92"/>
      <c r="N154" s="92"/>
      <c r="O154" s="92"/>
      <c r="P154" s="92"/>
      <c r="Q154" s="92"/>
      <c r="R154" s="92"/>
      <c r="S154" s="92"/>
      <c r="T154" s="92"/>
      <c r="U154" s="92"/>
      <c r="V154" s="92"/>
      <c r="W154" s="92"/>
      <c r="X154" s="92"/>
      <c r="Y154" s="92"/>
      <c r="Z154" s="92"/>
      <c r="AA154" s="92"/>
      <c r="AB154" s="92"/>
      <c r="AC154" s="92"/>
      <c r="AD154" s="92"/>
      <c r="AE154" s="92"/>
      <c r="AF154" s="92"/>
      <c r="AG154" s="92"/>
      <c r="AH154" s="92"/>
      <c r="AI154" s="92"/>
      <c r="AJ154" s="92"/>
      <c r="AK154" s="92"/>
      <c r="AL154" s="92"/>
      <c r="AM154" s="92"/>
      <c r="AN154" s="92"/>
      <c r="AO154" s="92"/>
      <c r="AP154" s="92"/>
    </row>
    <row r="155" spans="2:44" x14ac:dyDescent="0.25">
      <c r="C155" s="31" t="str">
        <f ca="1">INDEX('Version control'!$H$34:$H$56,MATCH($A$1,'Version control'!$F$34:$F$56,0),1)&amp;"-C: Yardstick charge used for generation"</f>
        <v>Section 112-C: Yardstick charge used for generation</v>
      </c>
      <c r="D155" s="31"/>
      <c r="E155" s="31"/>
      <c r="F155" s="31"/>
      <c r="G155" s="31"/>
      <c r="H155" s="31"/>
      <c r="I155" s="31"/>
      <c r="J155" s="93"/>
      <c r="K155" s="93"/>
      <c r="L155" s="93"/>
      <c r="M155" s="93"/>
      <c r="N155" s="93"/>
      <c r="O155" s="93"/>
      <c r="P155" s="93"/>
      <c r="Q155" s="93"/>
      <c r="R155" s="93"/>
      <c r="S155" s="93"/>
      <c r="T155" s="93"/>
      <c r="U155" s="93"/>
      <c r="V155" s="93"/>
      <c r="W155" s="93"/>
      <c r="X155" s="93"/>
      <c r="Y155" s="93"/>
      <c r="Z155" s="93"/>
      <c r="AA155" s="93"/>
      <c r="AB155" s="93"/>
      <c r="AC155" s="93"/>
      <c r="AD155" s="93"/>
      <c r="AE155" s="93"/>
      <c r="AF155" s="93"/>
      <c r="AG155" s="93"/>
      <c r="AH155" s="93"/>
      <c r="AI155" s="93"/>
      <c r="AJ155" s="93"/>
      <c r="AK155" s="93"/>
      <c r="AL155" s="93"/>
      <c r="AM155" s="93"/>
      <c r="AN155" s="93"/>
      <c r="AO155" s="93"/>
      <c r="AP155" s="93"/>
      <c r="AQ155" s="31"/>
      <c r="AR155" s="31"/>
    </row>
    <row r="156" spans="2:44" x14ac:dyDescent="0.25">
      <c r="D156" s="32"/>
      <c r="E156" s="32"/>
      <c r="I156" t="s">
        <v>190</v>
      </c>
      <c r="J156" s="92"/>
      <c r="K156" s="92"/>
      <c r="L156" s="92"/>
      <c r="M156" s="92"/>
      <c r="N156" s="92"/>
      <c r="O156" s="92"/>
      <c r="P156" s="92"/>
      <c r="Q156" s="92"/>
      <c r="R156" s="92"/>
      <c r="S156" s="92"/>
      <c r="T156" s="92"/>
      <c r="U156" s="92"/>
      <c r="V156" s="92"/>
      <c r="W156" s="92"/>
      <c r="X156" s="92"/>
      <c r="Y156" s="92"/>
      <c r="Z156" s="92"/>
      <c r="AA156" s="92"/>
      <c r="AB156" s="92"/>
      <c r="AC156" s="92"/>
      <c r="AD156" s="92"/>
      <c r="AE156" s="92"/>
      <c r="AF156" s="92"/>
      <c r="AG156" s="92"/>
      <c r="AH156" s="92"/>
      <c r="AI156" s="92"/>
      <c r="AJ156" s="92"/>
      <c r="AK156" s="92"/>
      <c r="AL156" s="92"/>
      <c r="AM156" s="92"/>
      <c r="AN156" s="92"/>
      <c r="AO156" s="92"/>
      <c r="AP156" s="92"/>
      <c r="AR156" t="s">
        <v>803</v>
      </c>
    </row>
    <row r="157" spans="2:44" x14ac:dyDescent="0.25">
      <c r="D157"/>
      <c r="E157" s="32" t="s">
        <v>733</v>
      </c>
      <c r="J157" s="92"/>
      <c r="K157" s="92"/>
      <c r="L157" s="92"/>
      <c r="M157" s="92"/>
      <c r="N157" s="92"/>
      <c r="O157" s="92"/>
      <c r="P157" s="92"/>
      <c r="Q157" s="92"/>
      <c r="R157" s="92"/>
      <c r="S157" s="92"/>
      <c r="T157" s="92"/>
      <c r="U157" s="92"/>
      <c r="V157" s="92"/>
      <c r="W157" s="92"/>
      <c r="X157" s="92"/>
      <c r="Y157" s="92"/>
      <c r="Z157" s="92"/>
      <c r="AA157" s="92"/>
      <c r="AB157" s="92"/>
      <c r="AC157" s="92"/>
      <c r="AD157" s="92"/>
      <c r="AE157" s="92"/>
      <c r="AF157" s="92"/>
      <c r="AG157" s="92"/>
      <c r="AH157" s="92"/>
      <c r="AI157" s="92"/>
      <c r="AJ157" s="92"/>
      <c r="AK157" s="92"/>
      <c r="AL157" s="92"/>
      <c r="AM157" s="92"/>
      <c r="AN157" s="92"/>
      <c r="AO157" s="92"/>
      <c r="AP157" s="92"/>
    </row>
    <row r="158" spans="2:44" x14ac:dyDescent="0.25">
      <c r="D158"/>
      <c r="F158" s="23" t="s">
        <v>225</v>
      </c>
      <c r="G158" s="23" t="s">
        <v>327</v>
      </c>
      <c r="H158" s="302"/>
      <c r="I158" s="302"/>
      <c r="J158" s="320"/>
      <c r="K158" s="320"/>
      <c r="L158" s="320"/>
      <c r="M158" s="320"/>
      <c r="N158" s="320"/>
      <c r="O158" s="320"/>
      <c r="P158" s="320"/>
      <c r="Q158" s="320"/>
      <c r="R158" s="320"/>
      <c r="S158" s="320"/>
      <c r="T158" s="320"/>
      <c r="U158" s="320"/>
      <c r="V158" s="320"/>
      <c r="W158" s="320"/>
      <c r="X158" s="320"/>
      <c r="Y158" s="320"/>
      <c r="Z158" s="320"/>
      <c r="AA158" s="320"/>
      <c r="AB158" s="320"/>
      <c r="AC158" s="320"/>
      <c r="AD158" s="320"/>
      <c r="AE158" s="320"/>
      <c r="AF158" s="320"/>
      <c r="AG158" s="320"/>
      <c r="AH158" s="320"/>
      <c r="AI158" s="320"/>
      <c r="AJ158" s="320"/>
      <c r="AK158" s="320"/>
      <c r="AL158" s="320"/>
      <c r="AM158" s="320"/>
      <c r="AN158" s="320"/>
      <c r="AO158" s="320"/>
      <c r="AP158" s="320"/>
      <c r="AQ158" s="304"/>
      <c r="AR158" s="304"/>
    </row>
    <row r="159" spans="2:44" x14ac:dyDescent="0.25">
      <c r="D159"/>
      <c r="F159" t="s">
        <v>227</v>
      </c>
      <c r="G159" t="s">
        <v>327</v>
      </c>
      <c r="H159" s="304"/>
      <c r="I159" s="304"/>
      <c r="J159" s="305"/>
      <c r="K159" s="305"/>
      <c r="L159" s="305"/>
      <c r="M159" s="305"/>
      <c r="N159" s="305"/>
      <c r="O159" s="305"/>
      <c r="P159" s="305"/>
      <c r="Q159" s="305"/>
      <c r="R159" s="305"/>
      <c r="S159" s="305"/>
      <c r="T159" s="305"/>
      <c r="U159" s="305"/>
      <c r="V159" s="305"/>
      <c r="W159" s="305"/>
      <c r="X159" s="305"/>
      <c r="Y159" s="305"/>
      <c r="Z159" s="305"/>
      <c r="AA159" s="305"/>
      <c r="AB159" s="305"/>
      <c r="AC159" s="305"/>
      <c r="AD159" s="305"/>
      <c r="AE159" s="305"/>
      <c r="AF159" s="305"/>
      <c r="AG159" s="305"/>
      <c r="AH159" s="305"/>
      <c r="AI159" s="305"/>
      <c r="AJ159" s="305"/>
      <c r="AK159" s="305"/>
      <c r="AL159" s="305"/>
      <c r="AM159" s="305"/>
      <c r="AN159" s="305"/>
      <c r="AO159" s="305"/>
      <c r="AP159" s="305"/>
      <c r="AQ159" s="304"/>
      <c r="AR159" s="304"/>
    </row>
    <row r="160" spans="2:44" x14ac:dyDescent="0.25">
      <c r="D160"/>
      <c r="F160" t="s">
        <v>228</v>
      </c>
      <c r="G160" t="s">
        <v>327</v>
      </c>
      <c r="H160" s="304"/>
      <c r="I160" s="304"/>
      <c r="J160" s="305"/>
      <c r="K160" s="305"/>
      <c r="L160" s="305"/>
      <c r="M160" s="305"/>
      <c r="N160" s="305"/>
      <c r="O160" s="305"/>
      <c r="P160" s="305"/>
      <c r="Q160" s="305"/>
      <c r="R160" s="305"/>
      <c r="S160" s="305"/>
      <c r="T160" s="305"/>
      <c r="U160" s="305"/>
      <c r="V160" s="305"/>
      <c r="W160" s="305"/>
      <c r="X160" s="305"/>
      <c r="Y160" s="305"/>
      <c r="Z160" s="305"/>
      <c r="AA160" s="305"/>
      <c r="AB160" s="305"/>
      <c r="AC160" s="322">
        <f t="shared" ref="AC160:AP160" si="0">hundred * $H51 * AC95 / $H37 * (1 - AC109) / hours_in_year</f>
        <v>0</v>
      </c>
      <c r="AD160" s="322">
        <f t="shared" si="0"/>
        <v>0</v>
      </c>
      <c r="AE160" s="322">
        <f t="shared" si="0"/>
        <v>0</v>
      </c>
      <c r="AF160" s="322">
        <f t="shared" si="0"/>
        <v>0</v>
      </c>
      <c r="AG160" s="322">
        <f t="shared" si="0"/>
        <v>0</v>
      </c>
      <c r="AH160" s="322">
        <f t="shared" si="0"/>
        <v>0</v>
      </c>
      <c r="AI160" s="322">
        <f t="shared" si="0"/>
        <v>0</v>
      </c>
      <c r="AJ160" s="322">
        <f t="shared" si="0"/>
        <v>0</v>
      </c>
      <c r="AK160" s="322">
        <f t="shared" si="0"/>
        <v>0</v>
      </c>
      <c r="AL160" s="322">
        <f t="shared" si="0"/>
        <v>0</v>
      </c>
      <c r="AM160" s="322">
        <f t="shared" si="0"/>
        <v>0</v>
      </c>
      <c r="AN160" s="322">
        <f t="shared" si="0"/>
        <v>0</v>
      </c>
      <c r="AO160" s="322">
        <f t="shared" si="0"/>
        <v>0</v>
      </c>
      <c r="AP160" s="322">
        <f t="shared" si="0"/>
        <v>0</v>
      </c>
      <c r="AQ160" s="304"/>
      <c r="AR160" s="304"/>
    </row>
    <row r="161" spans="5:44" customFormat="1" x14ac:dyDescent="0.25">
      <c r="E161" s="2"/>
      <c r="F161" t="s">
        <v>229</v>
      </c>
      <c r="G161" t="s">
        <v>327</v>
      </c>
      <c r="H161" s="304"/>
      <c r="I161" s="304"/>
      <c r="J161" s="305"/>
      <c r="K161" s="305"/>
      <c r="L161" s="305"/>
      <c r="M161" s="305"/>
      <c r="N161" s="305"/>
      <c r="O161" s="305"/>
      <c r="P161" s="305"/>
      <c r="Q161" s="305"/>
      <c r="R161" s="305"/>
      <c r="S161" s="305"/>
      <c r="T161" s="305"/>
      <c r="U161" s="305"/>
      <c r="V161" s="305"/>
      <c r="W161" s="305"/>
      <c r="X161" s="305"/>
      <c r="Y161" s="305"/>
      <c r="Z161" s="305"/>
      <c r="AA161" s="305"/>
      <c r="AB161" s="305"/>
      <c r="AC161" s="322">
        <f t="shared" ref="AC161:AP161" si="1">hundred * $H52 * AC96 / $H38 * (1 - AC110) / hours_in_year</f>
        <v>0</v>
      </c>
      <c r="AD161" s="322">
        <f t="shared" si="1"/>
        <v>0</v>
      </c>
      <c r="AE161" s="322">
        <f t="shared" si="1"/>
        <v>0</v>
      </c>
      <c r="AF161" s="322">
        <f t="shared" si="1"/>
        <v>0</v>
      </c>
      <c r="AG161" s="322">
        <f t="shared" si="1"/>
        <v>0</v>
      </c>
      <c r="AH161" s="322">
        <f t="shared" si="1"/>
        <v>0</v>
      </c>
      <c r="AI161" s="322">
        <f t="shared" si="1"/>
        <v>0</v>
      </c>
      <c r="AJ161" s="322">
        <f t="shared" si="1"/>
        <v>0</v>
      </c>
      <c r="AK161" s="322">
        <f t="shared" si="1"/>
        <v>0</v>
      </c>
      <c r="AL161" s="322">
        <f t="shared" si="1"/>
        <v>0</v>
      </c>
      <c r="AM161" s="322">
        <f t="shared" si="1"/>
        <v>0</v>
      </c>
      <c r="AN161" s="322">
        <f t="shared" si="1"/>
        <v>0</v>
      </c>
      <c r="AO161" s="322">
        <f t="shared" si="1"/>
        <v>0</v>
      </c>
      <c r="AP161" s="322">
        <f t="shared" si="1"/>
        <v>0</v>
      </c>
      <c r="AQ161" s="304"/>
      <c r="AR161" s="304"/>
    </row>
    <row r="162" spans="5:44" customFormat="1" x14ac:dyDescent="0.25">
      <c r="E162" s="2"/>
      <c r="F162" t="s">
        <v>230</v>
      </c>
      <c r="G162" t="s">
        <v>327</v>
      </c>
      <c r="H162" s="304"/>
      <c r="I162" s="304"/>
      <c r="J162" s="305"/>
      <c r="K162" s="305"/>
      <c r="L162" s="305"/>
      <c r="M162" s="305"/>
      <c r="N162" s="305"/>
      <c r="O162" s="305"/>
      <c r="P162" s="305"/>
      <c r="Q162" s="305"/>
      <c r="R162" s="305"/>
      <c r="S162" s="305"/>
      <c r="T162" s="305"/>
      <c r="U162" s="305"/>
      <c r="V162" s="305"/>
      <c r="W162" s="305"/>
      <c r="X162" s="305"/>
      <c r="Y162" s="305"/>
      <c r="Z162" s="305"/>
      <c r="AA162" s="305"/>
      <c r="AB162" s="305"/>
      <c r="AC162" s="322">
        <f t="shared" ref="AC162:AP162" si="2">hundred * $H53 * AC97 / $H39 * (1 - AC111) / hours_in_year</f>
        <v>-0.10571714383350229</v>
      </c>
      <c r="AD162" s="322">
        <f t="shared" si="2"/>
        <v>-0.10251653305689165</v>
      </c>
      <c r="AE162" s="322">
        <f t="shared" si="2"/>
        <v>-0.10571714383350229</v>
      </c>
      <c r="AF162" s="322">
        <f t="shared" si="2"/>
        <v>-0.10571714383350229</v>
      </c>
      <c r="AG162" s="322">
        <f t="shared" si="2"/>
        <v>-0.10571714383350229</v>
      </c>
      <c r="AH162" s="322">
        <f t="shared" si="2"/>
        <v>-0.10571714383350229</v>
      </c>
      <c r="AI162" s="322">
        <f t="shared" si="2"/>
        <v>-0.10251653305689165</v>
      </c>
      <c r="AJ162" s="322">
        <f t="shared" si="2"/>
        <v>-0.10251653305689165</v>
      </c>
      <c r="AK162" s="322">
        <f t="shared" si="2"/>
        <v>-0.10251653305689165</v>
      </c>
      <c r="AL162" s="322">
        <f t="shared" si="2"/>
        <v>-0.10251653305689165</v>
      </c>
      <c r="AM162" s="322">
        <f t="shared" si="2"/>
        <v>-9.9850951993363149E-2</v>
      </c>
      <c r="AN162" s="322">
        <f t="shared" si="2"/>
        <v>-9.9850951993363149E-2</v>
      </c>
      <c r="AO162" s="322">
        <f t="shared" si="2"/>
        <v>-9.9850951993363149E-2</v>
      </c>
      <c r="AP162" s="322">
        <f t="shared" si="2"/>
        <v>-9.9850951993363149E-2</v>
      </c>
      <c r="AQ162" s="304"/>
      <c r="AR162" s="304"/>
    </row>
    <row r="163" spans="5:44" customFormat="1" x14ac:dyDescent="0.25">
      <c r="E163" s="2"/>
      <c r="F163" t="s">
        <v>231</v>
      </c>
      <c r="G163" t="s">
        <v>327</v>
      </c>
      <c r="H163" s="304"/>
      <c r="I163" s="304"/>
      <c r="J163" s="305"/>
      <c r="K163" s="305"/>
      <c r="L163" s="305"/>
      <c r="M163" s="305"/>
      <c r="N163" s="305"/>
      <c r="O163" s="305"/>
      <c r="P163" s="305"/>
      <c r="Q163" s="305"/>
      <c r="R163" s="305"/>
      <c r="S163" s="305"/>
      <c r="T163" s="305"/>
      <c r="U163" s="305"/>
      <c r="V163" s="305"/>
      <c r="W163" s="305"/>
      <c r="X163" s="305"/>
      <c r="Y163" s="305"/>
      <c r="Z163" s="305"/>
      <c r="AA163" s="305"/>
      <c r="AB163" s="305"/>
      <c r="AC163" s="322">
        <f t="shared" ref="AC163:AP163" si="3">hundred * $H54 * AC98 / $H40 * (1 - AC112) / hours_in_year</f>
        <v>-9.5871221567034162E-2</v>
      </c>
      <c r="AD163" s="322">
        <f t="shared" si="3"/>
        <v>-9.2968698345279904E-2</v>
      </c>
      <c r="AE163" s="322">
        <f t="shared" si="3"/>
        <v>-9.5871221567034162E-2</v>
      </c>
      <c r="AF163" s="322">
        <f t="shared" si="3"/>
        <v>-9.5871221567034162E-2</v>
      </c>
      <c r="AG163" s="322">
        <f t="shared" si="3"/>
        <v>-9.5871221567034162E-2</v>
      </c>
      <c r="AH163" s="322">
        <f t="shared" si="3"/>
        <v>-9.5871221567034162E-2</v>
      </c>
      <c r="AI163" s="322">
        <f t="shared" si="3"/>
        <v>-9.2968698345279904E-2</v>
      </c>
      <c r="AJ163" s="322">
        <f t="shared" si="3"/>
        <v>-9.2968698345279904E-2</v>
      </c>
      <c r="AK163" s="322">
        <f t="shared" si="3"/>
        <v>-9.2968698345279904E-2</v>
      </c>
      <c r="AL163" s="322">
        <f t="shared" si="3"/>
        <v>-9.2968698345279904E-2</v>
      </c>
      <c r="AM163" s="322">
        <f t="shared" si="3"/>
        <v>-9.0722414369106955E-2</v>
      </c>
      <c r="AN163" s="322">
        <f t="shared" si="3"/>
        <v>-9.0722414369106955E-2</v>
      </c>
      <c r="AO163" s="322">
        <f t="shared" si="3"/>
        <v>-9.0722414369106955E-2</v>
      </c>
      <c r="AP163" s="322">
        <f t="shared" si="3"/>
        <v>-9.0722414369106955E-2</v>
      </c>
      <c r="AQ163" s="304"/>
      <c r="AR163" s="304"/>
    </row>
    <row r="164" spans="5:44" customFormat="1" x14ac:dyDescent="0.25">
      <c r="E164" s="2"/>
      <c r="F164" t="s">
        <v>232</v>
      </c>
      <c r="G164" t="s">
        <v>327</v>
      </c>
      <c r="H164" s="304"/>
      <c r="I164" s="304"/>
      <c r="J164" s="305"/>
      <c r="K164" s="305"/>
      <c r="L164" s="305"/>
      <c r="M164" s="305"/>
      <c r="N164" s="305"/>
      <c r="O164" s="305"/>
      <c r="P164" s="305"/>
      <c r="Q164" s="305"/>
      <c r="R164" s="305"/>
      <c r="S164" s="305"/>
      <c r="T164" s="305"/>
      <c r="U164" s="305"/>
      <c r="V164" s="305"/>
      <c r="W164" s="305"/>
      <c r="X164" s="305"/>
      <c r="Y164" s="305"/>
      <c r="Z164" s="305"/>
      <c r="AA164" s="305"/>
      <c r="AB164" s="305"/>
      <c r="AC164" s="322">
        <f t="shared" ref="AC164:AP164" si="4">hundred * $H55 * AC99 / $H41 * (1 - AC113) / hours_in_year</f>
        <v>0</v>
      </c>
      <c r="AD164" s="322">
        <f t="shared" si="4"/>
        <v>0</v>
      </c>
      <c r="AE164" s="322">
        <f t="shared" si="4"/>
        <v>0</v>
      </c>
      <c r="AF164" s="322">
        <f t="shared" si="4"/>
        <v>0</v>
      </c>
      <c r="AG164" s="322">
        <f t="shared" si="4"/>
        <v>0</v>
      </c>
      <c r="AH164" s="322">
        <f t="shared" si="4"/>
        <v>0</v>
      </c>
      <c r="AI164" s="322">
        <f t="shared" si="4"/>
        <v>0</v>
      </c>
      <c r="AJ164" s="322">
        <f t="shared" si="4"/>
        <v>0</v>
      </c>
      <c r="AK164" s="322">
        <f t="shared" si="4"/>
        <v>0</v>
      </c>
      <c r="AL164" s="322">
        <f t="shared" si="4"/>
        <v>0</v>
      </c>
      <c r="AM164" s="322">
        <f t="shared" si="4"/>
        <v>0</v>
      </c>
      <c r="AN164" s="322">
        <f t="shared" si="4"/>
        <v>0</v>
      </c>
      <c r="AO164" s="322">
        <f t="shared" si="4"/>
        <v>0</v>
      </c>
      <c r="AP164" s="322">
        <f t="shared" si="4"/>
        <v>0</v>
      </c>
      <c r="AQ164" s="304"/>
      <c r="AR164" s="304"/>
    </row>
    <row r="165" spans="5:44" customFormat="1" x14ac:dyDescent="0.25">
      <c r="E165" s="2"/>
      <c r="F165" t="s">
        <v>233</v>
      </c>
      <c r="G165" t="s">
        <v>327</v>
      </c>
      <c r="H165" s="304"/>
      <c r="I165" s="304"/>
      <c r="J165" s="305"/>
      <c r="K165" s="305"/>
      <c r="L165" s="305"/>
      <c r="M165" s="305"/>
      <c r="N165" s="305"/>
      <c r="O165" s="305"/>
      <c r="P165" s="305"/>
      <c r="Q165" s="305"/>
      <c r="R165" s="305"/>
      <c r="S165" s="305"/>
      <c r="T165" s="305"/>
      <c r="U165" s="305"/>
      <c r="V165" s="305"/>
      <c r="W165" s="305"/>
      <c r="X165" s="305"/>
      <c r="Y165" s="305"/>
      <c r="Z165" s="305"/>
      <c r="AA165" s="305"/>
      <c r="AB165" s="305"/>
      <c r="AC165" s="322">
        <f t="shared" ref="AC165:AP165" si="5">hundred * $H56 * AC100 / $H42 * (1 - AC114) / hours_in_year</f>
        <v>-0.22865739827562631</v>
      </c>
      <c r="AD165" s="322">
        <f t="shared" si="5"/>
        <v>-0.22173474309847427</v>
      </c>
      <c r="AE165" s="322">
        <f t="shared" si="5"/>
        <v>-0.22865739827562631</v>
      </c>
      <c r="AF165" s="322">
        <f t="shared" si="5"/>
        <v>-0.22865739827562631</v>
      </c>
      <c r="AG165" s="322">
        <f t="shared" si="5"/>
        <v>-0.22865739827562631</v>
      </c>
      <c r="AH165" s="322">
        <f t="shared" si="5"/>
        <v>-0.22865739827562631</v>
      </c>
      <c r="AI165" s="322">
        <f t="shared" si="5"/>
        <v>-0.22173474309847427</v>
      </c>
      <c r="AJ165" s="322">
        <f t="shared" si="5"/>
        <v>-0.22173474309847427</v>
      </c>
      <c r="AK165" s="322">
        <f t="shared" si="5"/>
        <v>-0.22173474309847427</v>
      </c>
      <c r="AL165" s="322">
        <f t="shared" si="5"/>
        <v>-0.22173474309847427</v>
      </c>
      <c r="AM165" s="322">
        <f t="shared" si="5"/>
        <v>-0.23081482075102394</v>
      </c>
      <c r="AN165" s="322">
        <f t="shared" si="5"/>
        <v>-0.23081482075102394</v>
      </c>
      <c r="AO165" s="322">
        <f t="shared" si="5"/>
        <v>-0.23081482075102394</v>
      </c>
      <c r="AP165" s="322">
        <f t="shared" si="5"/>
        <v>-0.23081482075102394</v>
      </c>
      <c r="AQ165" s="304"/>
      <c r="AR165" s="304"/>
    </row>
    <row r="166" spans="5:44" customFormat="1" x14ac:dyDescent="0.25">
      <c r="E166" s="2"/>
      <c r="F166" t="s">
        <v>234</v>
      </c>
      <c r="G166" t="s">
        <v>327</v>
      </c>
      <c r="H166" s="304"/>
      <c r="I166" s="304"/>
      <c r="J166" s="305"/>
      <c r="K166" s="305"/>
      <c r="L166" s="305"/>
      <c r="M166" s="305"/>
      <c r="N166" s="305"/>
      <c r="O166" s="305"/>
      <c r="P166" s="305"/>
      <c r="Q166" s="305"/>
      <c r="R166" s="305"/>
      <c r="S166" s="305"/>
      <c r="T166" s="305"/>
      <c r="U166" s="305"/>
      <c r="V166" s="305"/>
      <c r="W166" s="305"/>
      <c r="X166" s="305"/>
      <c r="Y166" s="305"/>
      <c r="Z166" s="305"/>
      <c r="AA166" s="305"/>
      <c r="AB166" s="305"/>
      <c r="AC166" s="322">
        <f t="shared" ref="AC166:AP166" si="6">hundred * $H57 * AC101 / $H43 * (1 - AC115) / hours_in_year</f>
        <v>-2.0941892895821584E-2</v>
      </c>
      <c r="AD166" s="322">
        <f t="shared" si="6"/>
        <v>-2.0307872285214138E-2</v>
      </c>
      <c r="AE166" s="322">
        <f t="shared" si="6"/>
        <v>-2.0941892895821584E-2</v>
      </c>
      <c r="AF166" s="322">
        <f t="shared" si="6"/>
        <v>-2.0941892895821584E-2</v>
      </c>
      <c r="AG166" s="322">
        <f t="shared" si="6"/>
        <v>-2.0941892895821584E-2</v>
      </c>
      <c r="AH166" s="322">
        <f t="shared" si="6"/>
        <v>-2.0941892895821584E-2</v>
      </c>
      <c r="AI166" s="322">
        <f t="shared" si="6"/>
        <v>-2.0307872285214138E-2</v>
      </c>
      <c r="AJ166" s="322">
        <f t="shared" si="6"/>
        <v>-2.0307872285214138E-2</v>
      </c>
      <c r="AK166" s="322">
        <f t="shared" si="6"/>
        <v>-2.0307872285214138E-2</v>
      </c>
      <c r="AL166" s="322">
        <f t="shared" si="6"/>
        <v>-2.0307872285214138E-2</v>
      </c>
      <c r="AM166" s="322">
        <f t="shared" si="6"/>
        <v>0</v>
      </c>
      <c r="AN166" s="322">
        <f t="shared" si="6"/>
        <v>0</v>
      </c>
      <c r="AO166" s="322">
        <f t="shared" si="6"/>
        <v>0</v>
      </c>
      <c r="AP166" s="322">
        <f t="shared" si="6"/>
        <v>0</v>
      </c>
      <c r="AQ166" s="304"/>
      <c r="AR166" s="304"/>
    </row>
    <row r="167" spans="5:44" customFormat="1" x14ac:dyDescent="0.25">
      <c r="E167" s="2"/>
      <c r="F167" t="s">
        <v>235</v>
      </c>
      <c r="G167" t="s">
        <v>327</v>
      </c>
      <c r="H167" s="304"/>
      <c r="I167" s="304"/>
      <c r="J167" s="305"/>
      <c r="K167" s="305"/>
      <c r="L167" s="305"/>
      <c r="M167" s="305"/>
      <c r="N167" s="305"/>
      <c r="O167" s="305"/>
      <c r="P167" s="305"/>
      <c r="Q167" s="305"/>
      <c r="R167" s="305"/>
      <c r="S167" s="305"/>
      <c r="T167" s="305"/>
      <c r="U167" s="305"/>
      <c r="V167" s="305"/>
      <c r="W167" s="305"/>
      <c r="X167" s="305"/>
      <c r="Y167" s="305"/>
      <c r="Z167" s="305"/>
      <c r="AA167" s="305"/>
      <c r="AB167" s="305"/>
      <c r="AC167" s="322">
        <f t="shared" ref="AC167:AP167" si="7">hundred * $H58 * AC102 / $H44 * (1 - AC116) / hours_in_year</f>
        <v>-7.6053000034116596E-3</v>
      </c>
      <c r="AD167" s="322">
        <f t="shared" si="7"/>
        <v>0</v>
      </c>
      <c r="AE167" s="322">
        <f t="shared" si="7"/>
        <v>-7.6053000034116596E-3</v>
      </c>
      <c r="AF167" s="322">
        <f t="shared" si="7"/>
        <v>-7.6053000034116596E-3</v>
      </c>
      <c r="AG167" s="322">
        <f t="shared" si="7"/>
        <v>-7.6053000034116596E-3</v>
      </c>
      <c r="AH167" s="322">
        <f t="shared" si="7"/>
        <v>-7.6053000034116596E-3</v>
      </c>
      <c r="AI167" s="322">
        <f t="shared" si="7"/>
        <v>0</v>
      </c>
      <c r="AJ167" s="322">
        <f t="shared" si="7"/>
        <v>0</v>
      </c>
      <c r="AK167" s="322">
        <f t="shared" si="7"/>
        <v>0</v>
      </c>
      <c r="AL167" s="322">
        <f t="shared" si="7"/>
        <v>0</v>
      </c>
      <c r="AM167" s="322">
        <f t="shared" si="7"/>
        <v>0</v>
      </c>
      <c r="AN167" s="322">
        <f t="shared" si="7"/>
        <v>0</v>
      </c>
      <c r="AO167" s="322">
        <f t="shared" si="7"/>
        <v>0</v>
      </c>
      <c r="AP167" s="322">
        <f t="shared" si="7"/>
        <v>0</v>
      </c>
      <c r="AQ167" s="304"/>
      <c r="AR167" s="304"/>
    </row>
    <row r="168" spans="5:44" customFormat="1" x14ac:dyDescent="0.25">
      <c r="E168" s="2"/>
      <c r="F168" t="s">
        <v>436</v>
      </c>
      <c r="G168" t="s">
        <v>327</v>
      </c>
      <c r="H168" s="304"/>
      <c r="I168" s="304"/>
      <c r="J168" s="305"/>
      <c r="K168" s="305"/>
      <c r="L168" s="305"/>
      <c r="M168" s="305"/>
      <c r="N168" s="305"/>
      <c r="O168" s="305"/>
      <c r="P168" s="305"/>
      <c r="Q168" s="305"/>
      <c r="R168" s="305"/>
      <c r="S168" s="305"/>
      <c r="T168" s="305"/>
      <c r="U168" s="305"/>
      <c r="V168" s="305"/>
      <c r="W168" s="305"/>
      <c r="X168" s="305"/>
      <c r="Y168" s="305"/>
      <c r="Z168" s="305"/>
      <c r="AA168" s="305"/>
      <c r="AB168" s="305"/>
      <c r="AC168" s="305"/>
      <c r="AD168" s="305"/>
      <c r="AE168" s="305"/>
      <c r="AF168" s="305"/>
      <c r="AG168" s="305"/>
      <c r="AH168" s="305"/>
      <c r="AI168" s="305"/>
      <c r="AJ168" s="305"/>
      <c r="AK168" s="305"/>
      <c r="AL168" s="305"/>
      <c r="AM168" s="305"/>
      <c r="AN168" s="305"/>
      <c r="AO168" s="305"/>
      <c r="AP168" s="305"/>
      <c r="AQ168" s="304"/>
      <c r="AR168" s="304"/>
    </row>
    <row r="169" spans="5:44" customFormat="1" x14ac:dyDescent="0.25">
      <c r="E169" s="2"/>
      <c r="F169" s="37" t="s">
        <v>437</v>
      </c>
      <c r="G169" s="37" t="s">
        <v>327</v>
      </c>
      <c r="H169" s="308"/>
      <c r="I169" s="308"/>
      <c r="J169" s="309"/>
      <c r="K169" s="309"/>
      <c r="L169" s="309"/>
      <c r="M169" s="309"/>
      <c r="N169" s="309"/>
      <c r="O169" s="309"/>
      <c r="P169" s="309"/>
      <c r="Q169" s="309"/>
      <c r="R169" s="309"/>
      <c r="S169" s="309"/>
      <c r="T169" s="309"/>
      <c r="U169" s="309"/>
      <c r="V169" s="309"/>
      <c r="W169" s="309"/>
      <c r="X169" s="309"/>
      <c r="Y169" s="309"/>
      <c r="Z169" s="309"/>
      <c r="AA169" s="309"/>
      <c r="AB169" s="309"/>
      <c r="AC169" s="309"/>
      <c r="AD169" s="309"/>
      <c r="AE169" s="309"/>
      <c r="AF169" s="309"/>
      <c r="AG169" s="309"/>
      <c r="AH169" s="309"/>
      <c r="AI169" s="309"/>
      <c r="AJ169" s="309"/>
      <c r="AK169" s="309"/>
      <c r="AL169" s="309"/>
      <c r="AM169" s="309"/>
      <c r="AN169" s="309"/>
      <c r="AO169" s="309"/>
      <c r="AP169" s="309"/>
      <c r="AQ169" s="304"/>
      <c r="AR169" s="304"/>
    </row>
    <row r="170" spans="5:44" customFormat="1" x14ac:dyDescent="0.25">
      <c r="E170" s="2"/>
      <c r="J170" s="92"/>
      <c r="K170" s="92"/>
      <c r="L170" s="92"/>
      <c r="M170" s="92"/>
      <c r="N170" s="92"/>
      <c r="O170" s="92"/>
      <c r="P170" s="92"/>
      <c r="Q170" s="92"/>
      <c r="R170" s="92"/>
      <c r="S170" s="92"/>
      <c r="T170" s="92"/>
      <c r="U170" s="92"/>
      <c r="V170" s="92"/>
      <c r="W170" s="92"/>
      <c r="X170" s="92"/>
      <c r="Y170" s="92"/>
      <c r="Z170" s="92"/>
      <c r="AA170" s="92"/>
      <c r="AB170" s="92"/>
      <c r="AC170" s="92"/>
      <c r="AD170" s="92"/>
      <c r="AE170" s="92"/>
      <c r="AF170" s="92"/>
      <c r="AG170" s="92"/>
      <c r="AH170" s="92"/>
      <c r="AI170" s="92"/>
      <c r="AJ170" s="92"/>
      <c r="AK170" s="92"/>
      <c r="AL170" s="92"/>
      <c r="AM170" s="92"/>
      <c r="AN170" s="92"/>
      <c r="AO170" s="92"/>
      <c r="AP170" s="92"/>
    </row>
    <row r="171" spans="5:44" customFormat="1" x14ac:dyDescent="0.25">
      <c r="E171" s="32" t="s">
        <v>734</v>
      </c>
      <c r="J171" s="92"/>
      <c r="K171" s="92"/>
      <c r="L171" s="92"/>
      <c r="M171" s="92"/>
      <c r="N171" s="92"/>
      <c r="O171" s="92"/>
      <c r="P171" s="92"/>
      <c r="Q171" s="92"/>
      <c r="R171" s="92"/>
      <c r="S171" s="92"/>
      <c r="T171" s="92"/>
      <c r="U171" s="92"/>
      <c r="V171" s="92"/>
      <c r="W171" s="92"/>
      <c r="X171" s="92"/>
      <c r="Y171" s="92"/>
      <c r="Z171" s="92"/>
      <c r="AA171" s="92"/>
      <c r="AB171" s="92"/>
      <c r="AC171" s="92"/>
      <c r="AD171" s="92"/>
      <c r="AE171" s="92"/>
      <c r="AF171" s="92"/>
      <c r="AG171" s="92"/>
      <c r="AH171" s="92"/>
      <c r="AI171" s="92"/>
      <c r="AJ171" s="92"/>
      <c r="AK171" s="92"/>
      <c r="AL171" s="92"/>
      <c r="AM171" s="92"/>
      <c r="AN171" s="92"/>
      <c r="AO171" s="92"/>
      <c r="AP171" s="92"/>
    </row>
    <row r="172" spans="5:44" customFormat="1" x14ac:dyDescent="0.25">
      <c r="E172" s="2"/>
      <c r="F172" s="23" t="s">
        <v>225</v>
      </c>
      <c r="G172" s="23" t="s">
        <v>327</v>
      </c>
      <c r="H172" s="302"/>
      <c r="I172" s="302"/>
      <c r="J172" s="320"/>
      <c r="K172" s="320"/>
      <c r="L172" s="320"/>
      <c r="M172" s="320"/>
      <c r="N172" s="320"/>
      <c r="O172" s="320"/>
      <c r="P172" s="320"/>
      <c r="Q172" s="320"/>
      <c r="R172" s="320"/>
      <c r="S172" s="320"/>
      <c r="T172" s="320"/>
      <c r="U172" s="320"/>
      <c r="V172" s="320"/>
      <c r="W172" s="320"/>
      <c r="X172" s="320"/>
      <c r="Y172" s="320"/>
      <c r="Z172" s="320"/>
      <c r="AA172" s="320"/>
      <c r="AB172" s="320"/>
      <c r="AC172" s="321">
        <f t="shared" ref="AC172:AP172" si="8">hundred * $H63 * AC93 / $H35 / hours_in_year</f>
        <v>-0.2908445903747941</v>
      </c>
      <c r="AD172" s="321">
        <f t="shared" si="8"/>
        <v>-0.28203920369372232</v>
      </c>
      <c r="AE172" s="321">
        <f t="shared" si="8"/>
        <v>-0.2908445903747941</v>
      </c>
      <c r="AF172" s="321">
        <f t="shared" si="8"/>
        <v>-0.2908445903747941</v>
      </c>
      <c r="AG172" s="321">
        <f t="shared" si="8"/>
        <v>-0.2908445903747941</v>
      </c>
      <c r="AH172" s="321">
        <f t="shared" si="8"/>
        <v>-0.2908445903747941</v>
      </c>
      <c r="AI172" s="321">
        <f t="shared" si="8"/>
        <v>-0.28203920369372232</v>
      </c>
      <c r="AJ172" s="321">
        <f t="shared" si="8"/>
        <v>-0.28203920369372232</v>
      </c>
      <c r="AK172" s="321">
        <f t="shared" si="8"/>
        <v>-0.28203920369372232</v>
      </c>
      <c r="AL172" s="321">
        <f t="shared" si="8"/>
        <v>-0.28203920369372232</v>
      </c>
      <c r="AM172" s="321">
        <f t="shared" si="8"/>
        <v>-0.27616894590634117</v>
      </c>
      <c r="AN172" s="321">
        <f t="shared" si="8"/>
        <v>-0.27616894590634117</v>
      </c>
      <c r="AO172" s="321">
        <f t="shared" si="8"/>
        <v>-0.27616894590634117</v>
      </c>
      <c r="AP172" s="321">
        <f t="shared" si="8"/>
        <v>-0.27616894590634117</v>
      </c>
      <c r="AQ172" s="304"/>
      <c r="AR172" s="304"/>
    </row>
    <row r="173" spans="5:44" customFormat="1" x14ac:dyDescent="0.25">
      <c r="E173" s="2"/>
      <c r="F173" t="s">
        <v>227</v>
      </c>
      <c r="G173" t="s">
        <v>327</v>
      </c>
      <c r="H173" s="304"/>
      <c r="I173" s="304"/>
      <c r="J173" s="305"/>
      <c r="K173" s="305"/>
      <c r="L173" s="305"/>
      <c r="M173" s="305"/>
      <c r="N173" s="305"/>
      <c r="O173" s="305"/>
      <c r="P173" s="305"/>
      <c r="Q173" s="305"/>
      <c r="R173" s="305"/>
      <c r="S173" s="305"/>
      <c r="T173" s="305"/>
      <c r="U173" s="305"/>
      <c r="V173" s="305"/>
      <c r="W173" s="305"/>
      <c r="X173" s="305"/>
      <c r="Y173" s="305"/>
      <c r="Z173" s="305"/>
      <c r="AA173" s="305"/>
      <c r="AB173" s="305"/>
      <c r="AC173" s="322">
        <f t="shared" ref="AC173:AP173" si="9">hundred * $H64 * AC94 / $H36 / hours_in_year</f>
        <v>0</v>
      </c>
      <c r="AD173" s="322">
        <f t="shared" si="9"/>
        <v>0</v>
      </c>
      <c r="AE173" s="322">
        <f t="shared" si="9"/>
        <v>0</v>
      </c>
      <c r="AF173" s="322">
        <f t="shared" si="9"/>
        <v>0</v>
      </c>
      <c r="AG173" s="322">
        <f t="shared" si="9"/>
        <v>0</v>
      </c>
      <c r="AH173" s="322">
        <f t="shared" si="9"/>
        <v>0</v>
      </c>
      <c r="AI173" s="322">
        <f t="shared" si="9"/>
        <v>0</v>
      </c>
      <c r="AJ173" s="322">
        <f t="shared" si="9"/>
        <v>0</v>
      </c>
      <c r="AK173" s="322">
        <f t="shared" si="9"/>
        <v>0</v>
      </c>
      <c r="AL173" s="322">
        <f t="shared" si="9"/>
        <v>0</v>
      </c>
      <c r="AM173" s="322">
        <f t="shared" si="9"/>
        <v>0</v>
      </c>
      <c r="AN173" s="322">
        <f t="shared" si="9"/>
        <v>0</v>
      </c>
      <c r="AO173" s="322">
        <f t="shared" si="9"/>
        <v>0</v>
      </c>
      <c r="AP173" s="322">
        <f t="shared" si="9"/>
        <v>0</v>
      </c>
      <c r="AQ173" s="304"/>
      <c r="AR173" s="304"/>
    </row>
    <row r="174" spans="5:44" customFormat="1" x14ac:dyDescent="0.25">
      <c r="E174" s="2"/>
      <c r="F174" t="s">
        <v>228</v>
      </c>
      <c r="G174" t="s">
        <v>327</v>
      </c>
      <c r="H174" s="304"/>
      <c r="I174" s="304"/>
      <c r="J174" s="305"/>
      <c r="K174" s="305"/>
      <c r="L174" s="305"/>
      <c r="M174" s="305"/>
      <c r="N174" s="305"/>
      <c r="O174" s="305"/>
      <c r="P174" s="305"/>
      <c r="Q174" s="305"/>
      <c r="R174" s="305"/>
      <c r="S174" s="305"/>
      <c r="T174" s="305"/>
      <c r="U174" s="305"/>
      <c r="V174" s="305"/>
      <c r="W174" s="305"/>
      <c r="X174" s="305"/>
      <c r="Y174" s="305"/>
      <c r="Z174" s="305"/>
      <c r="AA174" s="305"/>
      <c r="AB174" s="305"/>
      <c r="AC174" s="322">
        <f t="shared" ref="AC174:AP174" si="10">hundred * $H65 * AC95 / $H37 / hours_in_year</f>
        <v>0</v>
      </c>
      <c r="AD174" s="322">
        <f t="shared" si="10"/>
        <v>0</v>
      </c>
      <c r="AE174" s="322">
        <f t="shared" si="10"/>
        <v>0</v>
      </c>
      <c r="AF174" s="322">
        <f t="shared" si="10"/>
        <v>0</v>
      </c>
      <c r="AG174" s="322">
        <f t="shared" si="10"/>
        <v>0</v>
      </c>
      <c r="AH174" s="322">
        <f t="shared" si="10"/>
        <v>0</v>
      </c>
      <c r="AI174" s="322">
        <f t="shared" si="10"/>
        <v>0</v>
      </c>
      <c r="AJ174" s="322">
        <f t="shared" si="10"/>
        <v>0</v>
      </c>
      <c r="AK174" s="322">
        <f t="shared" si="10"/>
        <v>0</v>
      </c>
      <c r="AL174" s="322">
        <f t="shared" si="10"/>
        <v>0</v>
      </c>
      <c r="AM174" s="322">
        <f t="shared" si="10"/>
        <v>0</v>
      </c>
      <c r="AN174" s="322">
        <f t="shared" si="10"/>
        <v>0</v>
      </c>
      <c r="AO174" s="322">
        <f t="shared" si="10"/>
        <v>0</v>
      </c>
      <c r="AP174" s="322">
        <f t="shared" si="10"/>
        <v>0</v>
      </c>
      <c r="AQ174" s="304"/>
      <c r="AR174" s="304"/>
    </row>
    <row r="175" spans="5:44" customFormat="1" x14ac:dyDescent="0.25">
      <c r="E175" s="2"/>
      <c r="F175" t="s">
        <v>229</v>
      </c>
      <c r="G175" t="s">
        <v>327</v>
      </c>
      <c r="H175" s="304"/>
      <c r="I175" s="304"/>
      <c r="J175" s="305"/>
      <c r="K175" s="305"/>
      <c r="L175" s="305"/>
      <c r="M175" s="305"/>
      <c r="N175" s="305"/>
      <c r="O175" s="305"/>
      <c r="P175" s="305"/>
      <c r="Q175" s="305"/>
      <c r="R175" s="305"/>
      <c r="S175" s="305"/>
      <c r="T175" s="305"/>
      <c r="U175" s="305"/>
      <c r="V175" s="305"/>
      <c r="W175" s="305"/>
      <c r="X175" s="305"/>
      <c r="Y175" s="305"/>
      <c r="Z175" s="305"/>
      <c r="AA175" s="305"/>
      <c r="AB175" s="305"/>
      <c r="AC175" s="322">
        <f t="shared" ref="AC175:AP175" si="11">hundred * $H66 * AC96 / $H38 / hours_in_year</f>
        <v>0</v>
      </c>
      <c r="AD175" s="322">
        <f t="shared" si="11"/>
        <v>0</v>
      </c>
      <c r="AE175" s="322">
        <f t="shared" si="11"/>
        <v>0</v>
      </c>
      <c r="AF175" s="322">
        <f t="shared" si="11"/>
        <v>0</v>
      </c>
      <c r="AG175" s="322">
        <f t="shared" si="11"/>
        <v>0</v>
      </c>
      <c r="AH175" s="322">
        <f t="shared" si="11"/>
        <v>0</v>
      </c>
      <c r="AI175" s="322">
        <f t="shared" si="11"/>
        <v>0</v>
      </c>
      <c r="AJ175" s="322">
        <f t="shared" si="11"/>
        <v>0</v>
      </c>
      <c r="AK175" s="322">
        <f t="shared" si="11"/>
        <v>0</v>
      </c>
      <c r="AL175" s="322">
        <f t="shared" si="11"/>
        <v>0</v>
      </c>
      <c r="AM175" s="322">
        <f t="shared" si="11"/>
        <v>0</v>
      </c>
      <c r="AN175" s="322">
        <f t="shared" si="11"/>
        <v>0</v>
      </c>
      <c r="AO175" s="322">
        <f t="shared" si="11"/>
        <v>0</v>
      </c>
      <c r="AP175" s="322">
        <f t="shared" si="11"/>
        <v>0</v>
      </c>
      <c r="AQ175" s="304"/>
      <c r="AR175" s="304"/>
    </row>
    <row r="176" spans="5:44" customFormat="1" x14ac:dyDescent="0.25">
      <c r="E176" s="2"/>
      <c r="F176" t="s">
        <v>230</v>
      </c>
      <c r="G176" t="s">
        <v>327</v>
      </c>
      <c r="H176" s="304"/>
      <c r="I176" s="304"/>
      <c r="J176" s="305"/>
      <c r="K176" s="305"/>
      <c r="L176" s="305"/>
      <c r="M176" s="305"/>
      <c r="N176" s="305"/>
      <c r="O176" s="305"/>
      <c r="P176" s="305"/>
      <c r="Q176" s="305"/>
      <c r="R176" s="305"/>
      <c r="S176" s="305"/>
      <c r="T176" s="305"/>
      <c r="U176" s="305"/>
      <c r="V176" s="305"/>
      <c r="W176" s="305"/>
      <c r="X176" s="305"/>
      <c r="Y176" s="305"/>
      <c r="Z176" s="305"/>
      <c r="AA176" s="305"/>
      <c r="AB176" s="305"/>
      <c r="AC176" s="322">
        <f t="shared" ref="AC176:AP176" si="12">hundred * $H67 * AC97 / $H39 / hours_in_year</f>
        <v>-8.2783567942428402E-2</v>
      </c>
      <c r="AD176" s="322">
        <f t="shared" si="12"/>
        <v>-8.0277276435914507E-2</v>
      </c>
      <c r="AE176" s="322">
        <f t="shared" si="12"/>
        <v>-8.2783567942428402E-2</v>
      </c>
      <c r="AF176" s="322">
        <f t="shared" si="12"/>
        <v>-8.2783567942428402E-2</v>
      </c>
      <c r="AG176" s="322">
        <f t="shared" si="12"/>
        <v>-8.2783567942428402E-2</v>
      </c>
      <c r="AH176" s="322">
        <f t="shared" si="12"/>
        <v>-8.2783567942428402E-2</v>
      </c>
      <c r="AI176" s="322">
        <f t="shared" si="12"/>
        <v>-8.0277276435914507E-2</v>
      </c>
      <c r="AJ176" s="322">
        <f t="shared" si="12"/>
        <v>-8.0277276435914507E-2</v>
      </c>
      <c r="AK176" s="322">
        <f t="shared" si="12"/>
        <v>-8.0277276435914507E-2</v>
      </c>
      <c r="AL176" s="322">
        <f t="shared" si="12"/>
        <v>-8.0277276435914507E-2</v>
      </c>
      <c r="AM176" s="322">
        <f t="shared" si="12"/>
        <v>-7.8606415431571916E-2</v>
      </c>
      <c r="AN176" s="322">
        <f t="shared" si="12"/>
        <v>-7.8606415431571916E-2</v>
      </c>
      <c r="AO176" s="322">
        <f t="shared" si="12"/>
        <v>-7.8606415431571916E-2</v>
      </c>
      <c r="AP176" s="322">
        <f t="shared" si="12"/>
        <v>-7.8606415431571916E-2</v>
      </c>
      <c r="AQ176" s="304"/>
      <c r="AR176" s="304"/>
    </row>
    <row r="177" spans="2:44" x14ac:dyDescent="0.25">
      <c r="D177"/>
      <c r="F177" t="s">
        <v>231</v>
      </c>
      <c r="G177" t="s">
        <v>327</v>
      </c>
      <c r="H177" s="304"/>
      <c r="I177" s="304"/>
      <c r="J177" s="305"/>
      <c r="K177" s="305"/>
      <c r="L177" s="305"/>
      <c r="M177" s="305"/>
      <c r="N177" s="305"/>
      <c r="O177" s="305"/>
      <c r="P177" s="305"/>
      <c r="Q177" s="305"/>
      <c r="R177" s="305"/>
      <c r="S177" s="305"/>
      <c r="T177" s="305"/>
      <c r="U177" s="305"/>
      <c r="V177" s="305"/>
      <c r="W177" s="305"/>
      <c r="X177" s="305"/>
      <c r="Y177" s="305"/>
      <c r="Z177" s="305"/>
      <c r="AA177" s="305"/>
      <c r="AB177" s="305"/>
      <c r="AC177" s="322">
        <f t="shared" ref="AC177:AP177" si="13">hundred * $H68 * AC98 / $H40 / hours_in_year</f>
        <v>-7.4902266414473617E-2</v>
      </c>
      <c r="AD177" s="322">
        <f t="shared" si="13"/>
        <v>-7.2634583119356513E-2</v>
      </c>
      <c r="AE177" s="322">
        <f t="shared" si="13"/>
        <v>-7.4902266414473617E-2</v>
      </c>
      <c r="AF177" s="322">
        <f t="shared" si="13"/>
        <v>-7.4902266414473617E-2</v>
      </c>
      <c r="AG177" s="322">
        <f t="shared" si="13"/>
        <v>-7.4902266414473617E-2</v>
      </c>
      <c r="AH177" s="322">
        <f t="shared" si="13"/>
        <v>-7.4902266414473617E-2</v>
      </c>
      <c r="AI177" s="322">
        <f t="shared" si="13"/>
        <v>-7.2634583119356513E-2</v>
      </c>
      <c r="AJ177" s="322">
        <f t="shared" si="13"/>
        <v>-7.2634583119356513E-2</v>
      </c>
      <c r="AK177" s="322">
        <f t="shared" si="13"/>
        <v>-7.2634583119356513E-2</v>
      </c>
      <c r="AL177" s="322">
        <f t="shared" si="13"/>
        <v>-7.2634583119356513E-2</v>
      </c>
      <c r="AM177" s="322">
        <f t="shared" si="13"/>
        <v>-7.1122794255945115E-2</v>
      </c>
      <c r="AN177" s="322">
        <f t="shared" si="13"/>
        <v>-7.1122794255945115E-2</v>
      </c>
      <c r="AO177" s="322">
        <f t="shared" si="13"/>
        <v>-7.1122794255945115E-2</v>
      </c>
      <c r="AP177" s="322">
        <f t="shared" si="13"/>
        <v>-7.1122794255945115E-2</v>
      </c>
      <c r="AQ177" s="304"/>
      <c r="AR177" s="304"/>
    </row>
    <row r="178" spans="2:44" x14ac:dyDescent="0.25">
      <c r="D178"/>
      <c r="F178" t="s">
        <v>232</v>
      </c>
      <c r="G178" t="s">
        <v>327</v>
      </c>
      <c r="H178" s="304"/>
      <c r="I178" s="304"/>
      <c r="J178" s="305"/>
      <c r="K178" s="305"/>
      <c r="L178" s="305"/>
      <c r="M178" s="305"/>
      <c r="N178" s="305"/>
      <c r="O178" s="305"/>
      <c r="P178" s="305"/>
      <c r="Q178" s="305"/>
      <c r="R178" s="305"/>
      <c r="S178" s="305"/>
      <c r="T178" s="305"/>
      <c r="U178" s="305"/>
      <c r="V178" s="305"/>
      <c r="W178" s="305"/>
      <c r="X178" s="305"/>
      <c r="Y178" s="305"/>
      <c r="Z178" s="305"/>
      <c r="AA178" s="305"/>
      <c r="AB178" s="305"/>
      <c r="AC178" s="322">
        <f t="shared" ref="AC178:AP178" si="14">hundred * $H69 * AC99 / $H41 / hours_in_year</f>
        <v>0</v>
      </c>
      <c r="AD178" s="322">
        <f t="shared" si="14"/>
        <v>0</v>
      </c>
      <c r="AE178" s="322">
        <f t="shared" si="14"/>
        <v>0</v>
      </c>
      <c r="AF178" s="322">
        <f t="shared" si="14"/>
        <v>0</v>
      </c>
      <c r="AG178" s="322">
        <f t="shared" si="14"/>
        <v>0</v>
      </c>
      <c r="AH178" s="322">
        <f t="shared" si="14"/>
        <v>0</v>
      </c>
      <c r="AI178" s="322">
        <f t="shared" si="14"/>
        <v>0</v>
      </c>
      <c r="AJ178" s="322">
        <f t="shared" si="14"/>
        <v>0</v>
      </c>
      <c r="AK178" s="322">
        <f t="shared" si="14"/>
        <v>0</v>
      </c>
      <c r="AL178" s="322">
        <f t="shared" si="14"/>
        <v>0</v>
      </c>
      <c r="AM178" s="322">
        <f t="shared" si="14"/>
        <v>0</v>
      </c>
      <c r="AN178" s="322">
        <f t="shared" si="14"/>
        <v>0</v>
      </c>
      <c r="AO178" s="322">
        <f t="shared" si="14"/>
        <v>0</v>
      </c>
      <c r="AP178" s="322">
        <f t="shared" si="14"/>
        <v>0</v>
      </c>
      <c r="AQ178" s="304"/>
      <c r="AR178" s="304"/>
    </row>
    <row r="179" spans="2:44" x14ac:dyDescent="0.25">
      <c r="D179"/>
      <c r="F179" t="s">
        <v>233</v>
      </c>
      <c r="G179" t="s">
        <v>327</v>
      </c>
      <c r="H179" s="304"/>
      <c r="I179" s="304"/>
      <c r="J179" s="305"/>
      <c r="K179" s="305"/>
      <c r="L179" s="305"/>
      <c r="M179" s="305"/>
      <c r="N179" s="305"/>
      <c r="O179" s="305"/>
      <c r="P179" s="305"/>
      <c r="Q179" s="305"/>
      <c r="R179" s="305"/>
      <c r="S179" s="305"/>
      <c r="T179" s="305"/>
      <c r="U179" s="305"/>
      <c r="V179" s="305"/>
      <c r="W179" s="305"/>
      <c r="X179" s="305"/>
      <c r="Y179" s="305"/>
      <c r="Z179" s="305"/>
      <c r="AA179" s="305"/>
      <c r="AB179" s="305"/>
      <c r="AC179" s="322">
        <f t="shared" ref="AC179:AP179" si="15">hundred * $H70 * AC100 / $H42 / hours_in_year</f>
        <v>-0.30951521387225062</v>
      </c>
      <c r="AD179" s="322">
        <f t="shared" si="15"/>
        <v>-0.30014456978254023</v>
      </c>
      <c r="AE179" s="322">
        <f t="shared" si="15"/>
        <v>-0.30951521387225062</v>
      </c>
      <c r="AF179" s="322">
        <f t="shared" si="15"/>
        <v>-0.30951521387225062</v>
      </c>
      <c r="AG179" s="322">
        <f t="shared" si="15"/>
        <v>-0.30951521387225062</v>
      </c>
      <c r="AH179" s="322">
        <f t="shared" si="15"/>
        <v>-0.30951521387225062</v>
      </c>
      <c r="AI179" s="322">
        <f t="shared" si="15"/>
        <v>-0.30014456978254023</v>
      </c>
      <c r="AJ179" s="322">
        <f t="shared" si="15"/>
        <v>-0.30014456978254023</v>
      </c>
      <c r="AK179" s="322">
        <f t="shared" si="15"/>
        <v>-0.30014456978254023</v>
      </c>
      <c r="AL179" s="322">
        <f t="shared" si="15"/>
        <v>-0.30014456978254023</v>
      </c>
      <c r="AM179" s="322">
        <f t="shared" si="15"/>
        <v>-0.29389747372273334</v>
      </c>
      <c r="AN179" s="322">
        <f t="shared" si="15"/>
        <v>-0.29389747372273334</v>
      </c>
      <c r="AO179" s="322">
        <f t="shared" si="15"/>
        <v>-0.29389747372273334</v>
      </c>
      <c r="AP179" s="322">
        <f t="shared" si="15"/>
        <v>-0.29389747372273334</v>
      </c>
      <c r="AQ179" s="304"/>
      <c r="AR179" s="304"/>
    </row>
    <row r="180" spans="2:44" x14ac:dyDescent="0.25">
      <c r="D180"/>
      <c r="F180" t="s">
        <v>234</v>
      </c>
      <c r="G180" t="s">
        <v>327</v>
      </c>
      <c r="H180" s="304"/>
      <c r="I180" s="304"/>
      <c r="J180" s="305"/>
      <c r="K180" s="305"/>
      <c r="L180" s="305"/>
      <c r="M180" s="305"/>
      <c r="N180" s="305"/>
      <c r="O180" s="305"/>
      <c r="P180" s="305"/>
      <c r="Q180" s="305"/>
      <c r="R180" s="305"/>
      <c r="S180" s="305"/>
      <c r="T180" s="305"/>
      <c r="U180" s="305"/>
      <c r="V180" s="305"/>
      <c r="W180" s="305"/>
      <c r="X180" s="305"/>
      <c r="Y180" s="305"/>
      <c r="Z180" s="305"/>
      <c r="AA180" s="305"/>
      <c r="AB180" s="305"/>
      <c r="AC180" s="322">
        <f t="shared" ref="AC180:AP180" si="16">hundred * $H71 * AC101 / $H43 / hours_in_year</f>
        <v>-7.4949593813494239E-2</v>
      </c>
      <c r="AD180" s="322">
        <f t="shared" si="16"/>
        <v>-7.2680477670516871E-2</v>
      </c>
      <c r="AE180" s="322">
        <f t="shared" si="16"/>
        <v>-7.4949593813494239E-2</v>
      </c>
      <c r="AF180" s="322">
        <f t="shared" si="16"/>
        <v>-7.4949593813494239E-2</v>
      </c>
      <c r="AG180" s="322">
        <f t="shared" si="16"/>
        <v>-7.4949593813494239E-2</v>
      </c>
      <c r="AH180" s="322">
        <f t="shared" si="16"/>
        <v>-7.4949593813494239E-2</v>
      </c>
      <c r="AI180" s="322">
        <f t="shared" si="16"/>
        <v>-7.2680477670516871E-2</v>
      </c>
      <c r="AJ180" s="322">
        <f t="shared" si="16"/>
        <v>-7.2680477670516871E-2</v>
      </c>
      <c r="AK180" s="322">
        <f t="shared" si="16"/>
        <v>-7.2680477670516871E-2</v>
      </c>
      <c r="AL180" s="322">
        <f t="shared" si="16"/>
        <v>-7.2680477670516871E-2</v>
      </c>
      <c r="AM180" s="322">
        <f t="shared" si="16"/>
        <v>0</v>
      </c>
      <c r="AN180" s="322">
        <f t="shared" si="16"/>
        <v>0</v>
      </c>
      <c r="AO180" s="322">
        <f t="shared" si="16"/>
        <v>0</v>
      </c>
      <c r="AP180" s="322">
        <f t="shared" si="16"/>
        <v>0</v>
      </c>
      <c r="AQ180" s="304"/>
      <c r="AR180" s="304"/>
    </row>
    <row r="181" spans="2:44" x14ac:dyDescent="0.25">
      <c r="D181"/>
      <c r="F181" t="s">
        <v>235</v>
      </c>
      <c r="G181" t="s">
        <v>327</v>
      </c>
      <c r="H181" s="304"/>
      <c r="I181" s="304"/>
      <c r="J181" s="305"/>
      <c r="K181" s="305"/>
      <c r="L181" s="305"/>
      <c r="M181" s="305"/>
      <c r="N181" s="305"/>
      <c r="O181" s="305"/>
      <c r="P181" s="305"/>
      <c r="Q181" s="305"/>
      <c r="R181" s="305"/>
      <c r="S181" s="305"/>
      <c r="T181" s="305"/>
      <c r="U181" s="305"/>
      <c r="V181" s="305"/>
      <c r="W181" s="305"/>
      <c r="X181" s="305"/>
      <c r="Y181" s="305"/>
      <c r="Z181" s="305"/>
      <c r="AA181" s="305"/>
      <c r="AB181" s="305"/>
      <c r="AC181" s="322">
        <f t="shared" ref="AC181:AP181" si="17">hundred * $H72 * AC102 / $H44 / hours_in_year</f>
        <v>-0.17791765081781813</v>
      </c>
      <c r="AD181" s="322">
        <f t="shared" si="17"/>
        <v>0</v>
      </c>
      <c r="AE181" s="322">
        <f t="shared" si="17"/>
        <v>-0.17791765081781813</v>
      </c>
      <c r="AF181" s="322">
        <f t="shared" si="17"/>
        <v>-0.17791765081781813</v>
      </c>
      <c r="AG181" s="322">
        <f t="shared" si="17"/>
        <v>-0.17791765081781813</v>
      </c>
      <c r="AH181" s="322">
        <f t="shared" si="17"/>
        <v>-0.17791765081781813</v>
      </c>
      <c r="AI181" s="322">
        <f t="shared" si="17"/>
        <v>0</v>
      </c>
      <c r="AJ181" s="322">
        <f t="shared" si="17"/>
        <v>0</v>
      </c>
      <c r="AK181" s="322">
        <f t="shared" si="17"/>
        <v>0</v>
      </c>
      <c r="AL181" s="322">
        <f t="shared" si="17"/>
        <v>0</v>
      </c>
      <c r="AM181" s="322">
        <f t="shared" si="17"/>
        <v>0</v>
      </c>
      <c r="AN181" s="322">
        <f t="shared" si="17"/>
        <v>0</v>
      </c>
      <c r="AO181" s="322">
        <f t="shared" si="17"/>
        <v>0</v>
      </c>
      <c r="AP181" s="322">
        <f t="shared" si="17"/>
        <v>0</v>
      </c>
      <c r="AQ181" s="304"/>
      <c r="AR181" s="304"/>
    </row>
    <row r="182" spans="2:44" x14ac:dyDescent="0.25">
      <c r="D182"/>
      <c r="F182" t="s">
        <v>436</v>
      </c>
      <c r="G182" t="s">
        <v>327</v>
      </c>
      <c r="H182" s="304"/>
      <c r="I182" s="304"/>
      <c r="J182" s="305"/>
      <c r="K182" s="305"/>
      <c r="L182" s="305"/>
      <c r="M182" s="305"/>
      <c r="N182" s="305"/>
      <c r="O182" s="305"/>
      <c r="P182" s="305"/>
      <c r="Q182" s="305"/>
      <c r="R182" s="305"/>
      <c r="S182" s="305"/>
      <c r="T182" s="305"/>
      <c r="U182" s="305"/>
      <c r="V182" s="305"/>
      <c r="W182" s="305"/>
      <c r="X182" s="305"/>
      <c r="Y182" s="305"/>
      <c r="Z182" s="305"/>
      <c r="AA182" s="305"/>
      <c r="AB182" s="305"/>
      <c r="AC182" s="305"/>
      <c r="AD182" s="305"/>
      <c r="AE182" s="305"/>
      <c r="AF182" s="305"/>
      <c r="AG182" s="305"/>
      <c r="AH182" s="305"/>
      <c r="AI182" s="305"/>
      <c r="AJ182" s="305"/>
      <c r="AK182" s="305"/>
      <c r="AL182" s="305"/>
      <c r="AM182" s="305"/>
      <c r="AN182" s="305"/>
      <c r="AO182" s="305"/>
      <c r="AP182" s="305"/>
      <c r="AQ182" s="304"/>
      <c r="AR182" s="304"/>
    </row>
    <row r="183" spans="2:44" x14ac:dyDescent="0.25">
      <c r="D183"/>
      <c r="F183" s="37" t="s">
        <v>437</v>
      </c>
      <c r="G183" s="37" t="s">
        <v>327</v>
      </c>
      <c r="H183" s="308"/>
      <c r="I183" s="308"/>
      <c r="J183" s="309"/>
      <c r="K183" s="309"/>
      <c r="L183" s="309"/>
      <c r="M183" s="309"/>
      <c r="N183" s="309"/>
      <c r="O183" s="309"/>
      <c r="P183" s="309"/>
      <c r="Q183" s="309"/>
      <c r="R183" s="309"/>
      <c r="S183" s="309"/>
      <c r="T183" s="309"/>
      <c r="U183" s="309"/>
      <c r="V183" s="309"/>
      <c r="W183" s="309"/>
      <c r="X183" s="309"/>
      <c r="Y183" s="309"/>
      <c r="Z183" s="309"/>
      <c r="AA183" s="309"/>
      <c r="AB183" s="309"/>
      <c r="AC183" s="309"/>
      <c r="AD183" s="309"/>
      <c r="AE183" s="309"/>
      <c r="AF183" s="309"/>
      <c r="AG183" s="309"/>
      <c r="AH183" s="309"/>
      <c r="AI183" s="309"/>
      <c r="AJ183" s="309"/>
      <c r="AK183" s="309"/>
      <c r="AL183" s="309"/>
      <c r="AM183" s="309"/>
      <c r="AN183" s="309"/>
      <c r="AO183" s="309"/>
      <c r="AP183" s="309"/>
      <c r="AQ183" s="304"/>
      <c r="AR183" s="304"/>
    </row>
    <row r="184" spans="2:44" x14ac:dyDescent="0.25">
      <c r="D184"/>
      <c r="E184"/>
      <c r="J184" s="92"/>
      <c r="K184" s="92"/>
      <c r="L184" s="92"/>
      <c r="M184" s="92"/>
      <c r="N184" s="92"/>
      <c r="O184" s="92"/>
      <c r="P184" s="92"/>
      <c r="Q184" s="92"/>
      <c r="R184" s="92"/>
      <c r="S184" s="92"/>
      <c r="T184" s="92"/>
      <c r="U184" s="92"/>
      <c r="V184" s="92"/>
      <c r="W184" s="92"/>
      <c r="X184" s="92"/>
      <c r="Y184" s="92"/>
      <c r="Z184" s="92"/>
      <c r="AA184" s="92"/>
      <c r="AB184" s="92"/>
      <c r="AC184" s="92"/>
      <c r="AD184" s="92"/>
      <c r="AE184" s="92"/>
      <c r="AF184" s="92"/>
      <c r="AG184" s="92"/>
      <c r="AH184" s="92"/>
      <c r="AI184" s="92"/>
      <c r="AJ184" s="92"/>
      <c r="AK184" s="92"/>
      <c r="AL184" s="92"/>
      <c r="AM184" s="92"/>
      <c r="AN184" s="92"/>
      <c r="AO184" s="92"/>
      <c r="AP184" s="92"/>
    </row>
    <row r="185" spans="2:44" x14ac:dyDescent="0.25">
      <c r="B185" s="30" t="s">
        <v>804</v>
      </c>
      <c r="C185" s="30"/>
      <c r="D185" s="30"/>
      <c r="E185" s="30"/>
      <c r="F185" s="30"/>
      <c r="G185" s="30"/>
      <c r="H185" s="30"/>
      <c r="I185" s="30"/>
      <c r="J185" s="201"/>
      <c r="K185" s="201"/>
      <c r="L185" s="201"/>
      <c r="M185" s="201"/>
      <c r="N185" s="201"/>
      <c r="O185" s="201"/>
      <c r="P185" s="201"/>
      <c r="Q185" s="201"/>
      <c r="R185" s="201"/>
      <c r="S185" s="201"/>
      <c r="T185" s="201"/>
      <c r="U185" s="201"/>
      <c r="V185" s="201"/>
      <c r="W185" s="201"/>
      <c r="X185" s="201"/>
      <c r="Y185" s="201"/>
      <c r="Z185" s="201"/>
      <c r="AA185" s="201"/>
      <c r="AB185" s="201"/>
      <c r="AC185" s="201"/>
      <c r="AD185" s="201"/>
      <c r="AE185" s="201"/>
      <c r="AF185" s="201"/>
      <c r="AG185" s="201"/>
      <c r="AH185" s="201"/>
      <c r="AI185" s="201"/>
      <c r="AJ185" s="201"/>
      <c r="AK185" s="201"/>
      <c r="AL185" s="201"/>
      <c r="AM185" s="201"/>
      <c r="AN185" s="201"/>
      <c r="AO185" s="201"/>
      <c r="AP185" s="201"/>
      <c r="AQ185" s="30"/>
      <c r="AR185" s="30"/>
    </row>
    <row r="186" spans="2:44" x14ac:dyDescent="0.25">
      <c r="B186" s="231"/>
      <c r="J186" s="92"/>
      <c r="K186" s="92"/>
      <c r="L186" s="92"/>
      <c r="M186" s="92"/>
      <c r="N186" s="92"/>
      <c r="O186" s="92"/>
      <c r="P186" s="92"/>
      <c r="Q186" s="92"/>
      <c r="R186" s="92"/>
      <c r="S186" s="92"/>
      <c r="T186" s="92"/>
      <c r="U186" s="92"/>
      <c r="V186" s="92"/>
      <c r="W186" s="92"/>
      <c r="X186" s="92"/>
      <c r="Y186" s="92"/>
      <c r="Z186" s="92"/>
      <c r="AA186" s="92"/>
      <c r="AB186" s="92"/>
      <c r="AC186" s="92"/>
      <c r="AD186" s="92"/>
      <c r="AE186" s="92"/>
      <c r="AF186" s="92"/>
      <c r="AG186" s="92"/>
      <c r="AH186" s="92"/>
      <c r="AI186" s="92"/>
      <c r="AJ186" s="92"/>
      <c r="AK186" s="92"/>
      <c r="AL186" s="92"/>
      <c r="AM186" s="92"/>
      <c r="AN186" s="92"/>
      <c r="AO186" s="92"/>
      <c r="AP186" s="92"/>
    </row>
    <row r="187" spans="2:44" x14ac:dyDescent="0.25">
      <c r="B187" s="231"/>
      <c r="C187" s="29" t="s">
        <v>805</v>
      </c>
      <c r="J187" s="92"/>
      <c r="K187" s="92"/>
      <c r="L187" s="92"/>
      <c r="M187" s="92"/>
      <c r="N187" s="92"/>
      <c r="O187" s="92"/>
      <c r="P187" s="92"/>
      <c r="Q187" s="92"/>
      <c r="R187" s="92"/>
      <c r="S187" s="92"/>
      <c r="T187" s="92"/>
      <c r="U187" s="92"/>
      <c r="V187" s="92"/>
      <c r="W187" s="92"/>
      <c r="X187" s="92"/>
      <c r="Y187" s="92"/>
      <c r="Z187" s="92"/>
      <c r="AA187" s="92"/>
      <c r="AB187" s="92"/>
      <c r="AC187" s="92"/>
      <c r="AD187" s="92"/>
      <c r="AE187" s="92"/>
      <c r="AF187" s="92"/>
      <c r="AG187" s="92"/>
      <c r="AH187" s="92"/>
      <c r="AI187" s="92"/>
      <c r="AJ187" s="92"/>
      <c r="AK187" s="92"/>
      <c r="AL187" s="92"/>
      <c r="AM187" s="92"/>
      <c r="AN187" s="92"/>
      <c r="AO187" s="92"/>
      <c r="AP187" s="92"/>
    </row>
    <row r="188" spans="2:44" x14ac:dyDescent="0.25">
      <c r="B188" s="231"/>
      <c r="C188" s="29" t="s">
        <v>806</v>
      </c>
      <c r="I188" t="s">
        <v>190</v>
      </c>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c r="AR188" t="s">
        <v>807</v>
      </c>
    </row>
    <row r="189" spans="2:44" x14ac:dyDescent="0.25">
      <c r="B189" s="231"/>
      <c r="J189" s="92"/>
      <c r="K189" s="92"/>
      <c r="L189" s="92"/>
      <c r="M189" s="92"/>
      <c r="N189" s="92"/>
      <c r="O189" s="92"/>
      <c r="P189" s="92"/>
      <c r="Q189" s="92"/>
      <c r="R189" s="92"/>
      <c r="S189" s="92"/>
      <c r="T189" s="92"/>
      <c r="U189" s="92"/>
      <c r="V189" s="92"/>
      <c r="W189" s="92"/>
      <c r="X189" s="92"/>
      <c r="Y189" s="92"/>
      <c r="Z189" s="92"/>
      <c r="AA189" s="92"/>
      <c r="AB189" s="92"/>
      <c r="AC189" s="92"/>
      <c r="AD189" s="92"/>
      <c r="AE189" s="92"/>
      <c r="AF189" s="92"/>
      <c r="AG189" s="92"/>
      <c r="AH189" s="92"/>
      <c r="AI189" s="92"/>
      <c r="AJ189" s="92"/>
      <c r="AK189" s="92"/>
      <c r="AL189" s="92"/>
      <c r="AM189" s="92"/>
      <c r="AN189" s="92"/>
      <c r="AO189" s="92"/>
      <c r="AP189" s="92"/>
    </row>
    <row r="190" spans="2:44" x14ac:dyDescent="0.25">
      <c r="C190" s="31" t="str">
        <f ca="1">INDEX('Version control'!$H$34:$H$56,MATCH($A$1,'Version control'!$F$34:$F$56,0),1)&amp;"-D: Reactive power charges, all customer categories"</f>
        <v>Section 112-D: Reactive power charges, all customer categories</v>
      </c>
      <c r="D190" s="31"/>
      <c r="E190" s="31"/>
      <c r="F190" s="31"/>
      <c r="G190" s="31"/>
      <c r="H190" s="31"/>
      <c r="I190" s="31"/>
      <c r="J190" s="93"/>
      <c r="K190" s="93"/>
      <c r="L190" s="93"/>
      <c r="M190" s="93"/>
      <c r="N190" s="93"/>
      <c r="O190" s="93"/>
      <c r="P190" s="93"/>
      <c r="Q190" s="93"/>
      <c r="R190" s="93"/>
      <c r="S190" s="93"/>
      <c r="T190" s="93"/>
      <c r="U190" s="93"/>
      <c r="V190" s="93"/>
      <c r="W190" s="93"/>
      <c r="X190" s="93"/>
      <c r="Y190" s="93"/>
      <c r="Z190" s="93"/>
      <c r="AA190" s="93"/>
      <c r="AB190" s="93"/>
      <c r="AC190" s="93"/>
      <c r="AD190" s="93"/>
      <c r="AE190" s="93"/>
      <c r="AF190" s="93"/>
      <c r="AG190" s="93"/>
      <c r="AH190" s="93"/>
      <c r="AI190" s="93"/>
      <c r="AJ190" s="93"/>
      <c r="AK190" s="93"/>
      <c r="AL190" s="93"/>
      <c r="AM190" s="93"/>
      <c r="AN190" s="93"/>
      <c r="AO190" s="93"/>
      <c r="AP190" s="93"/>
      <c r="AQ190" s="31"/>
      <c r="AR190" s="31"/>
    </row>
    <row r="191" spans="2:44" x14ac:dyDescent="0.25">
      <c r="C191" s="32"/>
      <c r="D191"/>
      <c r="E191" s="32"/>
      <c r="I191" t="s">
        <v>190</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c r="AR191" t="s">
        <v>808</v>
      </c>
    </row>
    <row r="192" spans="2:44" x14ac:dyDescent="0.25">
      <c r="E192" s="32" t="s">
        <v>733</v>
      </c>
      <c r="J192" s="92"/>
      <c r="K192" s="92"/>
      <c r="L192" s="92"/>
      <c r="M192" s="92"/>
      <c r="N192" s="92"/>
      <c r="O192" s="92"/>
      <c r="P192" s="92"/>
      <c r="Q192" s="92"/>
      <c r="R192" s="92"/>
      <c r="S192" s="92"/>
      <c r="T192" s="92"/>
      <c r="U192" s="92"/>
      <c r="V192" s="92"/>
      <c r="W192" s="92"/>
      <c r="X192" s="92"/>
      <c r="Y192" s="92"/>
      <c r="Z192" s="92"/>
      <c r="AA192" s="92"/>
      <c r="AB192" s="92"/>
      <c r="AC192" s="92"/>
      <c r="AD192" s="92"/>
      <c r="AE192" s="92"/>
      <c r="AF192" s="92"/>
      <c r="AG192" s="92"/>
      <c r="AH192" s="92"/>
      <c r="AI192" s="92"/>
      <c r="AJ192" s="92"/>
      <c r="AK192" s="92"/>
      <c r="AL192" s="92"/>
      <c r="AM192" s="92"/>
      <c r="AN192" s="92"/>
      <c r="AO192" s="92"/>
      <c r="AP192" s="92"/>
    </row>
    <row r="193" spans="4:44" x14ac:dyDescent="0.25">
      <c r="F193" s="23" t="s">
        <v>225</v>
      </c>
      <c r="G193" s="23" t="s">
        <v>330</v>
      </c>
      <c r="H193" s="302"/>
      <c r="I193" s="302"/>
      <c r="J193" s="320"/>
      <c r="K193" s="320"/>
      <c r="L193" s="320"/>
      <c r="M193" s="320"/>
      <c r="N193" s="320"/>
      <c r="O193" s="320"/>
      <c r="P193" s="320"/>
      <c r="Q193" s="320"/>
      <c r="R193" s="320"/>
      <c r="S193" s="320"/>
      <c r="T193" s="320"/>
      <c r="U193" s="320"/>
      <c r="V193" s="320"/>
      <c r="W193" s="320"/>
      <c r="X193" s="320"/>
      <c r="Y193" s="320"/>
      <c r="Z193" s="320"/>
      <c r="AA193" s="320"/>
      <c r="AB193" s="320"/>
      <c r="AC193" s="320"/>
      <c r="AD193" s="320"/>
      <c r="AE193" s="320"/>
      <c r="AF193" s="320"/>
      <c r="AG193" s="320"/>
      <c r="AH193" s="320"/>
      <c r="AI193" s="320"/>
      <c r="AJ193" s="320"/>
      <c r="AK193" s="320"/>
      <c r="AL193" s="320"/>
      <c r="AM193" s="320"/>
      <c r="AN193" s="320"/>
      <c r="AO193" s="320"/>
      <c r="AP193" s="320"/>
      <c r="AQ193" s="304"/>
      <c r="AR193" s="304"/>
    </row>
    <row r="194" spans="4:44" x14ac:dyDescent="0.25">
      <c r="F194" t="s">
        <v>227</v>
      </c>
      <c r="G194" t="s">
        <v>330</v>
      </c>
      <c r="H194" s="304"/>
      <c r="I194" s="304"/>
      <c r="J194" s="305"/>
      <c r="K194" s="305"/>
      <c r="L194" s="305"/>
      <c r="M194" s="305"/>
      <c r="N194" s="305"/>
      <c r="O194" s="305"/>
      <c r="P194" s="305"/>
      <c r="Q194" s="305"/>
      <c r="R194" s="305"/>
      <c r="S194" s="305"/>
      <c r="T194" s="305"/>
      <c r="U194" s="305"/>
      <c r="V194" s="305"/>
      <c r="W194" s="305"/>
      <c r="X194" s="305"/>
      <c r="Y194" s="305"/>
      <c r="Z194" s="305"/>
      <c r="AA194" s="305"/>
      <c r="AB194" s="305"/>
      <c r="AC194" s="305"/>
      <c r="AD194" s="305"/>
      <c r="AE194" s="305"/>
      <c r="AF194" s="305"/>
      <c r="AG194" s="305"/>
      <c r="AH194" s="305"/>
      <c r="AI194" s="305"/>
      <c r="AJ194" s="305"/>
      <c r="AK194" s="305"/>
      <c r="AL194" s="305"/>
      <c r="AM194" s="305"/>
      <c r="AN194" s="305"/>
      <c r="AO194" s="305"/>
      <c r="AP194" s="305"/>
      <c r="AQ194" s="304"/>
      <c r="AR194" s="304"/>
    </row>
    <row r="195" spans="4:44" x14ac:dyDescent="0.25">
      <c r="F195" t="s">
        <v>228</v>
      </c>
      <c r="G195" t="s">
        <v>330</v>
      </c>
      <c r="H195" s="304"/>
      <c r="I195" s="304"/>
      <c r="J195" s="322">
        <f t="shared" ref="J195:AP195" si="18">ABS(J125 + J160)*(1-J82)*PowerFactor*$H23</f>
        <v>0</v>
      </c>
      <c r="K195" s="322">
        <f t="shared" si="18"/>
        <v>0</v>
      </c>
      <c r="L195" s="322">
        <f t="shared" si="18"/>
        <v>0</v>
      </c>
      <c r="M195" s="322">
        <f t="shared" si="18"/>
        <v>0</v>
      </c>
      <c r="N195" s="322">
        <f t="shared" si="18"/>
        <v>0</v>
      </c>
      <c r="O195" s="322">
        <f t="shared" si="18"/>
        <v>0</v>
      </c>
      <c r="P195" s="322">
        <f t="shared" si="18"/>
        <v>0</v>
      </c>
      <c r="Q195" s="322">
        <f t="shared" si="18"/>
        <v>0</v>
      </c>
      <c r="R195" s="322">
        <f t="shared" si="18"/>
        <v>0</v>
      </c>
      <c r="S195" s="322">
        <f t="shared" si="18"/>
        <v>0</v>
      </c>
      <c r="T195" s="322">
        <f t="shared" si="18"/>
        <v>0</v>
      </c>
      <c r="U195" s="322">
        <f t="shared" si="18"/>
        <v>0</v>
      </c>
      <c r="V195" s="322">
        <f t="shared" si="18"/>
        <v>0</v>
      </c>
      <c r="W195" s="322">
        <f t="shared" si="18"/>
        <v>0</v>
      </c>
      <c r="X195" s="322">
        <f t="shared" si="18"/>
        <v>0</v>
      </c>
      <c r="Y195" s="322">
        <f t="shared" si="18"/>
        <v>0</v>
      </c>
      <c r="Z195" s="322">
        <f t="shared" si="18"/>
        <v>0</v>
      </c>
      <c r="AA195" s="322">
        <f t="shared" si="18"/>
        <v>0</v>
      </c>
      <c r="AB195" s="322">
        <f t="shared" si="18"/>
        <v>0</v>
      </c>
      <c r="AC195" s="322">
        <f t="shared" si="18"/>
        <v>0</v>
      </c>
      <c r="AD195" s="322">
        <f t="shared" si="18"/>
        <v>0</v>
      </c>
      <c r="AE195" s="322">
        <f t="shared" si="18"/>
        <v>0</v>
      </c>
      <c r="AF195" s="322">
        <f t="shared" si="18"/>
        <v>0</v>
      </c>
      <c r="AG195" s="322">
        <f t="shared" si="18"/>
        <v>0</v>
      </c>
      <c r="AH195" s="322">
        <f t="shared" si="18"/>
        <v>0</v>
      </c>
      <c r="AI195" s="322">
        <f t="shared" si="18"/>
        <v>0</v>
      </c>
      <c r="AJ195" s="322">
        <f t="shared" si="18"/>
        <v>0</v>
      </c>
      <c r="AK195" s="322">
        <f t="shared" si="18"/>
        <v>0</v>
      </c>
      <c r="AL195" s="322">
        <f t="shared" si="18"/>
        <v>0</v>
      </c>
      <c r="AM195" s="322">
        <f t="shared" si="18"/>
        <v>0</v>
      </c>
      <c r="AN195" s="322">
        <f t="shared" si="18"/>
        <v>0</v>
      </c>
      <c r="AO195" s="322">
        <f t="shared" si="18"/>
        <v>0</v>
      </c>
      <c r="AP195" s="322">
        <f t="shared" si="18"/>
        <v>0</v>
      </c>
      <c r="AQ195" s="304"/>
      <c r="AR195" s="304"/>
    </row>
    <row r="196" spans="4:44" x14ac:dyDescent="0.25">
      <c r="F196" t="s">
        <v>229</v>
      </c>
      <c r="G196" t="s">
        <v>330</v>
      </c>
      <c r="H196" s="304"/>
      <c r="I196" s="304"/>
      <c r="J196" s="322">
        <f t="shared" ref="J196:AP196" si="19">ABS(J126 + J161)*(1-J83)*PowerFactor*$H24</f>
        <v>0</v>
      </c>
      <c r="K196" s="322">
        <f t="shared" si="19"/>
        <v>0</v>
      </c>
      <c r="L196" s="322">
        <f t="shared" si="19"/>
        <v>0</v>
      </c>
      <c r="M196" s="322">
        <f t="shared" si="19"/>
        <v>0</v>
      </c>
      <c r="N196" s="322">
        <f t="shared" si="19"/>
        <v>0</v>
      </c>
      <c r="O196" s="322">
        <f t="shared" si="19"/>
        <v>0</v>
      </c>
      <c r="P196" s="322">
        <f t="shared" si="19"/>
        <v>0</v>
      </c>
      <c r="Q196" s="322">
        <f t="shared" si="19"/>
        <v>0</v>
      </c>
      <c r="R196" s="322">
        <f t="shared" si="19"/>
        <v>0</v>
      </c>
      <c r="S196" s="322">
        <f t="shared" si="19"/>
        <v>0</v>
      </c>
      <c r="T196" s="322">
        <f t="shared" si="19"/>
        <v>0</v>
      </c>
      <c r="U196" s="322">
        <f t="shared" si="19"/>
        <v>0</v>
      </c>
      <c r="V196" s="322">
        <f t="shared" si="19"/>
        <v>0</v>
      </c>
      <c r="W196" s="322">
        <f t="shared" si="19"/>
        <v>0</v>
      </c>
      <c r="X196" s="322">
        <f t="shared" si="19"/>
        <v>0</v>
      </c>
      <c r="Y196" s="322">
        <f t="shared" si="19"/>
        <v>0</v>
      </c>
      <c r="Z196" s="322">
        <f t="shared" si="19"/>
        <v>0</v>
      </c>
      <c r="AA196" s="322">
        <f t="shared" si="19"/>
        <v>0</v>
      </c>
      <c r="AB196" s="322">
        <f t="shared" si="19"/>
        <v>0</v>
      </c>
      <c r="AC196" s="322">
        <f t="shared" si="19"/>
        <v>0</v>
      </c>
      <c r="AD196" s="322">
        <f t="shared" si="19"/>
        <v>0</v>
      </c>
      <c r="AE196" s="322">
        <f t="shared" si="19"/>
        <v>0</v>
      </c>
      <c r="AF196" s="322">
        <f t="shared" si="19"/>
        <v>0</v>
      </c>
      <c r="AG196" s="322">
        <f t="shared" si="19"/>
        <v>0</v>
      </c>
      <c r="AH196" s="322">
        <f t="shared" si="19"/>
        <v>0</v>
      </c>
      <c r="AI196" s="322">
        <f t="shared" si="19"/>
        <v>0</v>
      </c>
      <c r="AJ196" s="322">
        <f t="shared" si="19"/>
        <v>0</v>
      </c>
      <c r="AK196" s="322">
        <f t="shared" si="19"/>
        <v>0</v>
      </c>
      <c r="AL196" s="322">
        <f t="shared" si="19"/>
        <v>0</v>
      </c>
      <c r="AM196" s="322">
        <f t="shared" si="19"/>
        <v>0</v>
      </c>
      <c r="AN196" s="322">
        <f t="shared" si="19"/>
        <v>0</v>
      </c>
      <c r="AO196" s="322">
        <f t="shared" si="19"/>
        <v>0</v>
      </c>
      <c r="AP196" s="322">
        <f t="shared" si="19"/>
        <v>0</v>
      </c>
      <c r="AQ196" s="304"/>
      <c r="AR196" s="304"/>
    </row>
    <row r="197" spans="4:44" x14ac:dyDescent="0.25">
      <c r="F197" t="s">
        <v>230</v>
      </c>
      <c r="G197" t="s">
        <v>330</v>
      </c>
      <c r="H197" s="304"/>
      <c r="I197" s="304"/>
      <c r="J197" s="322">
        <f t="shared" ref="J197:AP197" si="20">ABS(J127 + J162)*(1-J84)*PowerFactor*$H25</f>
        <v>3.7795863311993694E-2</v>
      </c>
      <c r="K197" s="322">
        <f t="shared" si="20"/>
        <v>2.7631324407426418E-2</v>
      </c>
      <c r="L197" s="322">
        <f t="shared" si="20"/>
        <v>0</v>
      </c>
      <c r="M197" s="322">
        <f t="shared" si="20"/>
        <v>3.452425276826266E-2</v>
      </c>
      <c r="N197" s="322">
        <f t="shared" si="20"/>
        <v>2.7514820276585101E-2</v>
      </c>
      <c r="O197" s="322">
        <f t="shared" si="20"/>
        <v>0</v>
      </c>
      <c r="P197" s="322">
        <f t="shared" si="20"/>
        <v>2.7353922822032507E-2</v>
      </c>
      <c r="Q197" s="322">
        <f t="shared" si="20"/>
        <v>2.6525776534759953E-2</v>
      </c>
      <c r="R197" s="322">
        <f t="shared" si="20"/>
        <v>2.0819202955540267E-2</v>
      </c>
      <c r="S197" s="322">
        <f t="shared" si="20"/>
        <v>3.7498641201294508E-2</v>
      </c>
      <c r="T197" s="322">
        <f t="shared" si="20"/>
        <v>3.0407150874608692E-2</v>
      </c>
      <c r="U197" s="322">
        <f t="shared" si="20"/>
        <v>2.6709553963743093E-2</v>
      </c>
      <c r="V197" s="322">
        <f t="shared" si="20"/>
        <v>2.2347875896989909E-2</v>
      </c>
      <c r="W197" s="322">
        <f t="shared" si="20"/>
        <v>1.7405090801935839E-2</v>
      </c>
      <c r="X197" s="322">
        <f t="shared" si="20"/>
        <v>1.9084121030466347E-2</v>
      </c>
      <c r="Y197" s="322">
        <f t="shared" si="20"/>
        <v>3.579069043326167E-2</v>
      </c>
      <c r="Z197" s="322">
        <f t="shared" si="20"/>
        <v>6.6232185528980997E-2</v>
      </c>
      <c r="AA197" s="322">
        <f t="shared" si="20"/>
        <v>5.4689829725390465E-3</v>
      </c>
      <c r="AB197" s="322">
        <f t="shared" si="20"/>
        <v>3.4294821717538344E-2</v>
      </c>
      <c r="AC197" s="322">
        <f t="shared" si="20"/>
        <v>1.9081944461947161E-2</v>
      </c>
      <c r="AD197" s="322">
        <f t="shared" si="20"/>
        <v>1.8504234216768944E-2</v>
      </c>
      <c r="AE197" s="322">
        <f t="shared" si="20"/>
        <v>1.9081944461947161E-2</v>
      </c>
      <c r="AF197" s="322">
        <f t="shared" si="20"/>
        <v>1.9081944461947161E-2</v>
      </c>
      <c r="AG197" s="322">
        <f t="shared" si="20"/>
        <v>1.9081944461947161E-2</v>
      </c>
      <c r="AH197" s="322">
        <f t="shared" si="20"/>
        <v>1.9081944461947161E-2</v>
      </c>
      <c r="AI197" s="322">
        <f t="shared" si="20"/>
        <v>1.8504234216768944E-2</v>
      </c>
      <c r="AJ197" s="322">
        <f t="shared" si="20"/>
        <v>1.8504234216768944E-2</v>
      </c>
      <c r="AK197" s="322">
        <f t="shared" si="20"/>
        <v>1.8504234216768944E-2</v>
      </c>
      <c r="AL197" s="322">
        <f t="shared" si="20"/>
        <v>1.8504234216768944E-2</v>
      </c>
      <c r="AM197" s="322">
        <f t="shared" si="20"/>
        <v>1.8023096834802049E-2</v>
      </c>
      <c r="AN197" s="322">
        <f t="shared" si="20"/>
        <v>1.8023096834802049E-2</v>
      </c>
      <c r="AO197" s="322">
        <f t="shared" si="20"/>
        <v>1.8023096834802049E-2</v>
      </c>
      <c r="AP197" s="322">
        <f t="shared" si="20"/>
        <v>1.8023096834802049E-2</v>
      </c>
      <c r="AQ197" s="304"/>
      <c r="AR197" s="304"/>
    </row>
    <row r="198" spans="4:44" x14ac:dyDescent="0.25">
      <c r="F198" t="s">
        <v>231</v>
      </c>
      <c r="G198" t="s">
        <v>330</v>
      </c>
      <c r="H198" s="304"/>
      <c r="I198" s="304"/>
      <c r="J198" s="322">
        <f t="shared" ref="J198:AP198" si="21">ABS(J128 + J163)*(1-J85)*PowerFactor*$H26</f>
        <v>3.4275761286251934E-2</v>
      </c>
      <c r="K198" s="322">
        <f t="shared" si="21"/>
        <v>2.5057892489292549E-2</v>
      </c>
      <c r="L198" s="322">
        <f t="shared" si="21"/>
        <v>0</v>
      </c>
      <c r="M198" s="322">
        <f t="shared" si="21"/>
        <v>3.1308850831188305E-2</v>
      </c>
      <c r="N198" s="322">
        <f t="shared" si="21"/>
        <v>2.4952238922270789E-2</v>
      </c>
      <c r="O198" s="322">
        <f t="shared" si="21"/>
        <v>0</v>
      </c>
      <c r="P198" s="322">
        <f t="shared" si="21"/>
        <v>2.4806326585296586E-2</v>
      </c>
      <c r="Q198" s="322">
        <f t="shared" si="21"/>
        <v>2.4055309358402277E-2</v>
      </c>
      <c r="R198" s="322">
        <f t="shared" si="21"/>
        <v>0</v>
      </c>
      <c r="S198" s="322">
        <f t="shared" si="21"/>
        <v>3.4006220833339762E-2</v>
      </c>
      <c r="T198" s="322">
        <f t="shared" si="21"/>
        <v>2.7575193511783235E-2</v>
      </c>
      <c r="U198" s="322">
        <f t="shared" si="21"/>
        <v>2.4221970752894843E-2</v>
      </c>
      <c r="V198" s="322">
        <f t="shared" si="21"/>
        <v>2.0266515760653078E-2</v>
      </c>
      <c r="W198" s="322">
        <f t="shared" si="21"/>
        <v>0</v>
      </c>
      <c r="X198" s="322">
        <f t="shared" si="21"/>
        <v>1.7306729347564161E-2</v>
      </c>
      <c r="Y198" s="322">
        <f t="shared" si="21"/>
        <v>3.24573393504504E-2</v>
      </c>
      <c r="Z198" s="322">
        <f t="shared" si="21"/>
        <v>6.0063678448580841E-2</v>
      </c>
      <c r="AA198" s="322">
        <f t="shared" si="21"/>
        <v>4.9596315157018935E-3</v>
      </c>
      <c r="AB198" s="322">
        <f t="shared" si="21"/>
        <v>3.1100787746046788E-2</v>
      </c>
      <c r="AC198" s="322">
        <f t="shared" si="21"/>
        <v>1.7304755492849665E-2</v>
      </c>
      <c r="AD198" s="322">
        <f t="shared" si="21"/>
        <v>1.6780850051323022E-2</v>
      </c>
      <c r="AE198" s="322">
        <f t="shared" si="21"/>
        <v>1.7304755492849665E-2</v>
      </c>
      <c r="AF198" s="322">
        <f t="shared" si="21"/>
        <v>1.7304755492849665E-2</v>
      </c>
      <c r="AG198" s="322">
        <f t="shared" si="21"/>
        <v>1.7304755492849665E-2</v>
      </c>
      <c r="AH198" s="322">
        <f t="shared" si="21"/>
        <v>1.7304755492849665E-2</v>
      </c>
      <c r="AI198" s="322">
        <f t="shared" si="21"/>
        <v>1.6780850051323022E-2</v>
      </c>
      <c r="AJ198" s="322">
        <f t="shared" si="21"/>
        <v>1.6780850051323022E-2</v>
      </c>
      <c r="AK198" s="322">
        <f t="shared" si="21"/>
        <v>1.6780850051323022E-2</v>
      </c>
      <c r="AL198" s="322">
        <f t="shared" si="21"/>
        <v>1.6780850051323022E-2</v>
      </c>
      <c r="AM198" s="322">
        <f t="shared" si="21"/>
        <v>1.6375395793623803E-2</v>
      </c>
      <c r="AN198" s="322">
        <f t="shared" si="21"/>
        <v>1.6375395793623803E-2</v>
      </c>
      <c r="AO198" s="322">
        <f t="shared" si="21"/>
        <v>1.6375395793623803E-2</v>
      </c>
      <c r="AP198" s="322">
        <f t="shared" si="21"/>
        <v>1.6375395793623803E-2</v>
      </c>
      <c r="AQ198" s="304"/>
      <c r="AR198" s="304"/>
    </row>
    <row r="199" spans="4:44" x14ac:dyDescent="0.25">
      <c r="F199" t="s">
        <v>232</v>
      </c>
      <c r="G199" t="s">
        <v>330</v>
      </c>
      <c r="H199" s="304"/>
      <c r="I199" s="304"/>
      <c r="J199" s="322">
        <f t="shared" ref="J199:AP199" si="22">ABS(J129 + J164)*(1-J86)*PowerFactor*$H27</f>
        <v>0</v>
      </c>
      <c r="K199" s="322">
        <f t="shared" si="22"/>
        <v>0</v>
      </c>
      <c r="L199" s="322">
        <f t="shared" si="22"/>
        <v>0</v>
      </c>
      <c r="M199" s="322">
        <f t="shared" si="22"/>
        <v>0</v>
      </c>
      <c r="N199" s="322">
        <f t="shared" si="22"/>
        <v>0</v>
      </c>
      <c r="O199" s="322">
        <f t="shared" si="22"/>
        <v>0</v>
      </c>
      <c r="P199" s="322">
        <f t="shared" si="22"/>
        <v>0</v>
      </c>
      <c r="Q199" s="322">
        <f t="shared" si="22"/>
        <v>0</v>
      </c>
      <c r="R199" s="322">
        <f t="shared" si="22"/>
        <v>0</v>
      </c>
      <c r="S199" s="322">
        <f t="shared" si="22"/>
        <v>0</v>
      </c>
      <c r="T199" s="322">
        <f t="shared" si="22"/>
        <v>0</v>
      </c>
      <c r="U199" s="322">
        <f t="shared" si="22"/>
        <v>0</v>
      </c>
      <c r="V199" s="322">
        <f t="shared" si="22"/>
        <v>0</v>
      </c>
      <c r="W199" s="322">
        <f t="shared" si="22"/>
        <v>0</v>
      </c>
      <c r="X199" s="322">
        <f t="shared" si="22"/>
        <v>0</v>
      </c>
      <c r="Y199" s="322">
        <f t="shared" si="22"/>
        <v>0</v>
      </c>
      <c r="Z199" s="322">
        <f t="shared" si="22"/>
        <v>0</v>
      </c>
      <c r="AA199" s="322">
        <f t="shared" si="22"/>
        <v>0</v>
      </c>
      <c r="AB199" s="322">
        <f t="shared" si="22"/>
        <v>0</v>
      </c>
      <c r="AC199" s="322">
        <f t="shared" si="22"/>
        <v>0</v>
      </c>
      <c r="AD199" s="322">
        <f t="shared" si="22"/>
        <v>0</v>
      </c>
      <c r="AE199" s="322">
        <f t="shared" si="22"/>
        <v>0</v>
      </c>
      <c r="AF199" s="322">
        <f t="shared" si="22"/>
        <v>0</v>
      </c>
      <c r="AG199" s="322">
        <f t="shared" si="22"/>
        <v>0</v>
      </c>
      <c r="AH199" s="322">
        <f t="shared" si="22"/>
        <v>0</v>
      </c>
      <c r="AI199" s="322">
        <f t="shared" si="22"/>
        <v>0</v>
      </c>
      <c r="AJ199" s="322">
        <f t="shared" si="22"/>
        <v>0</v>
      </c>
      <c r="AK199" s="322">
        <f t="shared" si="22"/>
        <v>0</v>
      </c>
      <c r="AL199" s="322">
        <f t="shared" si="22"/>
        <v>0</v>
      </c>
      <c r="AM199" s="322">
        <f t="shared" si="22"/>
        <v>0</v>
      </c>
      <c r="AN199" s="322">
        <f t="shared" si="22"/>
        <v>0</v>
      </c>
      <c r="AO199" s="322">
        <f t="shared" si="22"/>
        <v>0</v>
      </c>
      <c r="AP199" s="322">
        <f t="shared" si="22"/>
        <v>0</v>
      </c>
      <c r="AQ199" s="304"/>
      <c r="AR199" s="304"/>
    </row>
    <row r="200" spans="4:44" x14ac:dyDescent="0.25">
      <c r="F200" t="s">
        <v>233</v>
      </c>
      <c r="G200" t="s">
        <v>330</v>
      </c>
      <c r="H200" s="304"/>
      <c r="I200" s="304"/>
      <c r="J200" s="322">
        <f t="shared" ref="J200:AP200" si="23">ABS(J130 + J165)*(1-J87)*PowerFactor*$H28</f>
        <v>8.1749311957507537E-2</v>
      </c>
      <c r="K200" s="322">
        <f t="shared" si="23"/>
        <v>5.9764258859117007E-2</v>
      </c>
      <c r="L200" s="322">
        <f t="shared" si="23"/>
        <v>0</v>
      </c>
      <c r="M200" s="322">
        <f t="shared" si="23"/>
        <v>7.4673090183309601E-2</v>
      </c>
      <c r="N200" s="322">
        <f t="shared" si="23"/>
        <v>5.9512270104213699E-2</v>
      </c>
      <c r="O200" s="322">
        <f t="shared" si="23"/>
        <v>0</v>
      </c>
      <c r="P200" s="322">
        <f t="shared" si="23"/>
        <v>5.9164262278679644E-2</v>
      </c>
      <c r="Q200" s="322">
        <f t="shared" si="23"/>
        <v>5.7373050668407678E-2</v>
      </c>
      <c r="R200" s="322">
        <f t="shared" si="23"/>
        <v>0</v>
      </c>
      <c r="S200" s="322">
        <f t="shared" si="23"/>
        <v>8.1106445227684593E-2</v>
      </c>
      <c r="T200" s="322">
        <f t="shared" si="23"/>
        <v>6.5768140869495145E-2</v>
      </c>
      <c r="U200" s="322">
        <f t="shared" si="23"/>
        <v>4.6216436782065176E-2</v>
      </c>
      <c r="V200" s="322">
        <f t="shared" si="23"/>
        <v>0</v>
      </c>
      <c r="W200" s="322">
        <f t="shared" si="23"/>
        <v>0</v>
      </c>
      <c r="X200" s="322">
        <f t="shared" si="23"/>
        <v>4.1277368125610607E-2</v>
      </c>
      <c r="Y200" s="322">
        <f t="shared" si="23"/>
        <v>7.7412289626807643E-2</v>
      </c>
      <c r="Z200" s="322">
        <f t="shared" si="23"/>
        <v>0.14325471419296915</v>
      </c>
      <c r="AA200" s="322">
        <f t="shared" si="23"/>
        <v>1.1828955762217465E-2</v>
      </c>
      <c r="AB200" s="322">
        <f t="shared" si="23"/>
        <v>7.4176849883582155E-2</v>
      </c>
      <c r="AC200" s="322">
        <f t="shared" si="23"/>
        <v>4.1272660388750548E-2</v>
      </c>
      <c r="AD200" s="322">
        <f t="shared" si="23"/>
        <v>4.0023121129274607E-2</v>
      </c>
      <c r="AE200" s="322">
        <f t="shared" si="23"/>
        <v>4.1272660388750548E-2</v>
      </c>
      <c r="AF200" s="322">
        <f t="shared" si="23"/>
        <v>4.1272660388750548E-2</v>
      </c>
      <c r="AG200" s="322">
        <f t="shared" si="23"/>
        <v>4.1272660388750548E-2</v>
      </c>
      <c r="AH200" s="322">
        <f t="shared" si="23"/>
        <v>4.1272660388750548E-2</v>
      </c>
      <c r="AI200" s="322">
        <f t="shared" si="23"/>
        <v>4.0023121129274607E-2</v>
      </c>
      <c r="AJ200" s="322">
        <f t="shared" si="23"/>
        <v>4.0023121129274607E-2</v>
      </c>
      <c r="AK200" s="322">
        <f t="shared" si="23"/>
        <v>4.0023121129274607E-2</v>
      </c>
      <c r="AL200" s="322">
        <f t="shared" si="23"/>
        <v>4.0023121129274607E-2</v>
      </c>
      <c r="AM200" s="322">
        <f t="shared" si="23"/>
        <v>4.1662075145559821E-2</v>
      </c>
      <c r="AN200" s="322">
        <f t="shared" si="23"/>
        <v>4.1662075145559821E-2</v>
      </c>
      <c r="AO200" s="322">
        <f t="shared" si="23"/>
        <v>4.1662075145559821E-2</v>
      </c>
      <c r="AP200" s="322">
        <f t="shared" si="23"/>
        <v>4.1662075145559821E-2</v>
      </c>
      <c r="AQ200" s="304"/>
      <c r="AR200" s="304"/>
    </row>
    <row r="201" spans="4:44" x14ac:dyDescent="0.25">
      <c r="F201" t="s">
        <v>234</v>
      </c>
      <c r="G201" t="s">
        <v>330</v>
      </c>
      <c r="H201" s="304"/>
      <c r="I201" s="304"/>
      <c r="J201" s="322">
        <f t="shared" ref="J201:AP201" si="24">ABS(J131 + J166)*(1-J88)*PowerFactor*$H29</f>
        <v>7.4871198055773483E-3</v>
      </c>
      <c r="K201" s="322">
        <f t="shared" si="24"/>
        <v>5.473589385098834E-3</v>
      </c>
      <c r="L201" s="322">
        <f t="shared" si="24"/>
        <v>0</v>
      </c>
      <c r="M201" s="322">
        <f t="shared" si="24"/>
        <v>6.8390345932908669E-3</v>
      </c>
      <c r="N201" s="322">
        <f t="shared" si="24"/>
        <v>5.450510658777565E-3</v>
      </c>
      <c r="O201" s="322">
        <f t="shared" si="24"/>
        <v>0</v>
      </c>
      <c r="P201" s="322">
        <f t="shared" si="24"/>
        <v>5.4186378977639157E-3</v>
      </c>
      <c r="Q201" s="322">
        <f t="shared" si="24"/>
        <v>0</v>
      </c>
      <c r="R201" s="322">
        <f t="shared" si="24"/>
        <v>0</v>
      </c>
      <c r="S201" s="322">
        <f t="shared" si="24"/>
        <v>7.42824199841359E-3</v>
      </c>
      <c r="T201" s="322">
        <f t="shared" si="24"/>
        <v>6.0234629293999427E-3</v>
      </c>
      <c r="U201" s="322">
        <f t="shared" si="24"/>
        <v>0</v>
      </c>
      <c r="V201" s="322">
        <f t="shared" si="24"/>
        <v>0</v>
      </c>
      <c r="W201" s="322">
        <f t="shared" si="24"/>
        <v>0</v>
      </c>
      <c r="X201" s="322">
        <f t="shared" si="24"/>
        <v>3.7804428320571881E-3</v>
      </c>
      <c r="Y201" s="322">
        <f t="shared" si="24"/>
        <v>7.0899078289641017E-3</v>
      </c>
      <c r="Z201" s="322">
        <f t="shared" si="24"/>
        <v>1.3120174129832558E-2</v>
      </c>
      <c r="AA201" s="322">
        <f t="shared" si="24"/>
        <v>1.0833706956779252E-3</v>
      </c>
      <c r="AB201" s="322">
        <f t="shared" si="24"/>
        <v>6.7935857633564176E-3</v>
      </c>
      <c r="AC201" s="322">
        <f t="shared" si="24"/>
        <v>3.7800116676957956E-3</v>
      </c>
      <c r="AD201" s="322">
        <f t="shared" si="24"/>
        <v>3.6655709474811516E-3</v>
      </c>
      <c r="AE201" s="322">
        <f t="shared" si="24"/>
        <v>3.7800116676957956E-3</v>
      </c>
      <c r="AF201" s="322">
        <f t="shared" si="24"/>
        <v>3.7800116676957956E-3</v>
      </c>
      <c r="AG201" s="322">
        <f t="shared" si="24"/>
        <v>3.7800116676957956E-3</v>
      </c>
      <c r="AH201" s="322">
        <f t="shared" si="24"/>
        <v>3.7800116676957956E-3</v>
      </c>
      <c r="AI201" s="322">
        <f t="shared" si="24"/>
        <v>3.6655709474811516E-3</v>
      </c>
      <c r="AJ201" s="322">
        <f t="shared" si="24"/>
        <v>3.6655709474811516E-3</v>
      </c>
      <c r="AK201" s="322">
        <f t="shared" si="24"/>
        <v>3.6655709474811516E-3</v>
      </c>
      <c r="AL201" s="322">
        <f t="shared" si="24"/>
        <v>3.6655709474811516E-3</v>
      </c>
      <c r="AM201" s="322">
        <f t="shared" si="24"/>
        <v>0</v>
      </c>
      <c r="AN201" s="322">
        <f t="shared" si="24"/>
        <v>0</v>
      </c>
      <c r="AO201" s="322">
        <f t="shared" si="24"/>
        <v>0</v>
      </c>
      <c r="AP201" s="322">
        <f t="shared" si="24"/>
        <v>0</v>
      </c>
      <c r="AQ201" s="304"/>
      <c r="AR201" s="304"/>
    </row>
    <row r="202" spans="4:44" x14ac:dyDescent="0.25">
      <c r="F202" t="s">
        <v>235</v>
      </c>
      <c r="G202" t="s">
        <v>330</v>
      </c>
      <c r="H202" s="304"/>
      <c r="I202" s="304"/>
      <c r="J202" s="322">
        <f t="shared" ref="J202:AP202" si="25">ABS(J132 + J167)*(1-J89)*PowerFactor*$H30</f>
        <v>0</v>
      </c>
      <c r="K202" s="322">
        <f t="shared" si="25"/>
        <v>0</v>
      </c>
      <c r="L202" s="322">
        <f t="shared" si="25"/>
        <v>0</v>
      </c>
      <c r="M202" s="322">
        <f t="shared" si="25"/>
        <v>0</v>
      </c>
      <c r="N202" s="322">
        <f t="shared" si="25"/>
        <v>0</v>
      </c>
      <c r="O202" s="322">
        <f t="shared" si="25"/>
        <v>0</v>
      </c>
      <c r="P202" s="322">
        <f t="shared" si="25"/>
        <v>0</v>
      </c>
      <c r="Q202" s="322">
        <f t="shared" si="25"/>
        <v>0</v>
      </c>
      <c r="R202" s="322">
        <f t="shared" si="25"/>
        <v>0</v>
      </c>
      <c r="S202" s="322">
        <f t="shared" si="25"/>
        <v>0</v>
      </c>
      <c r="T202" s="322">
        <f t="shared" si="25"/>
        <v>0</v>
      </c>
      <c r="U202" s="322">
        <f t="shared" si="25"/>
        <v>0</v>
      </c>
      <c r="V202" s="322">
        <f t="shared" si="25"/>
        <v>0</v>
      </c>
      <c r="W202" s="322">
        <f t="shared" si="25"/>
        <v>0</v>
      </c>
      <c r="X202" s="322">
        <f t="shared" si="25"/>
        <v>1.3729132331337019E-3</v>
      </c>
      <c r="Y202" s="322">
        <f t="shared" si="25"/>
        <v>2.5747852070510569E-3</v>
      </c>
      <c r="Z202" s="322">
        <f t="shared" si="25"/>
        <v>4.7647488625197874E-3</v>
      </c>
      <c r="AA202" s="322">
        <f t="shared" si="25"/>
        <v>3.9343908387476145E-4</v>
      </c>
      <c r="AB202" s="322">
        <f t="shared" si="25"/>
        <v>2.4671722888784725E-3</v>
      </c>
      <c r="AC202" s="322">
        <f t="shared" si="25"/>
        <v>1.3727566506158044E-3</v>
      </c>
      <c r="AD202" s="322">
        <f t="shared" si="25"/>
        <v>0</v>
      </c>
      <c r="AE202" s="322">
        <f t="shared" si="25"/>
        <v>1.3727566506158044E-3</v>
      </c>
      <c r="AF202" s="322">
        <f t="shared" si="25"/>
        <v>1.3727566506158044E-3</v>
      </c>
      <c r="AG202" s="322">
        <f t="shared" si="25"/>
        <v>1.3727566506158044E-3</v>
      </c>
      <c r="AH202" s="322">
        <f t="shared" si="25"/>
        <v>1.3727566506158044E-3</v>
      </c>
      <c r="AI202" s="322">
        <f t="shared" si="25"/>
        <v>0</v>
      </c>
      <c r="AJ202" s="322">
        <f t="shared" si="25"/>
        <v>0</v>
      </c>
      <c r="AK202" s="322">
        <f t="shared" si="25"/>
        <v>0</v>
      </c>
      <c r="AL202" s="322">
        <f t="shared" si="25"/>
        <v>0</v>
      </c>
      <c r="AM202" s="322">
        <f t="shared" si="25"/>
        <v>0</v>
      </c>
      <c r="AN202" s="322">
        <f t="shared" si="25"/>
        <v>0</v>
      </c>
      <c r="AO202" s="322">
        <f t="shared" si="25"/>
        <v>0</v>
      </c>
      <c r="AP202" s="322">
        <f t="shared" si="25"/>
        <v>0</v>
      </c>
      <c r="AQ202" s="304"/>
      <c r="AR202" s="304"/>
    </row>
    <row r="203" spans="4:44" x14ac:dyDescent="0.25">
      <c r="F203" t="s">
        <v>436</v>
      </c>
      <c r="G203" t="s">
        <v>330</v>
      </c>
      <c r="H203" s="304"/>
      <c r="I203" s="304"/>
      <c r="J203" s="305"/>
      <c r="K203" s="305"/>
      <c r="L203" s="305"/>
      <c r="M203" s="305"/>
      <c r="N203" s="305"/>
      <c r="O203" s="305"/>
      <c r="P203" s="305"/>
      <c r="Q203" s="305"/>
      <c r="R203" s="305"/>
      <c r="S203" s="305"/>
      <c r="T203" s="305"/>
      <c r="U203" s="305"/>
      <c r="V203" s="305"/>
      <c r="W203" s="305"/>
      <c r="X203" s="305"/>
      <c r="Y203" s="305"/>
      <c r="Z203" s="305"/>
      <c r="AA203" s="305"/>
      <c r="AB203" s="305"/>
      <c r="AC203" s="305"/>
      <c r="AD203" s="305"/>
      <c r="AE203" s="305"/>
      <c r="AF203" s="305"/>
      <c r="AG203" s="305"/>
      <c r="AH203" s="305"/>
      <c r="AI203" s="305"/>
      <c r="AJ203" s="305"/>
      <c r="AK203" s="305"/>
      <c r="AL203" s="305"/>
      <c r="AM203" s="305"/>
      <c r="AN203" s="305"/>
      <c r="AO203" s="305"/>
      <c r="AP203" s="305"/>
      <c r="AQ203" s="304"/>
      <c r="AR203" s="304"/>
    </row>
    <row r="204" spans="4:44" x14ac:dyDescent="0.25">
      <c r="F204" s="37" t="s">
        <v>437</v>
      </c>
      <c r="G204" s="37" t="s">
        <v>330</v>
      </c>
      <c r="H204" s="308"/>
      <c r="I204" s="308"/>
      <c r="J204" s="309"/>
      <c r="K204" s="309"/>
      <c r="L204" s="309"/>
      <c r="M204" s="309"/>
      <c r="N204" s="309"/>
      <c r="O204" s="309"/>
      <c r="P204" s="309"/>
      <c r="Q204" s="309"/>
      <c r="R204" s="309"/>
      <c r="S204" s="309"/>
      <c r="T204" s="309"/>
      <c r="U204" s="309"/>
      <c r="V204" s="309"/>
      <c r="W204" s="309"/>
      <c r="X204" s="309"/>
      <c r="Y204" s="309"/>
      <c r="Z204" s="309"/>
      <c r="AA204" s="309"/>
      <c r="AB204" s="309"/>
      <c r="AC204" s="309"/>
      <c r="AD204" s="309"/>
      <c r="AE204" s="309"/>
      <c r="AF204" s="309"/>
      <c r="AG204" s="309"/>
      <c r="AH204" s="309"/>
      <c r="AI204" s="309"/>
      <c r="AJ204" s="309"/>
      <c r="AK204" s="309"/>
      <c r="AL204" s="309"/>
      <c r="AM204" s="309"/>
      <c r="AN204" s="309"/>
      <c r="AO204" s="309"/>
      <c r="AP204" s="309"/>
      <c r="AQ204" s="304"/>
      <c r="AR204" s="304"/>
    </row>
    <row r="205" spans="4:44" x14ac:dyDescent="0.25">
      <c r="D205"/>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4:44" x14ac:dyDescent="0.25">
      <c r="E206" s="32" t="s">
        <v>734</v>
      </c>
      <c r="J206" s="92"/>
      <c r="K206" s="92"/>
      <c r="L206" s="92"/>
      <c r="M206" s="92"/>
      <c r="N206" s="92"/>
      <c r="O206" s="92"/>
      <c r="P206" s="92"/>
      <c r="Q206" s="92"/>
      <c r="R206" s="92"/>
      <c r="S206" s="92"/>
      <c r="T206" s="92"/>
      <c r="U206" s="92"/>
      <c r="V206" s="92"/>
      <c r="W206" s="92"/>
      <c r="X206" s="92"/>
      <c r="Y206" s="92"/>
      <c r="Z206" s="92"/>
      <c r="AA206" s="92"/>
      <c r="AB206" s="92"/>
      <c r="AC206" s="92"/>
      <c r="AD206" s="92"/>
      <c r="AE206" s="92"/>
      <c r="AF206" s="92"/>
      <c r="AG206" s="92"/>
      <c r="AH206" s="92"/>
      <c r="AI206" s="92"/>
      <c r="AJ206" s="92"/>
      <c r="AK206" s="92"/>
      <c r="AL206" s="92"/>
      <c r="AM206" s="92"/>
      <c r="AN206" s="92"/>
      <c r="AO206" s="92"/>
      <c r="AP206" s="92"/>
    </row>
    <row r="207" spans="4:44" x14ac:dyDescent="0.25">
      <c r="F207" s="23" t="s">
        <v>225</v>
      </c>
      <c r="G207" s="23" t="s">
        <v>330</v>
      </c>
      <c r="H207" s="302"/>
      <c r="I207" s="302"/>
      <c r="J207" s="321">
        <f t="shared" ref="J207:AP207" si="26">ABS(J137 + J172)*(1-J81)*PowerFactor*$H22</f>
        <v>0.1039824004340426</v>
      </c>
      <c r="K207" s="321">
        <f t="shared" si="26"/>
        <v>7.6018145566322082E-2</v>
      </c>
      <c r="L207" s="321">
        <f t="shared" si="26"/>
        <v>0</v>
      </c>
      <c r="M207" s="321">
        <f t="shared" si="26"/>
        <v>9.498168215928568E-2</v>
      </c>
      <c r="N207" s="321">
        <f t="shared" si="26"/>
        <v>7.5697624267857186E-2</v>
      </c>
      <c r="O207" s="321">
        <f t="shared" si="26"/>
        <v>0</v>
      </c>
      <c r="P207" s="321">
        <f t="shared" si="26"/>
        <v>7.5254969911479591E-2</v>
      </c>
      <c r="Q207" s="321">
        <f t="shared" si="26"/>
        <v>7.2976608437095331E-2</v>
      </c>
      <c r="R207" s="321">
        <f t="shared" si="26"/>
        <v>7.1977497711087191E-2</v>
      </c>
      <c r="S207" s="321">
        <f t="shared" si="26"/>
        <v>0.10316469537787139</v>
      </c>
      <c r="T207" s="321">
        <f t="shared" si="26"/>
        <v>8.3654883398273344E-2</v>
      </c>
      <c r="U207" s="321">
        <f t="shared" si="26"/>
        <v>7.3482209223443812E-2</v>
      </c>
      <c r="V207" s="321">
        <f t="shared" si="26"/>
        <v>6.1482542710796916E-2</v>
      </c>
      <c r="W207" s="321">
        <f t="shared" si="26"/>
        <v>6.0174007911490232E-2</v>
      </c>
      <c r="X207" s="321">
        <f t="shared" si="26"/>
        <v>5.2503436647046382E-2</v>
      </c>
      <c r="Y207" s="321">
        <f t="shared" si="26"/>
        <v>9.8465852564910278E-2</v>
      </c>
      <c r="Z207" s="321">
        <f t="shared" si="26"/>
        <v>0.18221522234976625</v>
      </c>
      <c r="AA207" s="321">
        <f t="shared" si="26"/>
        <v>1.504603751800156E-2</v>
      </c>
      <c r="AB207" s="321">
        <f t="shared" si="26"/>
        <v>9.4350481035726519E-2</v>
      </c>
      <c r="AC207" s="321">
        <f t="shared" si="26"/>
        <v>5.2497448562650331E-2</v>
      </c>
      <c r="AD207" s="321">
        <f t="shared" si="26"/>
        <v>5.0908076266716874E-2</v>
      </c>
      <c r="AE207" s="321">
        <f t="shared" si="26"/>
        <v>5.2497448562650331E-2</v>
      </c>
      <c r="AF207" s="321">
        <f t="shared" si="26"/>
        <v>5.2497448562650331E-2</v>
      </c>
      <c r="AG207" s="321">
        <f t="shared" si="26"/>
        <v>5.2497448562650331E-2</v>
      </c>
      <c r="AH207" s="321">
        <f t="shared" si="26"/>
        <v>5.2497448562650331E-2</v>
      </c>
      <c r="AI207" s="321">
        <f t="shared" si="26"/>
        <v>5.0908076266716874E-2</v>
      </c>
      <c r="AJ207" s="321">
        <f t="shared" si="26"/>
        <v>5.0908076266716874E-2</v>
      </c>
      <c r="AK207" s="321">
        <f t="shared" si="26"/>
        <v>5.0908076266716874E-2</v>
      </c>
      <c r="AL207" s="321">
        <f t="shared" si="26"/>
        <v>5.0908076266716874E-2</v>
      </c>
      <c r="AM207" s="321">
        <f t="shared" si="26"/>
        <v>4.9848494736094581E-2</v>
      </c>
      <c r="AN207" s="321">
        <f t="shared" si="26"/>
        <v>4.9848494736094581E-2</v>
      </c>
      <c r="AO207" s="321">
        <f t="shared" si="26"/>
        <v>4.9848494736094581E-2</v>
      </c>
      <c r="AP207" s="321">
        <f t="shared" si="26"/>
        <v>4.9848494736094581E-2</v>
      </c>
      <c r="AQ207" s="304"/>
      <c r="AR207" s="304"/>
    </row>
    <row r="208" spans="4:44" x14ac:dyDescent="0.25">
      <c r="F208" t="s">
        <v>227</v>
      </c>
      <c r="G208" t="s">
        <v>330</v>
      </c>
      <c r="H208" s="304"/>
      <c r="I208" s="304"/>
      <c r="J208" s="322">
        <f t="shared" ref="J208:AP208" si="27">ABS(J138 + J173)*(1-J81)*PowerFactor*$H22</f>
        <v>0</v>
      </c>
      <c r="K208" s="322">
        <f t="shared" si="27"/>
        <v>0</v>
      </c>
      <c r="L208" s="322">
        <f t="shared" si="27"/>
        <v>0</v>
      </c>
      <c r="M208" s="322">
        <f t="shared" si="27"/>
        <v>0</v>
      </c>
      <c r="N208" s="322">
        <f t="shared" si="27"/>
        <v>0</v>
      </c>
      <c r="O208" s="322">
        <f t="shared" si="27"/>
        <v>0</v>
      </c>
      <c r="P208" s="322">
        <f t="shared" si="27"/>
        <v>0</v>
      </c>
      <c r="Q208" s="322">
        <f t="shared" si="27"/>
        <v>0</v>
      </c>
      <c r="R208" s="322">
        <f t="shared" si="27"/>
        <v>0</v>
      </c>
      <c r="S208" s="322">
        <f t="shared" si="27"/>
        <v>0</v>
      </c>
      <c r="T208" s="322">
        <f t="shared" si="27"/>
        <v>0</v>
      </c>
      <c r="U208" s="322">
        <f t="shared" si="27"/>
        <v>0</v>
      </c>
      <c r="V208" s="322">
        <f t="shared" si="27"/>
        <v>0</v>
      </c>
      <c r="W208" s="322">
        <f t="shared" si="27"/>
        <v>0</v>
      </c>
      <c r="X208" s="322">
        <f t="shared" si="27"/>
        <v>0</v>
      </c>
      <c r="Y208" s="322">
        <f t="shared" si="27"/>
        <v>0</v>
      </c>
      <c r="Z208" s="322">
        <f t="shared" si="27"/>
        <v>0</v>
      </c>
      <c r="AA208" s="322">
        <f t="shared" si="27"/>
        <v>0</v>
      </c>
      <c r="AB208" s="322">
        <f t="shared" si="27"/>
        <v>0</v>
      </c>
      <c r="AC208" s="322">
        <f t="shared" si="27"/>
        <v>0</v>
      </c>
      <c r="AD208" s="322">
        <f t="shared" si="27"/>
        <v>0</v>
      </c>
      <c r="AE208" s="322">
        <f t="shared" si="27"/>
        <v>0</v>
      </c>
      <c r="AF208" s="322">
        <f t="shared" si="27"/>
        <v>0</v>
      </c>
      <c r="AG208" s="322">
        <f t="shared" si="27"/>
        <v>0</v>
      </c>
      <c r="AH208" s="322">
        <f t="shared" si="27"/>
        <v>0</v>
      </c>
      <c r="AI208" s="322">
        <f t="shared" si="27"/>
        <v>0</v>
      </c>
      <c r="AJ208" s="322">
        <f t="shared" si="27"/>
        <v>0</v>
      </c>
      <c r="AK208" s="322">
        <f t="shared" si="27"/>
        <v>0</v>
      </c>
      <c r="AL208" s="322">
        <f t="shared" si="27"/>
        <v>0</v>
      </c>
      <c r="AM208" s="322">
        <f t="shared" si="27"/>
        <v>0</v>
      </c>
      <c r="AN208" s="322">
        <f t="shared" si="27"/>
        <v>0</v>
      </c>
      <c r="AO208" s="322">
        <f t="shared" si="27"/>
        <v>0</v>
      </c>
      <c r="AP208" s="322">
        <f t="shared" si="27"/>
        <v>0</v>
      </c>
      <c r="AQ208" s="304"/>
      <c r="AR208" s="304"/>
    </row>
    <row r="209" spans="3:44" x14ac:dyDescent="0.25">
      <c r="F209" t="s">
        <v>228</v>
      </c>
      <c r="G209" t="s">
        <v>330</v>
      </c>
      <c r="H209" s="304"/>
      <c r="I209" s="304"/>
      <c r="J209" s="322">
        <f t="shared" ref="J209:AP209" si="28">ABS(J139 + J174)*(1-J82)*PowerFactor*$H23</f>
        <v>0</v>
      </c>
      <c r="K209" s="322">
        <f t="shared" si="28"/>
        <v>0</v>
      </c>
      <c r="L209" s="322">
        <f t="shared" si="28"/>
        <v>0</v>
      </c>
      <c r="M209" s="322">
        <f t="shared" si="28"/>
        <v>0</v>
      </c>
      <c r="N209" s="322">
        <f t="shared" si="28"/>
        <v>0</v>
      </c>
      <c r="O209" s="322">
        <f t="shared" si="28"/>
        <v>0</v>
      </c>
      <c r="P209" s="322">
        <f t="shared" si="28"/>
        <v>0</v>
      </c>
      <c r="Q209" s="322">
        <f t="shared" si="28"/>
        <v>0</v>
      </c>
      <c r="R209" s="322">
        <f t="shared" si="28"/>
        <v>0</v>
      </c>
      <c r="S209" s="322">
        <f t="shared" si="28"/>
        <v>0</v>
      </c>
      <c r="T209" s="322">
        <f t="shared" si="28"/>
        <v>0</v>
      </c>
      <c r="U209" s="322">
        <f t="shared" si="28"/>
        <v>0</v>
      </c>
      <c r="V209" s="322">
        <f t="shared" si="28"/>
        <v>0</v>
      </c>
      <c r="W209" s="322">
        <f t="shared" si="28"/>
        <v>0</v>
      </c>
      <c r="X209" s="322">
        <f t="shared" si="28"/>
        <v>0</v>
      </c>
      <c r="Y209" s="322">
        <f t="shared" si="28"/>
        <v>0</v>
      </c>
      <c r="Z209" s="322">
        <f t="shared" si="28"/>
        <v>0</v>
      </c>
      <c r="AA209" s="322">
        <f t="shared" si="28"/>
        <v>0</v>
      </c>
      <c r="AB209" s="322">
        <f t="shared" si="28"/>
        <v>0</v>
      </c>
      <c r="AC209" s="322">
        <f t="shared" si="28"/>
        <v>0</v>
      </c>
      <c r="AD209" s="322">
        <f t="shared" si="28"/>
        <v>0</v>
      </c>
      <c r="AE209" s="322">
        <f t="shared" si="28"/>
        <v>0</v>
      </c>
      <c r="AF209" s="322">
        <f t="shared" si="28"/>
        <v>0</v>
      </c>
      <c r="AG209" s="322">
        <f t="shared" si="28"/>
        <v>0</v>
      </c>
      <c r="AH209" s="322">
        <f t="shared" si="28"/>
        <v>0</v>
      </c>
      <c r="AI209" s="322">
        <f t="shared" si="28"/>
        <v>0</v>
      </c>
      <c r="AJ209" s="322">
        <f t="shared" si="28"/>
        <v>0</v>
      </c>
      <c r="AK209" s="322">
        <f t="shared" si="28"/>
        <v>0</v>
      </c>
      <c r="AL209" s="322">
        <f t="shared" si="28"/>
        <v>0</v>
      </c>
      <c r="AM209" s="322">
        <f t="shared" si="28"/>
        <v>0</v>
      </c>
      <c r="AN209" s="322">
        <f t="shared" si="28"/>
        <v>0</v>
      </c>
      <c r="AO209" s="322">
        <f t="shared" si="28"/>
        <v>0</v>
      </c>
      <c r="AP209" s="322">
        <f t="shared" si="28"/>
        <v>0</v>
      </c>
      <c r="AQ209" s="304"/>
      <c r="AR209" s="304"/>
    </row>
    <row r="210" spans="3:44" x14ac:dyDescent="0.25">
      <c r="F210" t="s">
        <v>229</v>
      </c>
      <c r="G210" t="s">
        <v>330</v>
      </c>
      <c r="H210" s="304"/>
      <c r="I210" s="304"/>
      <c r="J210" s="322">
        <f t="shared" ref="J210:AP210" si="29">ABS(J140 + J175)*(1-J83)*PowerFactor*$H24</f>
        <v>0</v>
      </c>
      <c r="K210" s="322">
        <f t="shared" si="29"/>
        <v>0</v>
      </c>
      <c r="L210" s="322">
        <f t="shared" si="29"/>
        <v>0</v>
      </c>
      <c r="M210" s="322">
        <f t="shared" si="29"/>
        <v>0</v>
      </c>
      <c r="N210" s="322">
        <f t="shared" si="29"/>
        <v>0</v>
      </c>
      <c r="O210" s="322">
        <f t="shared" si="29"/>
        <v>0</v>
      </c>
      <c r="P210" s="322">
        <f t="shared" si="29"/>
        <v>0</v>
      </c>
      <c r="Q210" s="322">
        <f t="shared" si="29"/>
        <v>0</v>
      </c>
      <c r="R210" s="322">
        <f t="shared" si="29"/>
        <v>0</v>
      </c>
      <c r="S210" s="322">
        <f t="shared" si="29"/>
        <v>0</v>
      </c>
      <c r="T210" s="322">
        <f t="shared" si="29"/>
        <v>0</v>
      </c>
      <c r="U210" s="322">
        <f t="shared" si="29"/>
        <v>0</v>
      </c>
      <c r="V210" s="322">
        <f t="shared" si="29"/>
        <v>0</v>
      </c>
      <c r="W210" s="322">
        <f t="shared" si="29"/>
        <v>0</v>
      </c>
      <c r="X210" s="322">
        <f t="shared" si="29"/>
        <v>0</v>
      </c>
      <c r="Y210" s="322">
        <f t="shared" si="29"/>
        <v>0</v>
      </c>
      <c r="Z210" s="322">
        <f t="shared" si="29"/>
        <v>0</v>
      </c>
      <c r="AA210" s="322">
        <f t="shared" si="29"/>
        <v>0</v>
      </c>
      <c r="AB210" s="322">
        <f t="shared" si="29"/>
        <v>0</v>
      </c>
      <c r="AC210" s="322">
        <f t="shared" si="29"/>
        <v>0</v>
      </c>
      <c r="AD210" s="322">
        <f t="shared" si="29"/>
        <v>0</v>
      </c>
      <c r="AE210" s="322">
        <f t="shared" si="29"/>
        <v>0</v>
      </c>
      <c r="AF210" s="322">
        <f t="shared" si="29"/>
        <v>0</v>
      </c>
      <c r="AG210" s="322">
        <f t="shared" si="29"/>
        <v>0</v>
      </c>
      <c r="AH210" s="322">
        <f t="shared" si="29"/>
        <v>0</v>
      </c>
      <c r="AI210" s="322">
        <f t="shared" si="29"/>
        <v>0</v>
      </c>
      <c r="AJ210" s="322">
        <f t="shared" si="29"/>
        <v>0</v>
      </c>
      <c r="AK210" s="322">
        <f t="shared" si="29"/>
        <v>0</v>
      </c>
      <c r="AL210" s="322">
        <f t="shared" si="29"/>
        <v>0</v>
      </c>
      <c r="AM210" s="322">
        <f t="shared" si="29"/>
        <v>0</v>
      </c>
      <c r="AN210" s="322">
        <f t="shared" si="29"/>
        <v>0</v>
      </c>
      <c r="AO210" s="322">
        <f t="shared" si="29"/>
        <v>0</v>
      </c>
      <c r="AP210" s="322">
        <f t="shared" si="29"/>
        <v>0</v>
      </c>
      <c r="AQ210" s="304"/>
      <c r="AR210" s="304"/>
    </row>
    <row r="211" spans="3:44" x14ac:dyDescent="0.25">
      <c r="F211" t="s">
        <v>230</v>
      </c>
      <c r="G211" t="s">
        <v>330</v>
      </c>
      <c r="H211" s="304"/>
      <c r="I211" s="304"/>
      <c r="J211" s="322">
        <f t="shared" ref="J211:AP211" si="30">ABS(J141 + J176)*(1-J84)*PowerFactor*$H25</f>
        <v>2.9596679450202949E-2</v>
      </c>
      <c r="K211" s="322">
        <f t="shared" si="30"/>
        <v>2.1637168187441803E-2</v>
      </c>
      <c r="L211" s="322">
        <f t="shared" si="30"/>
        <v>0</v>
      </c>
      <c r="M211" s="322">
        <f t="shared" si="30"/>
        <v>2.7034790395059044E-2</v>
      </c>
      <c r="N211" s="322">
        <f t="shared" si="30"/>
        <v>2.1545937689895774E-2</v>
      </c>
      <c r="O211" s="322">
        <f t="shared" si="30"/>
        <v>0</v>
      </c>
      <c r="P211" s="322">
        <f t="shared" si="30"/>
        <v>2.1419944261793927E-2</v>
      </c>
      <c r="Q211" s="322">
        <f t="shared" si="30"/>
        <v>2.0771450536436861E-2</v>
      </c>
      <c r="R211" s="322">
        <f t="shared" si="30"/>
        <v>1.6389657622755405E-2</v>
      </c>
      <c r="S211" s="322">
        <f t="shared" si="30"/>
        <v>2.9363934732526794E-2</v>
      </c>
      <c r="T211" s="322">
        <f t="shared" si="30"/>
        <v>2.381082527473773E-2</v>
      </c>
      <c r="U211" s="322">
        <f t="shared" si="30"/>
        <v>2.0915360509094379E-2</v>
      </c>
      <c r="V211" s="322">
        <f t="shared" si="30"/>
        <v>1.7499875948229472E-2</v>
      </c>
      <c r="W211" s="322">
        <f t="shared" si="30"/>
        <v>1.3701940451124963E-2</v>
      </c>
      <c r="X211" s="322">
        <f t="shared" si="30"/>
        <v>1.4944138411791584E-2</v>
      </c>
      <c r="Y211" s="322">
        <f t="shared" si="30"/>
        <v>2.8026495474136971E-2</v>
      </c>
      <c r="Z211" s="322">
        <f t="shared" si="30"/>
        <v>5.1864214562485668E-2</v>
      </c>
      <c r="AA211" s="322">
        <f t="shared" si="30"/>
        <v>4.2825780858798991E-3</v>
      </c>
      <c r="AB211" s="322">
        <f t="shared" si="30"/>
        <v>2.6855130594510026E-2</v>
      </c>
      <c r="AC211" s="322">
        <f t="shared" si="30"/>
        <v>1.4942434013608326E-2</v>
      </c>
      <c r="AD211" s="322">
        <f t="shared" si="30"/>
        <v>1.4490048396682567E-2</v>
      </c>
      <c r="AE211" s="322">
        <f t="shared" si="30"/>
        <v>1.4942434013608326E-2</v>
      </c>
      <c r="AF211" s="322">
        <f t="shared" si="30"/>
        <v>1.4942434013608326E-2</v>
      </c>
      <c r="AG211" s="322">
        <f t="shared" si="30"/>
        <v>1.4942434013608326E-2</v>
      </c>
      <c r="AH211" s="322">
        <f t="shared" si="30"/>
        <v>1.4942434013608326E-2</v>
      </c>
      <c r="AI211" s="322">
        <f t="shared" si="30"/>
        <v>1.4490048396682567E-2</v>
      </c>
      <c r="AJ211" s="322">
        <f t="shared" si="30"/>
        <v>1.4490048396682567E-2</v>
      </c>
      <c r="AK211" s="322">
        <f t="shared" si="30"/>
        <v>1.4490048396682567E-2</v>
      </c>
      <c r="AL211" s="322">
        <f t="shared" si="30"/>
        <v>1.4490048396682567E-2</v>
      </c>
      <c r="AM211" s="322">
        <f t="shared" si="30"/>
        <v>1.4188457985398731E-2</v>
      </c>
      <c r="AN211" s="322">
        <f t="shared" si="30"/>
        <v>1.4188457985398731E-2</v>
      </c>
      <c r="AO211" s="322">
        <f t="shared" si="30"/>
        <v>1.4188457985398731E-2</v>
      </c>
      <c r="AP211" s="322">
        <f t="shared" si="30"/>
        <v>1.4188457985398731E-2</v>
      </c>
      <c r="AQ211" s="304"/>
      <c r="AR211" s="304"/>
    </row>
    <row r="212" spans="3:44" x14ac:dyDescent="0.25">
      <c r="F212" t="s">
        <v>231</v>
      </c>
      <c r="G212" t="s">
        <v>330</v>
      </c>
      <c r="H212" s="304"/>
      <c r="I212" s="304"/>
      <c r="J212" s="322">
        <f t="shared" ref="J212:AP212" si="31">ABS(J142 + J177)*(1-J85)*PowerFactor*$H26</f>
        <v>2.6778966215911169E-2</v>
      </c>
      <c r="K212" s="322">
        <f t="shared" si="31"/>
        <v>1.957722983331223E-2</v>
      </c>
      <c r="L212" s="322">
        <f t="shared" si="31"/>
        <v>0</v>
      </c>
      <c r="M212" s="322">
        <f t="shared" si="31"/>
        <v>2.4460978464209502E-2</v>
      </c>
      <c r="N212" s="322">
        <f t="shared" si="31"/>
        <v>1.9494684816201223E-2</v>
      </c>
      <c r="O212" s="322">
        <f t="shared" si="31"/>
        <v>0</v>
      </c>
      <c r="P212" s="322">
        <f t="shared" si="31"/>
        <v>1.938068642796166E-2</v>
      </c>
      <c r="Q212" s="322">
        <f t="shared" si="31"/>
        <v>1.8793931701243549E-2</v>
      </c>
      <c r="R212" s="322">
        <f t="shared" si="31"/>
        <v>0</v>
      </c>
      <c r="S212" s="322">
        <f t="shared" si="31"/>
        <v>2.6568379655277981E-2</v>
      </c>
      <c r="T212" s="322">
        <f t="shared" si="31"/>
        <v>2.1543946734902827E-2</v>
      </c>
      <c r="U212" s="322">
        <f t="shared" si="31"/>
        <v>1.8924140912800962E-2</v>
      </c>
      <c r="V212" s="322">
        <f t="shared" si="31"/>
        <v>1.5833823101295916E-2</v>
      </c>
      <c r="W212" s="322">
        <f t="shared" si="31"/>
        <v>0</v>
      </c>
      <c r="X212" s="322">
        <f t="shared" si="31"/>
        <v>1.3521401220991474E-2</v>
      </c>
      <c r="Y212" s="322">
        <f t="shared" si="31"/>
        <v>2.5358269555713783E-2</v>
      </c>
      <c r="Z212" s="322">
        <f t="shared" si="31"/>
        <v>4.6926549713807456E-2</v>
      </c>
      <c r="AA212" s="322">
        <f t="shared" si="31"/>
        <v>3.8748608292945839E-3</v>
      </c>
      <c r="AB212" s="322">
        <f t="shared" si="31"/>
        <v>2.4298422940460477E-2</v>
      </c>
      <c r="AC212" s="322">
        <f t="shared" si="31"/>
        <v>1.3519859087812489E-2</v>
      </c>
      <c r="AD212" s="322">
        <f t="shared" si="31"/>
        <v>1.3110542253043851E-2</v>
      </c>
      <c r="AE212" s="322">
        <f t="shared" si="31"/>
        <v>1.3519859087812489E-2</v>
      </c>
      <c r="AF212" s="322">
        <f t="shared" si="31"/>
        <v>1.3519859087812489E-2</v>
      </c>
      <c r="AG212" s="322">
        <f t="shared" si="31"/>
        <v>1.3519859087812489E-2</v>
      </c>
      <c r="AH212" s="322">
        <f t="shared" si="31"/>
        <v>1.3519859087812489E-2</v>
      </c>
      <c r="AI212" s="322">
        <f t="shared" si="31"/>
        <v>1.3110542253043851E-2</v>
      </c>
      <c r="AJ212" s="322">
        <f t="shared" si="31"/>
        <v>1.3110542253043851E-2</v>
      </c>
      <c r="AK212" s="322">
        <f t="shared" si="31"/>
        <v>1.3110542253043851E-2</v>
      </c>
      <c r="AL212" s="322">
        <f t="shared" si="31"/>
        <v>1.3110542253043851E-2</v>
      </c>
      <c r="AM212" s="322">
        <f t="shared" si="31"/>
        <v>1.2837664363198092E-2</v>
      </c>
      <c r="AN212" s="322">
        <f t="shared" si="31"/>
        <v>1.2837664363198092E-2</v>
      </c>
      <c r="AO212" s="322">
        <f t="shared" si="31"/>
        <v>1.2837664363198092E-2</v>
      </c>
      <c r="AP212" s="322">
        <f t="shared" si="31"/>
        <v>1.2837664363198092E-2</v>
      </c>
      <c r="AQ212" s="304"/>
      <c r="AR212" s="304"/>
    </row>
    <row r="213" spans="3:44" x14ac:dyDescent="0.25">
      <c r="F213" t="s">
        <v>232</v>
      </c>
      <c r="G213" t="s">
        <v>330</v>
      </c>
      <c r="H213" s="304"/>
      <c r="I213" s="304"/>
      <c r="J213" s="322">
        <f t="shared" ref="J213:AP213" si="32">ABS(J143 + J178)*(1-J86)*PowerFactor*$H27</f>
        <v>0</v>
      </c>
      <c r="K213" s="322">
        <f t="shared" si="32"/>
        <v>0</v>
      </c>
      <c r="L213" s="322">
        <f t="shared" si="32"/>
        <v>0</v>
      </c>
      <c r="M213" s="322">
        <f t="shared" si="32"/>
        <v>0</v>
      </c>
      <c r="N213" s="322">
        <f t="shared" si="32"/>
        <v>0</v>
      </c>
      <c r="O213" s="322">
        <f t="shared" si="32"/>
        <v>0</v>
      </c>
      <c r="P213" s="322">
        <f t="shared" si="32"/>
        <v>0</v>
      </c>
      <c r="Q213" s="322">
        <f t="shared" si="32"/>
        <v>0</v>
      </c>
      <c r="R213" s="322">
        <f t="shared" si="32"/>
        <v>0</v>
      </c>
      <c r="S213" s="322">
        <f t="shared" si="32"/>
        <v>0</v>
      </c>
      <c r="T213" s="322">
        <f t="shared" si="32"/>
        <v>0</v>
      </c>
      <c r="U213" s="322">
        <f t="shared" si="32"/>
        <v>0</v>
      </c>
      <c r="V213" s="322">
        <f t="shared" si="32"/>
        <v>0</v>
      </c>
      <c r="W213" s="322">
        <f t="shared" si="32"/>
        <v>0</v>
      </c>
      <c r="X213" s="322">
        <f t="shared" si="32"/>
        <v>0</v>
      </c>
      <c r="Y213" s="322">
        <f t="shared" si="32"/>
        <v>0</v>
      </c>
      <c r="Z213" s="322">
        <f t="shared" si="32"/>
        <v>0</v>
      </c>
      <c r="AA213" s="322">
        <f t="shared" si="32"/>
        <v>0</v>
      </c>
      <c r="AB213" s="322">
        <f t="shared" si="32"/>
        <v>0</v>
      </c>
      <c r="AC213" s="322">
        <f t="shared" si="32"/>
        <v>0</v>
      </c>
      <c r="AD213" s="322">
        <f t="shared" si="32"/>
        <v>0</v>
      </c>
      <c r="AE213" s="322">
        <f t="shared" si="32"/>
        <v>0</v>
      </c>
      <c r="AF213" s="322">
        <f t="shared" si="32"/>
        <v>0</v>
      </c>
      <c r="AG213" s="322">
        <f t="shared" si="32"/>
        <v>0</v>
      </c>
      <c r="AH213" s="322">
        <f t="shared" si="32"/>
        <v>0</v>
      </c>
      <c r="AI213" s="322">
        <f t="shared" si="32"/>
        <v>0</v>
      </c>
      <c r="AJ213" s="322">
        <f t="shared" si="32"/>
        <v>0</v>
      </c>
      <c r="AK213" s="322">
        <f t="shared" si="32"/>
        <v>0</v>
      </c>
      <c r="AL213" s="322">
        <f t="shared" si="32"/>
        <v>0</v>
      </c>
      <c r="AM213" s="322">
        <f t="shared" si="32"/>
        <v>0</v>
      </c>
      <c r="AN213" s="322">
        <f t="shared" si="32"/>
        <v>0</v>
      </c>
      <c r="AO213" s="322">
        <f t="shared" si="32"/>
        <v>0</v>
      </c>
      <c r="AP213" s="322">
        <f t="shared" si="32"/>
        <v>0</v>
      </c>
      <c r="AQ213" s="304"/>
      <c r="AR213" s="304"/>
    </row>
    <row r="214" spans="3:44" x14ac:dyDescent="0.25">
      <c r="F214" t="s">
        <v>233</v>
      </c>
      <c r="G214" t="s">
        <v>330</v>
      </c>
      <c r="H214" s="304"/>
      <c r="I214" s="304"/>
      <c r="J214" s="322">
        <f t="shared" ref="J214:AP214" si="33">ABS(J144 + J179)*(1-J87)*PowerFactor*$H28</f>
        <v>0.11065749879624348</v>
      </c>
      <c r="K214" s="322">
        <f t="shared" si="33"/>
        <v>8.0898092527050047E-2</v>
      </c>
      <c r="L214" s="322">
        <f t="shared" si="33"/>
        <v>0</v>
      </c>
      <c r="M214" s="322">
        <f t="shared" si="33"/>
        <v>0.10107898389856121</v>
      </c>
      <c r="N214" s="322">
        <f t="shared" si="33"/>
        <v>8.0556995523605249E-2</v>
      </c>
      <c r="O214" s="322">
        <f t="shared" si="33"/>
        <v>0</v>
      </c>
      <c r="P214" s="322">
        <f t="shared" si="33"/>
        <v>8.0085925191476517E-2</v>
      </c>
      <c r="Q214" s="322">
        <f t="shared" si="33"/>
        <v>7.7661305437973088E-2</v>
      </c>
      <c r="R214" s="322">
        <f t="shared" si="33"/>
        <v>0</v>
      </c>
      <c r="S214" s="322">
        <f t="shared" si="33"/>
        <v>0.10978730157160502</v>
      </c>
      <c r="T214" s="322">
        <f t="shared" si="33"/>
        <v>8.9025066937324482E-2</v>
      </c>
      <c r="U214" s="322">
        <f t="shared" si="33"/>
        <v>6.2559490411813454E-2</v>
      </c>
      <c r="V214" s="322">
        <f t="shared" si="33"/>
        <v>0</v>
      </c>
      <c r="W214" s="322">
        <f t="shared" si="33"/>
        <v>0</v>
      </c>
      <c r="X214" s="322">
        <f t="shared" si="33"/>
        <v>5.5873868590430135E-2</v>
      </c>
      <c r="Y214" s="322">
        <f t="shared" si="33"/>
        <v>0.10478681888656832</v>
      </c>
      <c r="Z214" s="322">
        <f t="shared" si="33"/>
        <v>0.19391243771696212</v>
      </c>
      <c r="AA214" s="322">
        <f t="shared" si="33"/>
        <v>1.6011910396246293E-2</v>
      </c>
      <c r="AB214" s="322">
        <f t="shared" si="33"/>
        <v>0.10040726313351941</v>
      </c>
      <c r="AC214" s="322">
        <f t="shared" si="33"/>
        <v>5.5867496103941233E-2</v>
      </c>
      <c r="AD214" s="322">
        <f t="shared" si="33"/>
        <v>5.4176094845748514E-2</v>
      </c>
      <c r="AE214" s="322">
        <f t="shared" si="33"/>
        <v>5.5867496103941233E-2</v>
      </c>
      <c r="AF214" s="322">
        <f t="shared" si="33"/>
        <v>5.5867496103941233E-2</v>
      </c>
      <c r="AG214" s="322">
        <f t="shared" si="33"/>
        <v>5.5867496103941233E-2</v>
      </c>
      <c r="AH214" s="322">
        <f t="shared" si="33"/>
        <v>5.5867496103941233E-2</v>
      </c>
      <c r="AI214" s="322">
        <f t="shared" si="33"/>
        <v>5.4176094845748514E-2</v>
      </c>
      <c r="AJ214" s="322">
        <f t="shared" si="33"/>
        <v>5.4176094845748514E-2</v>
      </c>
      <c r="AK214" s="322">
        <f t="shared" si="33"/>
        <v>5.4176094845748514E-2</v>
      </c>
      <c r="AL214" s="322">
        <f t="shared" si="33"/>
        <v>5.4176094845748514E-2</v>
      </c>
      <c r="AM214" s="322">
        <f t="shared" si="33"/>
        <v>5.3048494006953363E-2</v>
      </c>
      <c r="AN214" s="322">
        <f t="shared" si="33"/>
        <v>5.3048494006953363E-2</v>
      </c>
      <c r="AO214" s="322">
        <f t="shared" si="33"/>
        <v>5.3048494006953363E-2</v>
      </c>
      <c r="AP214" s="322">
        <f t="shared" si="33"/>
        <v>5.3048494006953363E-2</v>
      </c>
      <c r="AQ214" s="304"/>
      <c r="AR214" s="304"/>
    </row>
    <row r="215" spans="3:44" x14ac:dyDescent="0.25">
      <c r="F215" t="s">
        <v>234</v>
      </c>
      <c r="G215" t="s">
        <v>330</v>
      </c>
      <c r="H215" s="304"/>
      <c r="I215" s="304"/>
      <c r="J215" s="322">
        <f t="shared" ref="J215:AP215" si="34">ABS(J145 + J180)*(1-J88)*PowerFactor*$H29</f>
        <v>2.6795886649432468E-2</v>
      </c>
      <c r="K215" s="322">
        <f t="shared" si="34"/>
        <v>1.9589599811049786E-2</v>
      </c>
      <c r="L215" s="322">
        <f t="shared" si="34"/>
        <v>0</v>
      </c>
      <c r="M215" s="322">
        <f t="shared" si="34"/>
        <v>2.4476434264729667E-2</v>
      </c>
      <c r="N215" s="322">
        <f t="shared" si="34"/>
        <v>1.9507002637426715E-2</v>
      </c>
      <c r="O215" s="322">
        <f t="shared" si="34"/>
        <v>0</v>
      </c>
      <c r="P215" s="322">
        <f t="shared" si="34"/>
        <v>1.9392932218693735E-2</v>
      </c>
      <c r="Q215" s="322">
        <f t="shared" si="34"/>
        <v>0</v>
      </c>
      <c r="R215" s="322">
        <f t="shared" si="34"/>
        <v>0</v>
      </c>
      <c r="S215" s="322">
        <f t="shared" si="34"/>
        <v>2.6585167028550759E-2</v>
      </c>
      <c r="T215" s="322">
        <f t="shared" si="34"/>
        <v>2.1557559393269667E-2</v>
      </c>
      <c r="U215" s="322">
        <f t="shared" si="34"/>
        <v>0</v>
      </c>
      <c r="V215" s="322">
        <f t="shared" si="34"/>
        <v>0</v>
      </c>
      <c r="W215" s="322">
        <f t="shared" si="34"/>
        <v>0</v>
      </c>
      <c r="X215" s="322">
        <f t="shared" si="34"/>
        <v>1.3529944790919821E-2</v>
      </c>
      <c r="Y215" s="322">
        <f t="shared" si="34"/>
        <v>2.5374292314425718E-2</v>
      </c>
      <c r="Z215" s="322">
        <f t="shared" si="34"/>
        <v>4.6956200506090263E-2</v>
      </c>
      <c r="AA215" s="322">
        <f t="shared" si="34"/>
        <v>3.8773091809052368E-3</v>
      </c>
      <c r="AB215" s="322">
        <f t="shared" si="34"/>
        <v>2.4313776029400564E-2</v>
      </c>
      <c r="AC215" s="322">
        <f t="shared" si="34"/>
        <v>1.352840168333571E-2</v>
      </c>
      <c r="AD215" s="322">
        <f t="shared" si="34"/>
        <v>1.3118826219528295E-2</v>
      </c>
      <c r="AE215" s="322">
        <f t="shared" si="34"/>
        <v>1.352840168333571E-2</v>
      </c>
      <c r="AF215" s="322">
        <f t="shared" si="34"/>
        <v>1.352840168333571E-2</v>
      </c>
      <c r="AG215" s="322">
        <f t="shared" si="34"/>
        <v>1.352840168333571E-2</v>
      </c>
      <c r="AH215" s="322">
        <f t="shared" si="34"/>
        <v>1.352840168333571E-2</v>
      </c>
      <c r="AI215" s="322">
        <f t="shared" si="34"/>
        <v>1.3118826219528295E-2</v>
      </c>
      <c r="AJ215" s="322">
        <f t="shared" si="34"/>
        <v>1.3118826219528295E-2</v>
      </c>
      <c r="AK215" s="322">
        <f t="shared" si="34"/>
        <v>1.3118826219528295E-2</v>
      </c>
      <c r="AL215" s="322">
        <f t="shared" si="34"/>
        <v>1.3118826219528295E-2</v>
      </c>
      <c r="AM215" s="322">
        <f t="shared" si="34"/>
        <v>0</v>
      </c>
      <c r="AN215" s="322">
        <f t="shared" si="34"/>
        <v>0</v>
      </c>
      <c r="AO215" s="322">
        <f t="shared" si="34"/>
        <v>0</v>
      </c>
      <c r="AP215" s="322">
        <f t="shared" si="34"/>
        <v>0</v>
      </c>
      <c r="AQ215" s="304"/>
      <c r="AR215" s="304"/>
    </row>
    <row r="216" spans="3:44" x14ac:dyDescent="0.25">
      <c r="F216" t="s">
        <v>235</v>
      </c>
      <c r="G216" t="s">
        <v>330</v>
      </c>
      <c r="H216" s="304"/>
      <c r="I216" s="304"/>
      <c r="J216" s="322">
        <f t="shared" ref="J216:AP216" si="35">ABS(J146 + J181)*(1-J89)*PowerFactor*$H30</f>
        <v>0</v>
      </c>
      <c r="K216" s="322">
        <f t="shared" si="35"/>
        <v>0</v>
      </c>
      <c r="L216" s="322">
        <f t="shared" si="35"/>
        <v>0</v>
      </c>
      <c r="M216" s="322">
        <f t="shared" si="35"/>
        <v>0</v>
      </c>
      <c r="N216" s="322">
        <f t="shared" si="35"/>
        <v>0</v>
      </c>
      <c r="O216" s="322">
        <f t="shared" si="35"/>
        <v>0</v>
      </c>
      <c r="P216" s="322">
        <f t="shared" si="35"/>
        <v>0</v>
      </c>
      <c r="Q216" s="322">
        <f t="shared" si="35"/>
        <v>0</v>
      </c>
      <c r="R216" s="322">
        <f t="shared" si="35"/>
        <v>0</v>
      </c>
      <c r="S216" s="322">
        <f t="shared" si="35"/>
        <v>0</v>
      </c>
      <c r="T216" s="322">
        <f t="shared" si="35"/>
        <v>0</v>
      </c>
      <c r="U216" s="322">
        <f t="shared" si="35"/>
        <v>0</v>
      </c>
      <c r="V216" s="322">
        <f t="shared" si="35"/>
        <v>0</v>
      </c>
      <c r="W216" s="322">
        <f t="shared" si="35"/>
        <v>0</v>
      </c>
      <c r="X216" s="322">
        <f t="shared" si="35"/>
        <v>3.2117799048856553E-2</v>
      </c>
      <c r="Y216" s="322">
        <f t="shared" si="35"/>
        <v>6.0234275464938224E-2</v>
      </c>
      <c r="Z216" s="322">
        <f t="shared" si="35"/>
        <v>0.11146607286709365</v>
      </c>
      <c r="AA216" s="322">
        <f t="shared" si="35"/>
        <v>9.204075777617041E-3</v>
      </c>
      <c r="AB216" s="322">
        <f t="shared" si="35"/>
        <v>5.7716789292094617E-2</v>
      </c>
      <c r="AC216" s="322">
        <f t="shared" si="35"/>
        <v>3.211413597261617E-2</v>
      </c>
      <c r="AD216" s="322">
        <f t="shared" si="35"/>
        <v>0</v>
      </c>
      <c r="AE216" s="322">
        <f t="shared" si="35"/>
        <v>3.211413597261617E-2</v>
      </c>
      <c r="AF216" s="322">
        <f t="shared" si="35"/>
        <v>3.211413597261617E-2</v>
      </c>
      <c r="AG216" s="322">
        <f t="shared" si="35"/>
        <v>3.211413597261617E-2</v>
      </c>
      <c r="AH216" s="322">
        <f t="shared" si="35"/>
        <v>3.211413597261617E-2</v>
      </c>
      <c r="AI216" s="322">
        <f t="shared" si="35"/>
        <v>0</v>
      </c>
      <c r="AJ216" s="322">
        <f t="shared" si="35"/>
        <v>0</v>
      </c>
      <c r="AK216" s="322">
        <f t="shared" si="35"/>
        <v>0</v>
      </c>
      <c r="AL216" s="322">
        <f t="shared" si="35"/>
        <v>0</v>
      </c>
      <c r="AM216" s="322">
        <f t="shared" si="35"/>
        <v>0</v>
      </c>
      <c r="AN216" s="322">
        <f t="shared" si="35"/>
        <v>0</v>
      </c>
      <c r="AO216" s="322">
        <f t="shared" si="35"/>
        <v>0</v>
      </c>
      <c r="AP216" s="322">
        <f t="shared" si="35"/>
        <v>0</v>
      </c>
      <c r="AQ216" s="304"/>
      <c r="AR216" s="304"/>
    </row>
    <row r="217" spans="3:44" x14ac:dyDescent="0.25">
      <c r="F217" t="s">
        <v>436</v>
      </c>
      <c r="G217" t="s">
        <v>330</v>
      </c>
      <c r="H217" s="304"/>
      <c r="I217" s="304"/>
      <c r="J217" s="305"/>
      <c r="K217" s="305"/>
      <c r="L217" s="305"/>
      <c r="M217" s="305"/>
      <c r="N217" s="305"/>
      <c r="O217" s="305"/>
      <c r="P217" s="305"/>
      <c r="Q217" s="305"/>
      <c r="R217" s="305"/>
      <c r="S217" s="305"/>
      <c r="T217" s="305"/>
      <c r="U217" s="305"/>
      <c r="V217" s="305"/>
      <c r="W217" s="305"/>
      <c r="X217" s="305"/>
      <c r="Y217" s="305"/>
      <c r="Z217" s="305"/>
      <c r="AA217" s="305"/>
      <c r="AB217" s="305"/>
      <c r="AC217" s="305"/>
      <c r="AD217" s="305"/>
      <c r="AE217" s="305"/>
      <c r="AF217" s="305"/>
      <c r="AG217" s="305"/>
      <c r="AH217" s="305"/>
      <c r="AI217" s="305"/>
      <c r="AJ217" s="305"/>
      <c r="AK217" s="305"/>
      <c r="AL217" s="305"/>
      <c r="AM217" s="305"/>
      <c r="AN217" s="305"/>
      <c r="AO217" s="305"/>
      <c r="AP217" s="305"/>
      <c r="AQ217" s="304"/>
      <c r="AR217" s="304"/>
    </row>
    <row r="218" spans="3:44" x14ac:dyDescent="0.25">
      <c r="F218" s="37" t="s">
        <v>437</v>
      </c>
      <c r="G218" s="37" t="s">
        <v>330</v>
      </c>
      <c r="H218" s="308"/>
      <c r="I218" s="308"/>
      <c r="J218" s="309"/>
      <c r="K218" s="309"/>
      <c r="L218" s="309"/>
      <c r="M218" s="309"/>
      <c r="N218" s="309"/>
      <c r="O218" s="309"/>
      <c r="P218" s="309"/>
      <c r="Q218" s="309"/>
      <c r="R218" s="309"/>
      <c r="S218" s="309"/>
      <c r="T218" s="309"/>
      <c r="U218" s="309"/>
      <c r="V218" s="309"/>
      <c r="W218" s="309"/>
      <c r="X218" s="309"/>
      <c r="Y218" s="309"/>
      <c r="Z218" s="309"/>
      <c r="AA218" s="309"/>
      <c r="AB218" s="309"/>
      <c r="AC218" s="309"/>
      <c r="AD218" s="309"/>
      <c r="AE218" s="309"/>
      <c r="AF218" s="309"/>
      <c r="AG218" s="309"/>
      <c r="AH218" s="309"/>
      <c r="AI218" s="309"/>
      <c r="AJ218" s="309"/>
      <c r="AK218" s="309"/>
      <c r="AL218" s="309"/>
      <c r="AM218" s="309"/>
      <c r="AN218" s="309"/>
      <c r="AO218" s="309"/>
      <c r="AP218" s="309"/>
      <c r="AQ218" s="304"/>
      <c r="AR218" s="304"/>
    </row>
    <row r="219" spans="3:44" x14ac:dyDescent="0.25">
      <c r="J219" s="92"/>
      <c r="K219" s="92"/>
      <c r="L219" s="92"/>
      <c r="M219" s="92"/>
      <c r="N219" s="92"/>
      <c r="O219" s="92"/>
      <c r="P219" s="92"/>
      <c r="Q219" s="92"/>
      <c r="R219" s="92"/>
      <c r="S219" s="92"/>
      <c r="T219" s="92"/>
      <c r="U219" s="92"/>
      <c r="V219" s="92"/>
      <c r="W219" s="92"/>
      <c r="X219" s="92"/>
      <c r="Y219" s="92"/>
      <c r="Z219" s="92"/>
      <c r="AA219" s="92"/>
      <c r="AB219" s="92"/>
      <c r="AC219" s="92"/>
      <c r="AD219" s="92"/>
      <c r="AE219" s="92"/>
      <c r="AF219" s="92"/>
      <c r="AG219" s="92"/>
      <c r="AH219" s="92"/>
      <c r="AI219" s="92"/>
      <c r="AJ219" s="92"/>
      <c r="AK219" s="92"/>
      <c r="AL219" s="92"/>
      <c r="AM219" s="92"/>
      <c r="AN219" s="92"/>
      <c r="AO219" s="92"/>
      <c r="AP219" s="92"/>
    </row>
    <row r="220" spans="3:44" x14ac:dyDescent="0.25">
      <c r="C220" s="31" t="str">
        <f ca="1">INDEX('Version control'!$H$34:$H$56,MATCH($A$1,'Version control'!$F$34:$F$56,0),1)&amp;"-E: Reactive power charges for applicable customers"</f>
        <v>Section 112-E: Reactive power charges for applicable customers</v>
      </c>
      <c r="D220" s="31"/>
      <c r="E220" s="31"/>
      <c r="F220" s="31"/>
      <c r="G220" s="31"/>
      <c r="H220" s="31"/>
      <c r="I220" s="31"/>
      <c r="J220" s="93"/>
      <c r="K220" s="93"/>
      <c r="L220" s="93"/>
      <c r="M220" s="93"/>
      <c r="N220" s="93"/>
      <c r="O220" s="93"/>
      <c r="P220" s="93"/>
      <c r="Q220" s="93"/>
      <c r="R220" s="93"/>
      <c r="S220" s="93"/>
      <c r="T220" s="93"/>
      <c r="U220" s="93"/>
      <c r="V220" s="93"/>
      <c r="W220" s="93"/>
      <c r="X220" s="93"/>
      <c r="Y220" s="93"/>
      <c r="Z220" s="93"/>
      <c r="AA220" s="93"/>
      <c r="AB220" s="93"/>
      <c r="AC220" s="93"/>
      <c r="AD220" s="93"/>
      <c r="AE220" s="93"/>
      <c r="AF220" s="93"/>
      <c r="AG220" s="93"/>
      <c r="AH220" s="93"/>
      <c r="AI220" s="93"/>
      <c r="AJ220" s="93"/>
      <c r="AK220" s="93"/>
      <c r="AL220" s="93"/>
      <c r="AM220" s="93"/>
      <c r="AN220" s="93"/>
      <c r="AO220" s="93"/>
      <c r="AP220" s="93"/>
      <c r="AQ220" s="31"/>
      <c r="AR220" s="31"/>
    </row>
    <row r="221" spans="3:44" x14ac:dyDescent="0.25">
      <c r="D221" s="32"/>
      <c r="E221" s="32"/>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D222"/>
      <c r="E222" s="32" t="s">
        <v>733</v>
      </c>
      <c r="J222" s="92"/>
      <c r="K222" s="92"/>
      <c r="L222" s="92"/>
      <c r="M222" s="92"/>
      <c r="N222" s="92"/>
      <c r="O222" s="92"/>
      <c r="P222" s="92"/>
      <c r="Q222" s="92"/>
      <c r="R222" s="92"/>
      <c r="S222" s="92"/>
      <c r="T222" s="92"/>
      <c r="U222" s="92"/>
      <c r="V222" s="92"/>
      <c r="W222" s="92"/>
      <c r="X222" s="92"/>
      <c r="Y222" s="92"/>
      <c r="Z222" s="92"/>
      <c r="AA222" s="92"/>
      <c r="AB222" s="92"/>
      <c r="AC222" s="92"/>
      <c r="AD222" s="92"/>
      <c r="AE222" s="92"/>
      <c r="AF222" s="92"/>
      <c r="AG222" s="92"/>
      <c r="AH222" s="92"/>
      <c r="AI222" s="92"/>
      <c r="AJ222" s="92"/>
      <c r="AK222" s="92"/>
      <c r="AL222" s="92"/>
      <c r="AM222" s="92"/>
      <c r="AN222" s="92"/>
      <c r="AO222" s="92"/>
      <c r="AP222" s="92"/>
    </row>
    <row r="223" spans="3:44" x14ac:dyDescent="0.25">
      <c r="D223"/>
      <c r="F223" s="23" t="s">
        <v>225</v>
      </c>
      <c r="G223" s="23" t="s">
        <v>330</v>
      </c>
      <c r="H223" s="302"/>
      <c r="I223" s="302"/>
      <c r="J223" s="320"/>
      <c r="K223" s="320"/>
      <c r="L223" s="320"/>
      <c r="M223" s="320"/>
      <c r="N223" s="320"/>
      <c r="O223" s="320"/>
      <c r="P223" s="320"/>
      <c r="Q223" s="320"/>
      <c r="R223" s="320"/>
      <c r="S223" s="320"/>
      <c r="T223" s="320"/>
      <c r="U223" s="320"/>
      <c r="V223" s="320"/>
      <c r="W223" s="320"/>
      <c r="X223" s="320"/>
      <c r="Y223" s="320"/>
      <c r="Z223" s="320"/>
      <c r="AA223" s="320"/>
      <c r="AB223" s="320"/>
      <c r="AC223" s="320"/>
      <c r="AD223" s="320"/>
      <c r="AE223" s="320"/>
      <c r="AF223" s="320"/>
      <c r="AG223" s="320"/>
      <c r="AH223" s="320"/>
      <c r="AI223" s="320"/>
      <c r="AJ223" s="320"/>
      <c r="AK223" s="320"/>
      <c r="AL223" s="320"/>
      <c r="AM223" s="320"/>
      <c r="AN223" s="320"/>
      <c r="AO223" s="320"/>
      <c r="AP223" s="320"/>
      <c r="AQ223" s="304"/>
      <c r="AR223" s="304"/>
    </row>
    <row r="224" spans="3:44" x14ac:dyDescent="0.25">
      <c r="D224"/>
      <c r="F224" t="s">
        <v>227</v>
      </c>
      <c r="G224" t="s">
        <v>330</v>
      </c>
      <c r="H224" s="304"/>
      <c r="I224" s="304"/>
      <c r="J224" s="305"/>
      <c r="K224" s="305"/>
      <c r="L224" s="305"/>
      <c r="M224" s="305"/>
      <c r="N224" s="305"/>
      <c r="O224" s="305"/>
      <c r="P224" s="305"/>
      <c r="Q224" s="305"/>
      <c r="R224" s="305"/>
      <c r="S224" s="305"/>
      <c r="T224" s="305"/>
      <c r="U224" s="305"/>
      <c r="V224" s="305"/>
      <c r="W224" s="305"/>
      <c r="X224" s="305"/>
      <c r="Y224" s="305"/>
      <c r="Z224" s="305"/>
      <c r="AA224" s="305"/>
      <c r="AB224" s="305"/>
      <c r="AC224" s="305"/>
      <c r="AD224" s="305"/>
      <c r="AE224" s="305"/>
      <c r="AF224" s="305"/>
      <c r="AG224" s="305"/>
      <c r="AH224" s="305"/>
      <c r="AI224" s="305"/>
      <c r="AJ224" s="305"/>
      <c r="AK224" s="305"/>
      <c r="AL224" s="305"/>
      <c r="AM224" s="305"/>
      <c r="AN224" s="305"/>
      <c r="AO224" s="305"/>
      <c r="AP224" s="305"/>
      <c r="AQ224" s="304"/>
      <c r="AR224" s="304"/>
    </row>
    <row r="225" spans="5:44" customFormat="1" x14ac:dyDescent="0.25">
      <c r="E225" s="2"/>
      <c r="F225" t="s">
        <v>228</v>
      </c>
      <c r="G225" t="s">
        <v>330</v>
      </c>
      <c r="H225" s="304"/>
      <c r="I225" s="304"/>
      <c r="J225" s="322">
        <f t="shared" ref="J225:AP225" si="36">J$78 * J195</f>
        <v>0</v>
      </c>
      <c r="K225" s="322">
        <f t="shared" si="36"/>
        <v>0</v>
      </c>
      <c r="L225" s="322">
        <f t="shared" si="36"/>
        <v>0</v>
      </c>
      <c r="M225" s="322">
        <f t="shared" si="36"/>
        <v>0</v>
      </c>
      <c r="N225" s="322">
        <f t="shared" si="36"/>
        <v>0</v>
      </c>
      <c r="O225" s="322">
        <f t="shared" si="36"/>
        <v>0</v>
      </c>
      <c r="P225" s="322">
        <f t="shared" si="36"/>
        <v>0</v>
      </c>
      <c r="Q225" s="322">
        <f t="shared" si="36"/>
        <v>0</v>
      </c>
      <c r="R225" s="322">
        <f t="shared" si="36"/>
        <v>0</v>
      </c>
      <c r="S225" s="322">
        <f t="shared" si="36"/>
        <v>0</v>
      </c>
      <c r="T225" s="322">
        <f t="shared" si="36"/>
        <v>0</v>
      </c>
      <c r="U225" s="322">
        <f t="shared" si="36"/>
        <v>0</v>
      </c>
      <c r="V225" s="322">
        <f t="shared" si="36"/>
        <v>0</v>
      </c>
      <c r="W225" s="322">
        <f t="shared" si="36"/>
        <v>0</v>
      </c>
      <c r="X225" s="322">
        <f t="shared" si="36"/>
        <v>0</v>
      </c>
      <c r="Y225" s="322">
        <f t="shared" si="36"/>
        <v>0</v>
      </c>
      <c r="Z225" s="322">
        <f t="shared" si="36"/>
        <v>0</v>
      </c>
      <c r="AA225" s="322">
        <f t="shared" si="36"/>
        <v>0</v>
      </c>
      <c r="AB225" s="322">
        <f t="shared" si="36"/>
        <v>0</v>
      </c>
      <c r="AC225" s="322">
        <f t="shared" si="36"/>
        <v>0</v>
      </c>
      <c r="AD225" s="322">
        <f t="shared" si="36"/>
        <v>0</v>
      </c>
      <c r="AE225" s="322">
        <f t="shared" si="36"/>
        <v>0</v>
      </c>
      <c r="AF225" s="322">
        <f t="shared" si="36"/>
        <v>0</v>
      </c>
      <c r="AG225" s="322">
        <f t="shared" si="36"/>
        <v>0</v>
      </c>
      <c r="AH225" s="322">
        <f t="shared" si="36"/>
        <v>0</v>
      </c>
      <c r="AI225" s="322">
        <f t="shared" si="36"/>
        <v>0</v>
      </c>
      <c r="AJ225" s="322">
        <f t="shared" si="36"/>
        <v>0</v>
      </c>
      <c r="AK225" s="322">
        <f t="shared" si="36"/>
        <v>0</v>
      </c>
      <c r="AL225" s="322">
        <f t="shared" si="36"/>
        <v>0</v>
      </c>
      <c r="AM225" s="322">
        <f t="shared" si="36"/>
        <v>0</v>
      </c>
      <c r="AN225" s="322">
        <f t="shared" si="36"/>
        <v>0</v>
      </c>
      <c r="AO225" s="322">
        <f t="shared" si="36"/>
        <v>0</v>
      </c>
      <c r="AP225" s="322">
        <f t="shared" si="36"/>
        <v>0</v>
      </c>
      <c r="AQ225" s="304"/>
      <c r="AR225" s="304"/>
    </row>
    <row r="226" spans="5:44" customFormat="1" x14ac:dyDescent="0.25">
      <c r="E226" s="2"/>
      <c r="F226" t="s">
        <v>229</v>
      </c>
      <c r="G226" t="s">
        <v>330</v>
      </c>
      <c r="H226" s="304"/>
      <c r="I226" s="304"/>
      <c r="J226" s="322">
        <f t="shared" ref="J226:AP226" si="37">J$78 * J196</f>
        <v>0</v>
      </c>
      <c r="K226" s="322">
        <f t="shared" si="37"/>
        <v>0</v>
      </c>
      <c r="L226" s="322">
        <f t="shared" si="37"/>
        <v>0</v>
      </c>
      <c r="M226" s="322">
        <f t="shared" si="37"/>
        <v>0</v>
      </c>
      <c r="N226" s="322">
        <f t="shared" si="37"/>
        <v>0</v>
      </c>
      <c r="O226" s="322">
        <f t="shared" si="37"/>
        <v>0</v>
      </c>
      <c r="P226" s="322">
        <f t="shared" si="37"/>
        <v>0</v>
      </c>
      <c r="Q226" s="322">
        <f t="shared" si="37"/>
        <v>0</v>
      </c>
      <c r="R226" s="322">
        <f t="shared" si="37"/>
        <v>0</v>
      </c>
      <c r="S226" s="322">
        <f t="shared" si="37"/>
        <v>0</v>
      </c>
      <c r="T226" s="322">
        <f t="shared" si="37"/>
        <v>0</v>
      </c>
      <c r="U226" s="322">
        <f t="shared" si="37"/>
        <v>0</v>
      </c>
      <c r="V226" s="322">
        <f t="shared" si="37"/>
        <v>0</v>
      </c>
      <c r="W226" s="322">
        <f t="shared" si="37"/>
        <v>0</v>
      </c>
      <c r="X226" s="322">
        <f t="shared" si="37"/>
        <v>0</v>
      </c>
      <c r="Y226" s="322">
        <f t="shared" si="37"/>
        <v>0</v>
      </c>
      <c r="Z226" s="322">
        <f t="shared" si="37"/>
        <v>0</v>
      </c>
      <c r="AA226" s="322">
        <f t="shared" si="37"/>
        <v>0</v>
      </c>
      <c r="AB226" s="322">
        <f t="shared" si="37"/>
        <v>0</v>
      </c>
      <c r="AC226" s="322">
        <f t="shared" si="37"/>
        <v>0</v>
      </c>
      <c r="AD226" s="322">
        <f t="shared" si="37"/>
        <v>0</v>
      </c>
      <c r="AE226" s="322">
        <f t="shared" si="37"/>
        <v>0</v>
      </c>
      <c r="AF226" s="322">
        <f t="shared" si="37"/>
        <v>0</v>
      </c>
      <c r="AG226" s="322">
        <f t="shared" si="37"/>
        <v>0</v>
      </c>
      <c r="AH226" s="322">
        <f t="shared" si="37"/>
        <v>0</v>
      </c>
      <c r="AI226" s="322">
        <f t="shared" si="37"/>
        <v>0</v>
      </c>
      <c r="AJ226" s="322">
        <f t="shared" si="37"/>
        <v>0</v>
      </c>
      <c r="AK226" s="322">
        <f t="shared" si="37"/>
        <v>0</v>
      </c>
      <c r="AL226" s="322">
        <f t="shared" si="37"/>
        <v>0</v>
      </c>
      <c r="AM226" s="322">
        <f t="shared" si="37"/>
        <v>0</v>
      </c>
      <c r="AN226" s="322">
        <f t="shared" si="37"/>
        <v>0</v>
      </c>
      <c r="AO226" s="322">
        <f t="shared" si="37"/>
        <v>0</v>
      </c>
      <c r="AP226" s="322">
        <f t="shared" si="37"/>
        <v>0</v>
      </c>
      <c r="AQ226" s="304"/>
      <c r="AR226" s="304"/>
    </row>
    <row r="227" spans="5:44" customFormat="1" x14ac:dyDescent="0.25">
      <c r="E227" s="2"/>
      <c r="F227" t="s">
        <v>230</v>
      </c>
      <c r="G227" t="s">
        <v>330</v>
      </c>
      <c r="H227" s="304"/>
      <c r="I227" s="304"/>
      <c r="J227" s="322">
        <f t="shared" ref="J227:AP227" si="38">J$78 * J197</f>
        <v>0</v>
      </c>
      <c r="K227" s="322">
        <f t="shared" si="38"/>
        <v>0</v>
      </c>
      <c r="L227" s="322">
        <f t="shared" si="38"/>
        <v>0</v>
      </c>
      <c r="M227" s="322">
        <f t="shared" si="38"/>
        <v>0</v>
      </c>
      <c r="N227" s="322">
        <f t="shared" si="38"/>
        <v>0</v>
      </c>
      <c r="O227" s="322">
        <f t="shared" si="38"/>
        <v>0</v>
      </c>
      <c r="P227" s="322">
        <f t="shared" si="38"/>
        <v>0</v>
      </c>
      <c r="Q227" s="322">
        <f t="shared" si="38"/>
        <v>0</v>
      </c>
      <c r="R227" s="322">
        <f t="shared" si="38"/>
        <v>0</v>
      </c>
      <c r="S227" s="322">
        <f t="shared" si="38"/>
        <v>0</v>
      </c>
      <c r="T227" s="322">
        <f t="shared" si="38"/>
        <v>0</v>
      </c>
      <c r="U227" s="322">
        <f t="shared" si="38"/>
        <v>2.6709553963743093E-2</v>
      </c>
      <c r="V227" s="322">
        <f t="shared" si="38"/>
        <v>2.2347875896989909E-2</v>
      </c>
      <c r="W227" s="322">
        <f t="shared" si="38"/>
        <v>1.7405090801935839E-2</v>
      </c>
      <c r="X227" s="322">
        <f t="shared" si="38"/>
        <v>0</v>
      </c>
      <c r="Y227" s="322">
        <f t="shared" si="38"/>
        <v>0</v>
      </c>
      <c r="Z227" s="322">
        <f t="shared" si="38"/>
        <v>0</v>
      </c>
      <c r="AA227" s="322">
        <f t="shared" si="38"/>
        <v>0</v>
      </c>
      <c r="AB227" s="322">
        <f t="shared" si="38"/>
        <v>0</v>
      </c>
      <c r="AC227" s="322">
        <f t="shared" si="38"/>
        <v>0</v>
      </c>
      <c r="AD227" s="322">
        <f t="shared" si="38"/>
        <v>0</v>
      </c>
      <c r="AE227" s="322">
        <f t="shared" si="38"/>
        <v>1.9081944461947161E-2</v>
      </c>
      <c r="AF227" s="322">
        <f t="shared" si="38"/>
        <v>0</v>
      </c>
      <c r="AG227" s="322">
        <f t="shared" si="38"/>
        <v>1.9081944461947161E-2</v>
      </c>
      <c r="AH227" s="322">
        <f t="shared" si="38"/>
        <v>0</v>
      </c>
      <c r="AI227" s="322">
        <f t="shared" si="38"/>
        <v>1.8504234216768944E-2</v>
      </c>
      <c r="AJ227" s="322">
        <f t="shared" si="38"/>
        <v>0</v>
      </c>
      <c r="AK227" s="322">
        <f t="shared" si="38"/>
        <v>1.8504234216768944E-2</v>
      </c>
      <c r="AL227" s="322">
        <f t="shared" si="38"/>
        <v>0</v>
      </c>
      <c r="AM227" s="322">
        <f t="shared" si="38"/>
        <v>1.8023096834802049E-2</v>
      </c>
      <c r="AN227" s="322">
        <f t="shared" si="38"/>
        <v>0</v>
      </c>
      <c r="AO227" s="322">
        <f t="shared" si="38"/>
        <v>1.8023096834802049E-2</v>
      </c>
      <c r="AP227" s="322">
        <f t="shared" si="38"/>
        <v>0</v>
      </c>
      <c r="AQ227" s="304"/>
      <c r="AR227" s="304"/>
    </row>
    <row r="228" spans="5:44" customFormat="1" x14ac:dyDescent="0.25">
      <c r="E228" s="2"/>
      <c r="F228" t="s">
        <v>231</v>
      </c>
      <c r="G228" t="s">
        <v>330</v>
      </c>
      <c r="H228" s="304"/>
      <c r="I228" s="304"/>
      <c r="J228" s="322">
        <f t="shared" ref="J228:AP228" si="39">J$78 * J198</f>
        <v>0</v>
      </c>
      <c r="K228" s="322">
        <f t="shared" si="39"/>
        <v>0</v>
      </c>
      <c r="L228" s="322">
        <f t="shared" si="39"/>
        <v>0</v>
      </c>
      <c r="M228" s="322">
        <f t="shared" si="39"/>
        <v>0</v>
      </c>
      <c r="N228" s="322">
        <f t="shared" si="39"/>
        <v>0</v>
      </c>
      <c r="O228" s="322">
        <f t="shared" si="39"/>
        <v>0</v>
      </c>
      <c r="P228" s="322">
        <f t="shared" si="39"/>
        <v>0</v>
      </c>
      <c r="Q228" s="322">
        <f t="shared" si="39"/>
        <v>0</v>
      </c>
      <c r="R228" s="322">
        <f t="shared" si="39"/>
        <v>0</v>
      </c>
      <c r="S228" s="322">
        <f t="shared" si="39"/>
        <v>0</v>
      </c>
      <c r="T228" s="322">
        <f t="shared" si="39"/>
        <v>0</v>
      </c>
      <c r="U228" s="322">
        <f t="shared" si="39"/>
        <v>2.4221970752894843E-2</v>
      </c>
      <c r="V228" s="322">
        <f t="shared" si="39"/>
        <v>2.0266515760653078E-2</v>
      </c>
      <c r="W228" s="322">
        <f t="shared" si="39"/>
        <v>0</v>
      </c>
      <c r="X228" s="322">
        <f t="shared" si="39"/>
        <v>0</v>
      </c>
      <c r="Y228" s="322">
        <f t="shared" si="39"/>
        <v>0</v>
      </c>
      <c r="Z228" s="322">
        <f t="shared" si="39"/>
        <v>0</v>
      </c>
      <c r="AA228" s="322">
        <f t="shared" si="39"/>
        <v>0</v>
      </c>
      <c r="AB228" s="322">
        <f t="shared" si="39"/>
        <v>0</v>
      </c>
      <c r="AC228" s="322">
        <f t="shared" si="39"/>
        <v>0</v>
      </c>
      <c r="AD228" s="322">
        <f t="shared" si="39"/>
        <v>0</v>
      </c>
      <c r="AE228" s="322">
        <f t="shared" si="39"/>
        <v>1.7304755492849665E-2</v>
      </c>
      <c r="AF228" s="322">
        <f t="shared" si="39"/>
        <v>0</v>
      </c>
      <c r="AG228" s="322">
        <f t="shared" si="39"/>
        <v>1.7304755492849665E-2</v>
      </c>
      <c r="AH228" s="322">
        <f t="shared" si="39"/>
        <v>0</v>
      </c>
      <c r="AI228" s="322">
        <f t="shared" si="39"/>
        <v>1.6780850051323022E-2</v>
      </c>
      <c r="AJ228" s="322">
        <f t="shared" si="39"/>
        <v>0</v>
      </c>
      <c r="AK228" s="322">
        <f t="shared" si="39"/>
        <v>1.6780850051323022E-2</v>
      </c>
      <c r="AL228" s="322">
        <f t="shared" si="39"/>
        <v>0</v>
      </c>
      <c r="AM228" s="322">
        <f t="shared" si="39"/>
        <v>1.6375395793623803E-2</v>
      </c>
      <c r="AN228" s="322">
        <f t="shared" si="39"/>
        <v>0</v>
      </c>
      <c r="AO228" s="322">
        <f t="shared" si="39"/>
        <v>1.6375395793623803E-2</v>
      </c>
      <c r="AP228" s="322">
        <f t="shared" si="39"/>
        <v>0</v>
      </c>
      <c r="AQ228" s="304"/>
      <c r="AR228" s="304"/>
    </row>
    <row r="229" spans="5:44" customFormat="1" x14ac:dyDescent="0.25">
      <c r="E229" s="2"/>
      <c r="F229" t="s">
        <v>232</v>
      </c>
      <c r="G229" t="s">
        <v>330</v>
      </c>
      <c r="H229" s="304"/>
      <c r="I229" s="304"/>
      <c r="J229" s="322">
        <f t="shared" ref="J229:AP229" si="40">J$78 * J199</f>
        <v>0</v>
      </c>
      <c r="K229" s="322">
        <f t="shared" si="40"/>
        <v>0</v>
      </c>
      <c r="L229" s="322">
        <f t="shared" si="40"/>
        <v>0</v>
      </c>
      <c r="M229" s="322">
        <f t="shared" si="40"/>
        <v>0</v>
      </c>
      <c r="N229" s="322">
        <f t="shared" si="40"/>
        <v>0</v>
      </c>
      <c r="O229" s="322">
        <f t="shared" si="40"/>
        <v>0</v>
      </c>
      <c r="P229" s="322">
        <f t="shared" si="40"/>
        <v>0</v>
      </c>
      <c r="Q229" s="322">
        <f t="shared" si="40"/>
        <v>0</v>
      </c>
      <c r="R229" s="322">
        <f t="shared" si="40"/>
        <v>0</v>
      </c>
      <c r="S229" s="322">
        <f t="shared" si="40"/>
        <v>0</v>
      </c>
      <c r="T229" s="322">
        <f t="shared" si="40"/>
        <v>0</v>
      </c>
      <c r="U229" s="322">
        <f t="shared" si="40"/>
        <v>0</v>
      </c>
      <c r="V229" s="322">
        <f t="shared" si="40"/>
        <v>0</v>
      </c>
      <c r="W229" s="322">
        <f t="shared" si="40"/>
        <v>0</v>
      </c>
      <c r="X229" s="322">
        <f t="shared" si="40"/>
        <v>0</v>
      </c>
      <c r="Y229" s="322">
        <f t="shared" si="40"/>
        <v>0</v>
      </c>
      <c r="Z229" s="322">
        <f t="shared" si="40"/>
        <v>0</v>
      </c>
      <c r="AA229" s="322">
        <f t="shared" si="40"/>
        <v>0</v>
      </c>
      <c r="AB229" s="322">
        <f t="shared" si="40"/>
        <v>0</v>
      </c>
      <c r="AC229" s="322">
        <f t="shared" si="40"/>
        <v>0</v>
      </c>
      <c r="AD229" s="322">
        <f t="shared" si="40"/>
        <v>0</v>
      </c>
      <c r="AE229" s="322">
        <f t="shared" si="40"/>
        <v>0</v>
      </c>
      <c r="AF229" s="322">
        <f t="shared" si="40"/>
        <v>0</v>
      </c>
      <c r="AG229" s="322">
        <f t="shared" si="40"/>
        <v>0</v>
      </c>
      <c r="AH229" s="322">
        <f t="shared" si="40"/>
        <v>0</v>
      </c>
      <c r="AI229" s="322">
        <f t="shared" si="40"/>
        <v>0</v>
      </c>
      <c r="AJ229" s="322">
        <f t="shared" si="40"/>
        <v>0</v>
      </c>
      <c r="AK229" s="322">
        <f t="shared" si="40"/>
        <v>0</v>
      </c>
      <c r="AL229" s="322">
        <f t="shared" si="40"/>
        <v>0</v>
      </c>
      <c r="AM229" s="322">
        <f t="shared" si="40"/>
        <v>0</v>
      </c>
      <c r="AN229" s="322">
        <f t="shared" si="40"/>
        <v>0</v>
      </c>
      <c r="AO229" s="322">
        <f t="shared" si="40"/>
        <v>0</v>
      </c>
      <c r="AP229" s="322">
        <f t="shared" si="40"/>
        <v>0</v>
      </c>
      <c r="AQ229" s="304"/>
      <c r="AR229" s="304"/>
    </row>
    <row r="230" spans="5:44" customFormat="1" x14ac:dyDescent="0.25">
      <c r="E230" s="2"/>
      <c r="F230" t="s">
        <v>233</v>
      </c>
      <c r="G230" t="s">
        <v>330</v>
      </c>
      <c r="H230" s="304"/>
      <c r="I230" s="304"/>
      <c r="J230" s="322">
        <f t="shared" ref="J230:AP230" si="41">J$78 * J200</f>
        <v>0</v>
      </c>
      <c r="K230" s="322">
        <f t="shared" si="41"/>
        <v>0</v>
      </c>
      <c r="L230" s="322">
        <f t="shared" si="41"/>
        <v>0</v>
      </c>
      <c r="M230" s="322">
        <f t="shared" si="41"/>
        <v>0</v>
      </c>
      <c r="N230" s="322">
        <f t="shared" si="41"/>
        <v>0</v>
      </c>
      <c r="O230" s="322">
        <f t="shared" si="41"/>
        <v>0</v>
      </c>
      <c r="P230" s="322">
        <f t="shared" si="41"/>
        <v>0</v>
      </c>
      <c r="Q230" s="322">
        <f t="shared" si="41"/>
        <v>0</v>
      </c>
      <c r="R230" s="322">
        <f t="shared" si="41"/>
        <v>0</v>
      </c>
      <c r="S230" s="322">
        <f t="shared" si="41"/>
        <v>0</v>
      </c>
      <c r="T230" s="322">
        <f t="shared" si="41"/>
        <v>0</v>
      </c>
      <c r="U230" s="322">
        <f t="shared" si="41"/>
        <v>4.6216436782065176E-2</v>
      </c>
      <c r="V230" s="322">
        <f t="shared" si="41"/>
        <v>0</v>
      </c>
      <c r="W230" s="322">
        <f t="shared" si="41"/>
        <v>0</v>
      </c>
      <c r="X230" s="322">
        <f t="shared" si="41"/>
        <v>0</v>
      </c>
      <c r="Y230" s="322">
        <f t="shared" si="41"/>
        <v>0</v>
      </c>
      <c r="Z230" s="322">
        <f t="shared" si="41"/>
        <v>0</v>
      </c>
      <c r="AA230" s="322">
        <f t="shared" si="41"/>
        <v>0</v>
      </c>
      <c r="AB230" s="322">
        <f t="shared" si="41"/>
        <v>0</v>
      </c>
      <c r="AC230" s="322">
        <f t="shared" si="41"/>
        <v>0</v>
      </c>
      <c r="AD230" s="322">
        <f t="shared" si="41"/>
        <v>0</v>
      </c>
      <c r="AE230" s="322">
        <f t="shared" si="41"/>
        <v>4.1272660388750548E-2</v>
      </c>
      <c r="AF230" s="322">
        <f t="shared" si="41"/>
        <v>0</v>
      </c>
      <c r="AG230" s="322">
        <f t="shared" si="41"/>
        <v>4.1272660388750548E-2</v>
      </c>
      <c r="AH230" s="322">
        <f t="shared" si="41"/>
        <v>0</v>
      </c>
      <c r="AI230" s="322">
        <f t="shared" si="41"/>
        <v>4.0023121129274607E-2</v>
      </c>
      <c r="AJ230" s="322">
        <f t="shared" si="41"/>
        <v>0</v>
      </c>
      <c r="AK230" s="322">
        <f t="shared" si="41"/>
        <v>4.0023121129274607E-2</v>
      </c>
      <c r="AL230" s="322">
        <f t="shared" si="41"/>
        <v>0</v>
      </c>
      <c r="AM230" s="322">
        <f t="shared" si="41"/>
        <v>4.1662075145559821E-2</v>
      </c>
      <c r="AN230" s="322">
        <f t="shared" si="41"/>
        <v>0</v>
      </c>
      <c r="AO230" s="322">
        <f t="shared" si="41"/>
        <v>4.1662075145559821E-2</v>
      </c>
      <c r="AP230" s="322">
        <f t="shared" si="41"/>
        <v>0</v>
      </c>
      <c r="AQ230" s="304"/>
      <c r="AR230" s="304"/>
    </row>
    <row r="231" spans="5:44" customFormat="1" x14ac:dyDescent="0.25">
      <c r="E231" s="2"/>
      <c r="F231" t="s">
        <v>234</v>
      </c>
      <c r="G231" t="s">
        <v>330</v>
      </c>
      <c r="H231" s="304"/>
      <c r="I231" s="304"/>
      <c r="J231" s="322">
        <f t="shared" ref="J231:AP231" si="42">J$78 * J201</f>
        <v>0</v>
      </c>
      <c r="K231" s="322">
        <f t="shared" si="42"/>
        <v>0</v>
      </c>
      <c r="L231" s="322">
        <f t="shared" si="42"/>
        <v>0</v>
      </c>
      <c r="M231" s="322">
        <f t="shared" si="42"/>
        <v>0</v>
      </c>
      <c r="N231" s="322">
        <f t="shared" si="42"/>
        <v>0</v>
      </c>
      <c r="O231" s="322">
        <f t="shared" si="42"/>
        <v>0</v>
      </c>
      <c r="P231" s="322">
        <f t="shared" si="42"/>
        <v>0</v>
      </c>
      <c r="Q231" s="322">
        <f t="shared" si="42"/>
        <v>0</v>
      </c>
      <c r="R231" s="322">
        <f t="shared" si="42"/>
        <v>0</v>
      </c>
      <c r="S231" s="322">
        <f t="shared" si="42"/>
        <v>0</v>
      </c>
      <c r="T231" s="322">
        <f t="shared" si="42"/>
        <v>0</v>
      </c>
      <c r="U231" s="322">
        <f t="shared" si="42"/>
        <v>0</v>
      </c>
      <c r="V231" s="322">
        <f t="shared" si="42"/>
        <v>0</v>
      </c>
      <c r="W231" s="322">
        <f t="shared" si="42"/>
        <v>0</v>
      </c>
      <c r="X231" s="322">
        <f t="shared" si="42"/>
        <v>0</v>
      </c>
      <c r="Y231" s="322">
        <f t="shared" si="42"/>
        <v>0</v>
      </c>
      <c r="Z231" s="322">
        <f t="shared" si="42"/>
        <v>0</v>
      </c>
      <c r="AA231" s="322">
        <f t="shared" si="42"/>
        <v>0</v>
      </c>
      <c r="AB231" s="322">
        <f t="shared" si="42"/>
        <v>0</v>
      </c>
      <c r="AC231" s="322">
        <f t="shared" si="42"/>
        <v>0</v>
      </c>
      <c r="AD231" s="322">
        <f t="shared" si="42"/>
        <v>0</v>
      </c>
      <c r="AE231" s="322">
        <f t="shared" si="42"/>
        <v>3.7800116676957956E-3</v>
      </c>
      <c r="AF231" s="322">
        <f t="shared" si="42"/>
        <v>0</v>
      </c>
      <c r="AG231" s="322">
        <f t="shared" si="42"/>
        <v>3.7800116676957956E-3</v>
      </c>
      <c r="AH231" s="322">
        <f t="shared" si="42"/>
        <v>0</v>
      </c>
      <c r="AI231" s="322">
        <f t="shared" si="42"/>
        <v>3.6655709474811516E-3</v>
      </c>
      <c r="AJ231" s="322">
        <f t="shared" si="42"/>
        <v>0</v>
      </c>
      <c r="AK231" s="322">
        <f t="shared" si="42"/>
        <v>3.6655709474811516E-3</v>
      </c>
      <c r="AL231" s="322">
        <f t="shared" si="42"/>
        <v>0</v>
      </c>
      <c r="AM231" s="322">
        <f t="shared" si="42"/>
        <v>0</v>
      </c>
      <c r="AN231" s="322">
        <f t="shared" si="42"/>
        <v>0</v>
      </c>
      <c r="AO231" s="322">
        <f t="shared" si="42"/>
        <v>0</v>
      </c>
      <c r="AP231" s="322">
        <f t="shared" si="42"/>
        <v>0</v>
      </c>
      <c r="AQ231" s="304"/>
      <c r="AR231" s="304"/>
    </row>
    <row r="232" spans="5:44" customFormat="1" x14ac:dyDescent="0.25">
      <c r="E232" s="2"/>
      <c r="F232" t="s">
        <v>235</v>
      </c>
      <c r="G232" t="s">
        <v>330</v>
      </c>
      <c r="H232" s="304"/>
      <c r="I232" s="304"/>
      <c r="J232" s="322">
        <f t="shared" ref="J232:AP232" si="43">J$78 * J202</f>
        <v>0</v>
      </c>
      <c r="K232" s="322">
        <f t="shared" si="43"/>
        <v>0</v>
      </c>
      <c r="L232" s="322">
        <f t="shared" si="43"/>
        <v>0</v>
      </c>
      <c r="M232" s="322">
        <f t="shared" si="43"/>
        <v>0</v>
      </c>
      <c r="N232" s="322">
        <f t="shared" si="43"/>
        <v>0</v>
      </c>
      <c r="O232" s="322">
        <f t="shared" si="43"/>
        <v>0</v>
      </c>
      <c r="P232" s="322">
        <f t="shared" si="43"/>
        <v>0</v>
      </c>
      <c r="Q232" s="322">
        <f t="shared" si="43"/>
        <v>0</v>
      </c>
      <c r="R232" s="322">
        <f t="shared" si="43"/>
        <v>0</v>
      </c>
      <c r="S232" s="322">
        <f t="shared" si="43"/>
        <v>0</v>
      </c>
      <c r="T232" s="322">
        <f t="shared" si="43"/>
        <v>0</v>
      </c>
      <c r="U232" s="322">
        <f t="shared" si="43"/>
        <v>0</v>
      </c>
      <c r="V232" s="322">
        <f t="shared" si="43"/>
        <v>0</v>
      </c>
      <c r="W232" s="322">
        <f t="shared" si="43"/>
        <v>0</v>
      </c>
      <c r="X232" s="322">
        <f t="shared" si="43"/>
        <v>0</v>
      </c>
      <c r="Y232" s="322">
        <f t="shared" si="43"/>
        <v>0</v>
      </c>
      <c r="Z232" s="322">
        <f t="shared" si="43"/>
        <v>0</v>
      </c>
      <c r="AA232" s="322">
        <f t="shared" si="43"/>
        <v>0</v>
      </c>
      <c r="AB232" s="322">
        <f t="shared" si="43"/>
        <v>0</v>
      </c>
      <c r="AC232" s="322">
        <f t="shared" si="43"/>
        <v>0</v>
      </c>
      <c r="AD232" s="322">
        <f t="shared" si="43"/>
        <v>0</v>
      </c>
      <c r="AE232" s="322">
        <f t="shared" si="43"/>
        <v>1.3727566506158044E-3</v>
      </c>
      <c r="AF232" s="322">
        <f t="shared" si="43"/>
        <v>0</v>
      </c>
      <c r="AG232" s="322">
        <f t="shared" si="43"/>
        <v>1.3727566506158044E-3</v>
      </c>
      <c r="AH232" s="322">
        <f t="shared" si="43"/>
        <v>0</v>
      </c>
      <c r="AI232" s="322">
        <f t="shared" si="43"/>
        <v>0</v>
      </c>
      <c r="AJ232" s="322">
        <f t="shared" si="43"/>
        <v>0</v>
      </c>
      <c r="AK232" s="322">
        <f t="shared" si="43"/>
        <v>0</v>
      </c>
      <c r="AL232" s="322">
        <f t="shared" si="43"/>
        <v>0</v>
      </c>
      <c r="AM232" s="322">
        <f t="shared" si="43"/>
        <v>0</v>
      </c>
      <c r="AN232" s="322">
        <f t="shared" si="43"/>
        <v>0</v>
      </c>
      <c r="AO232" s="322">
        <f t="shared" si="43"/>
        <v>0</v>
      </c>
      <c r="AP232" s="322">
        <f t="shared" si="43"/>
        <v>0</v>
      </c>
      <c r="AQ232" s="304"/>
      <c r="AR232" s="304"/>
    </row>
    <row r="233" spans="5:44" customFormat="1" x14ac:dyDescent="0.25">
      <c r="E233" s="2"/>
      <c r="F233" t="s">
        <v>436</v>
      </c>
      <c r="G233" t="s">
        <v>330</v>
      </c>
      <c r="H233" s="304"/>
      <c r="I233" s="304"/>
      <c r="J233" s="305"/>
      <c r="K233" s="305"/>
      <c r="L233" s="305"/>
      <c r="M233" s="305"/>
      <c r="N233" s="305"/>
      <c r="O233" s="305"/>
      <c r="P233" s="305"/>
      <c r="Q233" s="305"/>
      <c r="R233" s="305"/>
      <c r="S233" s="305"/>
      <c r="T233" s="305"/>
      <c r="U233" s="305"/>
      <c r="V233" s="305"/>
      <c r="W233" s="305"/>
      <c r="X233" s="305"/>
      <c r="Y233" s="305"/>
      <c r="Z233" s="305"/>
      <c r="AA233" s="305"/>
      <c r="AB233" s="305"/>
      <c r="AC233" s="305"/>
      <c r="AD233" s="305"/>
      <c r="AE233" s="305"/>
      <c r="AF233" s="305"/>
      <c r="AG233" s="305"/>
      <c r="AH233" s="305"/>
      <c r="AI233" s="305"/>
      <c r="AJ233" s="305"/>
      <c r="AK233" s="305"/>
      <c r="AL233" s="305"/>
      <c r="AM233" s="305"/>
      <c r="AN233" s="305"/>
      <c r="AO233" s="305"/>
      <c r="AP233" s="305"/>
      <c r="AQ233" s="304"/>
      <c r="AR233" s="304"/>
    </row>
    <row r="234" spans="5:44" customFormat="1" x14ac:dyDescent="0.25">
      <c r="E234" s="2"/>
      <c r="F234" s="37" t="s">
        <v>437</v>
      </c>
      <c r="G234" s="37" t="s">
        <v>330</v>
      </c>
      <c r="H234" s="308"/>
      <c r="I234" s="308"/>
      <c r="J234" s="309"/>
      <c r="K234" s="309"/>
      <c r="L234" s="309"/>
      <c r="M234" s="309"/>
      <c r="N234" s="309"/>
      <c r="O234" s="309"/>
      <c r="P234" s="309"/>
      <c r="Q234" s="309"/>
      <c r="R234" s="309"/>
      <c r="S234" s="309"/>
      <c r="T234" s="309"/>
      <c r="U234" s="309"/>
      <c r="V234" s="309"/>
      <c r="W234" s="309"/>
      <c r="X234" s="309"/>
      <c r="Y234" s="309"/>
      <c r="Z234" s="309"/>
      <c r="AA234" s="309"/>
      <c r="AB234" s="309"/>
      <c r="AC234" s="309"/>
      <c r="AD234" s="309"/>
      <c r="AE234" s="309"/>
      <c r="AF234" s="309"/>
      <c r="AG234" s="309"/>
      <c r="AH234" s="309"/>
      <c r="AI234" s="309"/>
      <c r="AJ234" s="309"/>
      <c r="AK234" s="309"/>
      <c r="AL234" s="309"/>
      <c r="AM234" s="309"/>
      <c r="AN234" s="309"/>
      <c r="AO234" s="309"/>
      <c r="AP234" s="309"/>
      <c r="AQ234" s="304"/>
      <c r="AR234" s="304"/>
    </row>
    <row r="235" spans="5:44" customFormat="1" x14ac:dyDescent="0.25">
      <c r="E235" s="2"/>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5:44" customFormat="1" x14ac:dyDescent="0.25">
      <c r="E236" s="32" t="s">
        <v>734</v>
      </c>
      <c r="J236" s="92"/>
      <c r="K236" s="92"/>
      <c r="L236" s="92"/>
      <c r="M236" s="92"/>
      <c r="N236" s="92"/>
      <c r="O236" s="92"/>
      <c r="P236" s="92"/>
      <c r="Q236" s="92"/>
      <c r="R236" s="92"/>
      <c r="S236" s="92"/>
      <c r="T236" s="92"/>
      <c r="U236" s="92"/>
      <c r="V236" s="92"/>
      <c r="W236" s="92"/>
      <c r="X236" s="92"/>
      <c r="Y236" s="92"/>
      <c r="Z236" s="92"/>
      <c r="AA236" s="92"/>
      <c r="AB236" s="92"/>
      <c r="AC236" s="92"/>
      <c r="AD236" s="92"/>
      <c r="AE236" s="92"/>
      <c r="AF236" s="92"/>
      <c r="AG236" s="92"/>
      <c r="AH236" s="92"/>
      <c r="AI236" s="92"/>
      <c r="AJ236" s="92"/>
      <c r="AK236" s="92"/>
      <c r="AL236" s="92"/>
      <c r="AM236" s="92"/>
      <c r="AN236" s="92"/>
      <c r="AO236" s="92"/>
      <c r="AP236" s="92"/>
    </row>
    <row r="237" spans="5:44" customFormat="1" x14ac:dyDescent="0.25">
      <c r="E237" s="2"/>
      <c r="F237" s="23" t="s">
        <v>225</v>
      </c>
      <c r="G237" s="23" t="s">
        <v>330</v>
      </c>
      <c r="H237" s="302"/>
      <c r="I237" s="302"/>
      <c r="J237" s="321">
        <f>J$78 * J207</f>
        <v>0</v>
      </c>
      <c r="K237" s="321">
        <f t="shared" ref="K237:AP237" si="44">K$78 * K207</f>
        <v>0</v>
      </c>
      <c r="L237" s="321">
        <f t="shared" si="44"/>
        <v>0</v>
      </c>
      <c r="M237" s="321">
        <f t="shared" si="44"/>
        <v>0</v>
      </c>
      <c r="N237" s="321">
        <f t="shared" si="44"/>
        <v>0</v>
      </c>
      <c r="O237" s="321">
        <f t="shared" si="44"/>
        <v>0</v>
      </c>
      <c r="P237" s="321">
        <f t="shared" si="44"/>
        <v>0</v>
      </c>
      <c r="Q237" s="321">
        <f t="shared" si="44"/>
        <v>0</v>
      </c>
      <c r="R237" s="321">
        <f t="shared" si="44"/>
        <v>0</v>
      </c>
      <c r="S237" s="321">
        <f t="shared" si="44"/>
        <v>0</v>
      </c>
      <c r="T237" s="321">
        <f t="shared" si="44"/>
        <v>0</v>
      </c>
      <c r="U237" s="321">
        <f t="shared" si="44"/>
        <v>7.3482209223443812E-2</v>
      </c>
      <c r="V237" s="321">
        <f t="shared" si="44"/>
        <v>6.1482542710796916E-2</v>
      </c>
      <c r="W237" s="321">
        <f t="shared" si="44"/>
        <v>6.0174007911490232E-2</v>
      </c>
      <c r="X237" s="321">
        <f t="shared" si="44"/>
        <v>0</v>
      </c>
      <c r="Y237" s="321">
        <f t="shared" si="44"/>
        <v>0</v>
      </c>
      <c r="Z237" s="321">
        <f t="shared" si="44"/>
        <v>0</v>
      </c>
      <c r="AA237" s="321">
        <f t="shared" si="44"/>
        <v>0</v>
      </c>
      <c r="AB237" s="321">
        <f t="shared" si="44"/>
        <v>0</v>
      </c>
      <c r="AC237" s="321">
        <f t="shared" si="44"/>
        <v>0</v>
      </c>
      <c r="AD237" s="321">
        <f t="shared" si="44"/>
        <v>0</v>
      </c>
      <c r="AE237" s="321">
        <f t="shared" si="44"/>
        <v>5.2497448562650331E-2</v>
      </c>
      <c r="AF237" s="321">
        <f t="shared" si="44"/>
        <v>0</v>
      </c>
      <c r="AG237" s="321">
        <f t="shared" si="44"/>
        <v>5.2497448562650331E-2</v>
      </c>
      <c r="AH237" s="321">
        <f t="shared" si="44"/>
        <v>0</v>
      </c>
      <c r="AI237" s="321">
        <f t="shared" si="44"/>
        <v>5.0908076266716874E-2</v>
      </c>
      <c r="AJ237" s="321">
        <f t="shared" si="44"/>
        <v>0</v>
      </c>
      <c r="AK237" s="321">
        <f t="shared" si="44"/>
        <v>5.0908076266716874E-2</v>
      </c>
      <c r="AL237" s="321">
        <f t="shared" si="44"/>
        <v>0</v>
      </c>
      <c r="AM237" s="321">
        <f t="shared" si="44"/>
        <v>4.9848494736094581E-2</v>
      </c>
      <c r="AN237" s="321">
        <f t="shared" si="44"/>
        <v>0</v>
      </c>
      <c r="AO237" s="321">
        <f t="shared" si="44"/>
        <v>4.9848494736094581E-2</v>
      </c>
      <c r="AP237" s="321">
        <f t="shared" si="44"/>
        <v>0</v>
      </c>
      <c r="AQ237" s="304"/>
      <c r="AR237" s="304"/>
    </row>
    <row r="238" spans="5:44" customFormat="1" x14ac:dyDescent="0.25">
      <c r="E238" s="2"/>
      <c r="F238" t="s">
        <v>227</v>
      </c>
      <c r="G238" t="s">
        <v>330</v>
      </c>
      <c r="H238" s="304"/>
      <c r="I238" s="304"/>
      <c r="J238" s="322">
        <f t="shared" ref="J238:AP238" si="45">J$78 * J208</f>
        <v>0</v>
      </c>
      <c r="K238" s="322">
        <f t="shared" si="45"/>
        <v>0</v>
      </c>
      <c r="L238" s="322">
        <f t="shared" si="45"/>
        <v>0</v>
      </c>
      <c r="M238" s="322">
        <f t="shared" si="45"/>
        <v>0</v>
      </c>
      <c r="N238" s="322">
        <f t="shared" si="45"/>
        <v>0</v>
      </c>
      <c r="O238" s="322">
        <f t="shared" si="45"/>
        <v>0</v>
      </c>
      <c r="P238" s="322">
        <f t="shared" si="45"/>
        <v>0</v>
      </c>
      <c r="Q238" s="322">
        <f t="shared" si="45"/>
        <v>0</v>
      </c>
      <c r="R238" s="322">
        <f t="shared" si="45"/>
        <v>0</v>
      </c>
      <c r="S238" s="322">
        <f t="shared" si="45"/>
        <v>0</v>
      </c>
      <c r="T238" s="322">
        <f t="shared" si="45"/>
        <v>0</v>
      </c>
      <c r="U238" s="322">
        <f t="shared" si="45"/>
        <v>0</v>
      </c>
      <c r="V238" s="322">
        <f t="shared" si="45"/>
        <v>0</v>
      </c>
      <c r="W238" s="322">
        <f t="shared" si="45"/>
        <v>0</v>
      </c>
      <c r="X238" s="322">
        <f t="shared" si="45"/>
        <v>0</v>
      </c>
      <c r="Y238" s="322">
        <f t="shared" si="45"/>
        <v>0</v>
      </c>
      <c r="Z238" s="322">
        <f t="shared" si="45"/>
        <v>0</v>
      </c>
      <c r="AA238" s="322">
        <f t="shared" si="45"/>
        <v>0</v>
      </c>
      <c r="AB238" s="322">
        <f t="shared" si="45"/>
        <v>0</v>
      </c>
      <c r="AC238" s="322">
        <f t="shared" si="45"/>
        <v>0</v>
      </c>
      <c r="AD238" s="322">
        <f t="shared" si="45"/>
        <v>0</v>
      </c>
      <c r="AE238" s="322">
        <f t="shared" si="45"/>
        <v>0</v>
      </c>
      <c r="AF238" s="322">
        <f t="shared" si="45"/>
        <v>0</v>
      </c>
      <c r="AG238" s="322">
        <f t="shared" si="45"/>
        <v>0</v>
      </c>
      <c r="AH238" s="322">
        <f t="shared" si="45"/>
        <v>0</v>
      </c>
      <c r="AI238" s="322">
        <f t="shared" si="45"/>
        <v>0</v>
      </c>
      <c r="AJ238" s="322">
        <f t="shared" si="45"/>
        <v>0</v>
      </c>
      <c r="AK238" s="322">
        <f t="shared" si="45"/>
        <v>0</v>
      </c>
      <c r="AL238" s="322">
        <f t="shared" si="45"/>
        <v>0</v>
      </c>
      <c r="AM238" s="322">
        <f t="shared" si="45"/>
        <v>0</v>
      </c>
      <c r="AN238" s="322">
        <f t="shared" si="45"/>
        <v>0</v>
      </c>
      <c r="AO238" s="322">
        <f t="shared" si="45"/>
        <v>0</v>
      </c>
      <c r="AP238" s="322">
        <f t="shared" si="45"/>
        <v>0</v>
      </c>
      <c r="AQ238" s="304"/>
      <c r="AR238" s="304"/>
    </row>
    <row r="239" spans="5:44" customFormat="1" x14ac:dyDescent="0.25">
      <c r="E239" s="2"/>
      <c r="F239" t="s">
        <v>228</v>
      </c>
      <c r="G239" t="s">
        <v>330</v>
      </c>
      <c r="H239" s="304"/>
      <c r="I239" s="304"/>
      <c r="J239" s="322">
        <f t="shared" ref="J239:AP239" si="46">J$78 * J209</f>
        <v>0</v>
      </c>
      <c r="K239" s="322">
        <f t="shared" si="46"/>
        <v>0</v>
      </c>
      <c r="L239" s="322">
        <f t="shared" si="46"/>
        <v>0</v>
      </c>
      <c r="M239" s="322">
        <f t="shared" si="46"/>
        <v>0</v>
      </c>
      <c r="N239" s="322">
        <f t="shared" si="46"/>
        <v>0</v>
      </c>
      <c r="O239" s="322">
        <f t="shared" si="46"/>
        <v>0</v>
      </c>
      <c r="P239" s="322">
        <f t="shared" si="46"/>
        <v>0</v>
      </c>
      <c r="Q239" s="322">
        <f t="shared" si="46"/>
        <v>0</v>
      </c>
      <c r="R239" s="322">
        <f t="shared" si="46"/>
        <v>0</v>
      </c>
      <c r="S239" s="322">
        <f t="shared" si="46"/>
        <v>0</v>
      </c>
      <c r="T239" s="322">
        <f t="shared" si="46"/>
        <v>0</v>
      </c>
      <c r="U239" s="322">
        <f t="shared" si="46"/>
        <v>0</v>
      </c>
      <c r="V239" s="322">
        <f t="shared" si="46"/>
        <v>0</v>
      </c>
      <c r="W239" s="322">
        <f t="shared" si="46"/>
        <v>0</v>
      </c>
      <c r="X239" s="322">
        <f t="shared" si="46"/>
        <v>0</v>
      </c>
      <c r="Y239" s="322">
        <f t="shared" si="46"/>
        <v>0</v>
      </c>
      <c r="Z239" s="322">
        <f t="shared" si="46"/>
        <v>0</v>
      </c>
      <c r="AA239" s="322">
        <f t="shared" si="46"/>
        <v>0</v>
      </c>
      <c r="AB239" s="322">
        <f t="shared" si="46"/>
        <v>0</v>
      </c>
      <c r="AC239" s="322">
        <f t="shared" si="46"/>
        <v>0</v>
      </c>
      <c r="AD239" s="322">
        <f t="shared" si="46"/>
        <v>0</v>
      </c>
      <c r="AE239" s="322">
        <f t="shared" si="46"/>
        <v>0</v>
      </c>
      <c r="AF239" s="322">
        <f t="shared" si="46"/>
        <v>0</v>
      </c>
      <c r="AG239" s="322">
        <f t="shared" si="46"/>
        <v>0</v>
      </c>
      <c r="AH239" s="322">
        <f t="shared" si="46"/>
        <v>0</v>
      </c>
      <c r="AI239" s="322">
        <f t="shared" si="46"/>
        <v>0</v>
      </c>
      <c r="AJ239" s="322">
        <f t="shared" si="46"/>
        <v>0</v>
      </c>
      <c r="AK239" s="322">
        <f t="shared" si="46"/>
        <v>0</v>
      </c>
      <c r="AL239" s="322">
        <f t="shared" si="46"/>
        <v>0</v>
      </c>
      <c r="AM239" s="322">
        <f t="shared" si="46"/>
        <v>0</v>
      </c>
      <c r="AN239" s="322">
        <f t="shared" si="46"/>
        <v>0</v>
      </c>
      <c r="AO239" s="322">
        <f t="shared" si="46"/>
        <v>0</v>
      </c>
      <c r="AP239" s="322">
        <f t="shared" si="46"/>
        <v>0</v>
      </c>
      <c r="AQ239" s="304"/>
      <c r="AR239" s="304"/>
    </row>
    <row r="240" spans="5:44" customFormat="1" x14ac:dyDescent="0.25">
      <c r="E240" s="2"/>
      <c r="F240" t="s">
        <v>229</v>
      </c>
      <c r="G240" t="s">
        <v>330</v>
      </c>
      <c r="H240" s="304"/>
      <c r="I240" s="304"/>
      <c r="J240" s="322">
        <f t="shared" ref="J240:AP240" si="47">J$78 * J210</f>
        <v>0</v>
      </c>
      <c r="K240" s="322">
        <f t="shared" si="47"/>
        <v>0</v>
      </c>
      <c r="L240" s="322">
        <f t="shared" si="47"/>
        <v>0</v>
      </c>
      <c r="M240" s="322">
        <f t="shared" si="47"/>
        <v>0</v>
      </c>
      <c r="N240" s="322">
        <f t="shared" si="47"/>
        <v>0</v>
      </c>
      <c r="O240" s="322">
        <f t="shared" si="47"/>
        <v>0</v>
      </c>
      <c r="P240" s="322">
        <f t="shared" si="47"/>
        <v>0</v>
      </c>
      <c r="Q240" s="322">
        <f t="shared" si="47"/>
        <v>0</v>
      </c>
      <c r="R240" s="322">
        <f t="shared" si="47"/>
        <v>0</v>
      </c>
      <c r="S240" s="322">
        <f t="shared" si="47"/>
        <v>0</v>
      </c>
      <c r="T240" s="322">
        <f t="shared" si="47"/>
        <v>0</v>
      </c>
      <c r="U240" s="322">
        <f t="shared" si="47"/>
        <v>0</v>
      </c>
      <c r="V240" s="322">
        <f t="shared" si="47"/>
        <v>0</v>
      </c>
      <c r="W240" s="322">
        <f t="shared" si="47"/>
        <v>0</v>
      </c>
      <c r="X240" s="322">
        <f t="shared" si="47"/>
        <v>0</v>
      </c>
      <c r="Y240" s="322">
        <f t="shared" si="47"/>
        <v>0</v>
      </c>
      <c r="Z240" s="322">
        <f t="shared" si="47"/>
        <v>0</v>
      </c>
      <c r="AA240" s="322">
        <f t="shared" si="47"/>
        <v>0</v>
      </c>
      <c r="AB240" s="322">
        <f t="shared" si="47"/>
        <v>0</v>
      </c>
      <c r="AC240" s="322">
        <f t="shared" si="47"/>
        <v>0</v>
      </c>
      <c r="AD240" s="322">
        <f t="shared" si="47"/>
        <v>0</v>
      </c>
      <c r="AE240" s="322">
        <f t="shared" si="47"/>
        <v>0</v>
      </c>
      <c r="AF240" s="322">
        <f t="shared" si="47"/>
        <v>0</v>
      </c>
      <c r="AG240" s="322">
        <f t="shared" si="47"/>
        <v>0</v>
      </c>
      <c r="AH240" s="322">
        <f t="shared" si="47"/>
        <v>0</v>
      </c>
      <c r="AI240" s="322">
        <f t="shared" si="47"/>
        <v>0</v>
      </c>
      <c r="AJ240" s="322">
        <f t="shared" si="47"/>
        <v>0</v>
      </c>
      <c r="AK240" s="322">
        <f t="shared" si="47"/>
        <v>0</v>
      </c>
      <c r="AL240" s="322">
        <f t="shared" si="47"/>
        <v>0</v>
      </c>
      <c r="AM240" s="322">
        <f t="shared" si="47"/>
        <v>0</v>
      </c>
      <c r="AN240" s="322">
        <f t="shared" si="47"/>
        <v>0</v>
      </c>
      <c r="AO240" s="322">
        <f t="shared" si="47"/>
        <v>0</v>
      </c>
      <c r="AP240" s="322">
        <f t="shared" si="47"/>
        <v>0</v>
      </c>
      <c r="AQ240" s="304"/>
      <c r="AR240" s="304"/>
    </row>
    <row r="241" spans="2:44" x14ac:dyDescent="0.25">
      <c r="D241"/>
      <c r="F241" t="s">
        <v>230</v>
      </c>
      <c r="G241" t="s">
        <v>330</v>
      </c>
      <c r="H241" s="304"/>
      <c r="I241" s="304"/>
      <c r="J241" s="322">
        <f t="shared" ref="J241:AP241" si="48">J$78 * J211</f>
        <v>0</v>
      </c>
      <c r="K241" s="322">
        <f t="shared" si="48"/>
        <v>0</v>
      </c>
      <c r="L241" s="322">
        <f t="shared" si="48"/>
        <v>0</v>
      </c>
      <c r="M241" s="322">
        <f t="shared" si="48"/>
        <v>0</v>
      </c>
      <c r="N241" s="322">
        <f t="shared" si="48"/>
        <v>0</v>
      </c>
      <c r="O241" s="322">
        <f t="shared" si="48"/>
        <v>0</v>
      </c>
      <c r="P241" s="322">
        <f t="shared" si="48"/>
        <v>0</v>
      </c>
      <c r="Q241" s="322">
        <f t="shared" si="48"/>
        <v>0</v>
      </c>
      <c r="R241" s="322">
        <f t="shared" si="48"/>
        <v>0</v>
      </c>
      <c r="S241" s="322">
        <f t="shared" si="48"/>
        <v>0</v>
      </c>
      <c r="T241" s="322">
        <f t="shared" si="48"/>
        <v>0</v>
      </c>
      <c r="U241" s="322">
        <f t="shared" si="48"/>
        <v>2.0915360509094379E-2</v>
      </c>
      <c r="V241" s="322">
        <f t="shared" si="48"/>
        <v>1.7499875948229472E-2</v>
      </c>
      <c r="W241" s="322">
        <f t="shared" si="48"/>
        <v>1.3701940451124963E-2</v>
      </c>
      <c r="X241" s="322">
        <f t="shared" si="48"/>
        <v>0</v>
      </c>
      <c r="Y241" s="322">
        <f t="shared" si="48"/>
        <v>0</v>
      </c>
      <c r="Z241" s="322">
        <f t="shared" si="48"/>
        <v>0</v>
      </c>
      <c r="AA241" s="322">
        <f t="shared" si="48"/>
        <v>0</v>
      </c>
      <c r="AB241" s="322">
        <f t="shared" si="48"/>
        <v>0</v>
      </c>
      <c r="AC241" s="322">
        <f t="shared" si="48"/>
        <v>0</v>
      </c>
      <c r="AD241" s="322">
        <f t="shared" si="48"/>
        <v>0</v>
      </c>
      <c r="AE241" s="322">
        <f t="shared" si="48"/>
        <v>1.4942434013608326E-2</v>
      </c>
      <c r="AF241" s="322">
        <f t="shared" si="48"/>
        <v>0</v>
      </c>
      <c r="AG241" s="322">
        <f t="shared" si="48"/>
        <v>1.4942434013608326E-2</v>
      </c>
      <c r="AH241" s="322">
        <f t="shared" si="48"/>
        <v>0</v>
      </c>
      <c r="AI241" s="322">
        <f t="shared" si="48"/>
        <v>1.4490048396682567E-2</v>
      </c>
      <c r="AJ241" s="322">
        <f t="shared" si="48"/>
        <v>0</v>
      </c>
      <c r="AK241" s="322">
        <f t="shared" si="48"/>
        <v>1.4490048396682567E-2</v>
      </c>
      <c r="AL241" s="322">
        <f t="shared" si="48"/>
        <v>0</v>
      </c>
      <c r="AM241" s="322">
        <f t="shared" si="48"/>
        <v>1.4188457985398731E-2</v>
      </c>
      <c r="AN241" s="322">
        <f t="shared" si="48"/>
        <v>0</v>
      </c>
      <c r="AO241" s="322">
        <f t="shared" si="48"/>
        <v>1.4188457985398731E-2</v>
      </c>
      <c r="AP241" s="322">
        <f t="shared" si="48"/>
        <v>0</v>
      </c>
      <c r="AQ241" s="304"/>
      <c r="AR241" s="304"/>
    </row>
    <row r="242" spans="2:44" x14ac:dyDescent="0.25">
      <c r="D242"/>
      <c r="F242" t="s">
        <v>231</v>
      </c>
      <c r="G242" t="s">
        <v>330</v>
      </c>
      <c r="H242" s="304"/>
      <c r="I242" s="304"/>
      <c r="J242" s="322">
        <f t="shared" ref="J242:AP242" si="49">J$78 * J212</f>
        <v>0</v>
      </c>
      <c r="K242" s="322">
        <f t="shared" si="49"/>
        <v>0</v>
      </c>
      <c r="L242" s="322">
        <f t="shared" si="49"/>
        <v>0</v>
      </c>
      <c r="M242" s="322">
        <f t="shared" si="49"/>
        <v>0</v>
      </c>
      <c r="N242" s="322">
        <f t="shared" si="49"/>
        <v>0</v>
      </c>
      <c r="O242" s="322">
        <f t="shared" si="49"/>
        <v>0</v>
      </c>
      <c r="P242" s="322">
        <f t="shared" si="49"/>
        <v>0</v>
      </c>
      <c r="Q242" s="322">
        <f t="shared" si="49"/>
        <v>0</v>
      </c>
      <c r="R242" s="322">
        <f t="shared" si="49"/>
        <v>0</v>
      </c>
      <c r="S242" s="322">
        <f t="shared" si="49"/>
        <v>0</v>
      </c>
      <c r="T242" s="322">
        <f t="shared" si="49"/>
        <v>0</v>
      </c>
      <c r="U242" s="322">
        <f t="shared" si="49"/>
        <v>1.8924140912800962E-2</v>
      </c>
      <c r="V242" s="322">
        <f t="shared" si="49"/>
        <v>1.5833823101295916E-2</v>
      </c>
      <c r="W242" s="322">
        <f t="shared" si="49"/>
        <v>0</v>
      </c>
      <c r="X242" s="322">
        <f t="shared" si="49"/>
        <v>0</v>
      </c>
      <c r="Y242" s="322">
        <f t="shared" si="49"/>
        <v>0</v>
      </c>
      <c r="Z242" s="322">
        <f t="shared" si="49"/>
        <v>0</v>
      </c>
      <c r="AA242" s="322">
        <f t="shared" si="49"/>
        <v>0</v>
      </c>
      <c r="AB242" s="322">
        <f t="shared" si="49"/>
        <v>0</v>
      </c>
      <c r="AC242" s="322">
        <f t="shared" si="49"/>
        <v>0</v>
      </c>
      <c r="AD242" s="322">
        <f t="shared" si="49"/>
        <v>0</v>
      </c>
      <c r="AE242" s="322">
        <f t="shared" si="49"/>
        <v>1.3519859087812489E-2</v>
      </c>
      <c r="AF242" s="322">
        <f t="shared" si="49"/>
        <v>0</v>
      </c>
      <c r="AG242" s="322">
        <f t="shared" si="49"/>
        <v>1.3519859087812489E-2</v>
      </c>
      <c r="AH242" s="322">
        <f t="shared" si="49"/>
        <v>0</v>
      </c>
      <c r="AI242" s="322">
        <f t="shared" si="49"/>
        <v>1.3110542253043851E-2</v>
      </c>
      <c r="AJ242" s="322">
        <f t="shared" si="49"/>
        <v>0</v>
      </c>
      <c r="AK242" s="322">
        <f t="shared" si="49"/>
        <v>1.3110542253043851E-2</v>
      </c>
      <c r="AL242" s="322">
        <f t="shared" si="49"/>
        <v>0</v>
      </c>
      <c r="AM242" s="322">
        <f t="shared" si="49"/>
        <v>1.2837664363198092E-2</v>
      </c>
      <c r="AN242" s="322">
        <f t="shared" si="49"/>
        <v>0</v>
      </c>
      <c r="AO242" s="322">
        <f t="shared" si="49"/>
        <v>1.2837664363198092E-2</v>
      </c>
      <c r="AP242" s="322">
        <f t="shared" si="49"/>
        <v>0</v>
      </c>
      <c r="AQ242" s="304"/>
      <c r="AR242" s="304"/>
    </row>
    <row r="243" spans="2:44" x14ac:dyDescent="0.25">
      <c r="D243"/>
      <c r="F243" t="s">
        <v>232</v>
      </c>
      <c r="G243" t="s">
        <v>330</v>
      </c>
      <c r="H243" s="304"/>
      <c r="I243" s="304"/>
      <c r="J243" s="322">
        <f t="shared" ref="J243:AP243" si="50">J$78 * J213</f>
        <v>0</v>
      </c>
      <c r="K243" s="322">
        <f t="shared" si="50"/>
        <v>0</v>
      </c>
      <c r="L243" s="322">
        <f t="shared" si="50"/>
        <v>0</v>
      </c>
      <c r="M243" s="322">
        <f t="shared" si="50"/>
        <v>0</v>
      </c>
      <c r="N243" s="322">
        <f t="shared" si="50"/>
        <v>0</v>
      </c>
      <c r="O243" s="322">
        <f t="shared" si="50"/>
        <v>0</v>
      </c>
      <c r="P243" s="322">
        <f t="shared" si="50"/>
        <v>0</v>
      </c>
      <c r="Q243" s="322">
        <f t="shared" si="50"/>
        <v>0</v>
      </c>
      <c r="R243" s="322">
        <f t="shared" si="50"/>
        <v>0</v>
      </c>
      <c r="S243" s="322">
        <f t="shared" si="50"/>
        <v>0</v>
      </c>
      <c r="T243" s="322">
        <f t="shared" si="50"/>
        <v>0</v>
      </c>
      <c r="U243" s="322">
        <f t="shared" si="50"/>
        <v>0</v>
      </c>
      <c r="V243" s="322">
        <f t="shared" si="50"/>
        <v>0</v>
      </c>
      <c r="W243" s="322">
        <f t="shared" si="50"/>
        <v>0</v>
      </c>
      <c r="X243" s="322">
        <f t="shared" si="50"/>
        <v>0</v>
      </c>
      <c r="Y243" s="322">
        <f t="shared" si="50"/>
        <v>0</v>
      </c>
      <c r="Z243" s="322">
        <f t="shared" si="50"/>
        <v>0</v>
      </c>
      <c r="AA243" s="322">
        <f t="shared" si="50"/>
        <v>0</v>
      </c>
      <c r="AB243" s="322">
        <f t="shared" si="50"/>
        <v>0</v>
      </c>
      <c r="AC243" s="322">
        <f t="shared" si="50"/>
        <v>0</v>
      </c>
      <c r="AD243" s="322">
        <f t="shared" si="50"/>
        <v>0</v>
      </c>
      <c r="AE243" s="322">
        <f t="shared" si="50"/>
        <v>0</v>
      </c>
      <c r="AF243" s="322">
        <f t="shared" si="50"/>
        <v>0</v>
      </c>
      <c r="AG243" s="322">
        <f t="shared" si="50"/>
        <v>0</v>
      </c>
      <c r="AH243" s="322">
        <f t="shared" si="50"/>
        <v>0</v>
      </c>
      <c r="AI243" s="322">
        <f t="shared" si="50"/>
        <v>0</v>
      </c>
      <c r="AJ243" s="322">
        <f t="shared" si="50"/>
        <v>0</v>
      </c>
      <c r="AK243" s="322">
        <f t="shared" si="50"/>
        <v>0</v>
      </c>
      <c r="AL243" s="322">
        <f t="shared" si="50"/>
        <v>0</v>
      </c>
      <c r="AM243" s="322">
        <f t="shared" si="50"/>
        <v>0</v>
      </c>
      <c r="AN243" s="322">
        <f t="shared" si="50"/>
        <v>0</v>
      </c>
      <c r="AO243" s="322">
        <f t="shared" si="50"/>
        <v>0</v>
      </c>
      <c r="AP243" s="322">
        <f t="shared" si="50"/>
        <v>0</v>
      </c>
      <c r="AQ243" s="304"/>
      <c r="AR243" s="304"/>
    </row>
    <row r="244" spans="2:44" x14ac:dyDescent="0.25">
      <c r="D244"/>
      <c r="F244" t="s">
        <v>233</v>
      </c>
      <c r="G244" t="s">
        <v>330</v>
      </c>
      <c r="H244" s="304"/>
      <c r="I244" s="304"/>
      <c r="J244" s="322">
        <f t="shared" ref="J244:AP244" si="51">J$78 * J214</f>
        <v>0</v>
      </c>
      <c r="K244" s="322">
        <f t="shared" si="51"/>
        <v>0</v>
      </c>
      <c r="L244" s="322">
        <f t="shared" si="51"/>
        <v>0</v>
      </c>
      <c r="M244" s="322">
        <f t="shared" si="51"/>
        <v>0</v>
      </c>
      <c r="N244" s="322">
        <f t="shared" si="51"/>
        <v>0</v>
      </c>
      <c r="O244" s="322">
        <f t="shared" si="51"/>
        <v>0</v>
      </c>
      <c r="P244" s="322">
        <f t="shared" si="51"/>
        <v>0</v>
      </c>
      <c r="Q244" s="322">
        <f t="shared" si="51"/>
        <v>0</v>
      </c>
      <c r="R244" s="322">
        <f t="shared" si="51"/>
        <v>0</v>
      </c>
      <c r="S244" s="322">
        <f t="shared" si="51"/>
        <v>0</v>
      </c>
      <c r="T244" s="322">
        <f t="shared" si="51"/>
        <v>0</v>
      </c>
      <c r="U244" s="322">
        <f t="shared" si="51"/>
        <v>6.2559490411813454E-2</v>
      </c>
      <c r="V244" s="322">
        <f t="shared" si="51"/>
        <v>0</v>
      </c>
      <c r="W244" s="322">
        <f t="shared" si="51"/>
        <v>0</v>
      </c>
      <c r="X244" s="322">
        <f t="shared" si="51"/>
        <v>0</v>
      </c>
      <c r="Y244" s="322">
        <f t="shared" si="51"/>
        <v>0</v>
      </c>
      <c r="Z244" s="322">
        <f t="shared" si="51"/>
        <v>0</v>
      </c>
      <c r="AA244" s="322">
        <f t="shared" si="51"/>
        <v>0</v>
      </c>
      <c r="AB244" s="322">
        <f t="shared" si="51"/>
        <v>0</v>
      </c>
      <c r="AC244" s="322">
        <f t="shared" si="51"/>
        <v>0</v>
      </c>
      <c r="AD244" s="322">
        <f t="shared" si="51"/>
        <v>0</v>
      </c>
      <c r="AE244" s="322">
        <f t="shared" si="51"/>
        <v>5.5867496103941233E-2</v>
      </c>
      <c r="AF244" s="322">
        <f t="shared" si="51"/>
        <v>0</v>
      </c>
      <c r="AG244" s="322">
        <f t="shared" si="51"/>
        <v>5.5867496103941233E-2</v>
      </c>
      <c r="AH244" s="322">
        <f t="shared" si="51"/>
        <v>0</v>
      </c>
      <c r="AI244" s="322">
        <f t="shared" si="51"/>
        <v>5.4176094845748514E-2</v>
      </c>
      <c r="AJ244" s="322">
        <f t="shared" si="51"/>
        <v>0</v>
      </c>
      <c r="AK244" s="322">
        <f t="shared" si="51"/>
        <v>5.4176094845748514E-2</v>
      </c>
      <c r="AL244" s="322">
        <f t="shared" si="51"/>
        <v>0</v>
      </c>
      <c r="AM244" s="322">
        <f t="shared" si="51"/>
        <v>5.3048494006953363E-2</v>
      </c>
      <c r="AN244" s="322">
        <f t="shared" si="51"/>
        <v>0</v>
      </c>
      <c r="AO244" s="322">
        <f t="shared" si="51"/>
        <v>5.3048494006953363E-2</v>
      </c>
      <c r="AP244" s="322">
        <f t="shared" si="51"/>
        <v>0</v>
      </c>
      <c r="AQ244" s="304"/>
      <c r="AR244" s="304"/>
    </row>
    <row r="245" spans="2:44" x14ac:dyDescent="0.25">
      <c r="D245"/>
      <c r="F245" t="s">
        <v>234</v>
      </c>
      <c r="G245" t="s">
        <v>330</v>
      </c>
      <c r="H245" s="304"/>
      <c r="I245" s="304"/>
      <c r="J245" s="322">
        <f t="shared" ref="J245:AP245" si="52">J$78 * J215</f>
        <v>0</v>
      </c>
      <c r="K245" s="322">
        <f t="shared" si="52"/>
        <v>0</v>
      </c>
      <c r="L245" s="322">
        <f t="shared" si="52"/>
        <v>0</v>
      </c>
      <c r="M245" s="322">
        <f t="shared" si="52"/>
        <v>0</v>
      </c>
      <c r="N245" s="322">
        <f t="shared" si="52"/>
        <v>0</v>
      </c>
      <c r="O245" s="322">
        <f t="shared" si="52"/>
        <v>0</v>
      </c>
      <c r="P245" s="322">
        <f t="shared" si="52"/>
        <v>0</v>
      </c>
      <c r="Q245" s="322">
        <f t="shared" si="52"/>
        <v>0</v>
      </c>
      <c r="R245" s="322">
        <f t="shared" si="52"/>
        <v>0</v>
      </c>
      <c r="S245" s="322">
        <f t="shared" si="52"/>
        <v>0</v>
      </c>
      <c r="T245" s="322">
        <f t="shared" si="52"/>
        <v>0</v>
      </c>
      <c r="U245" s="322">
        <f t="shared" si="52"/>
        <v>0</v>
      </c>
      <c r="V245" s="322">
        <f t="shared" si="52"/>
        <v>0</v>
      </c>
      <c r="W245" s="322">
        <f t="shared" si="52"/>
        <v>0</v>
      </c>
      <c r="X245" s="322">
        <f t="shared" si="52"/>
        <v>0</v>
      </c>
      <c r="Y245" s="322">
        <f t="shared" si="52"/>
        <v>0</v>
      </c>
      <c r="Z245" s="322">
        <f t="shared" si="52"/>
        <v>0</v>
      </c>
      <c r="AA245" s="322">
        <f t="shared" si="52"/>
        <v>0</v>
      </c>
      <c r="AB245" s="322">
        <f t="shared" si="52"/>
        <v>0</v>
      </c>
      <c r="AC245" s="322">
        <f t="shared" si="52"/>
        <v>0</v>
      </c>
      <c r="AD245" s="322">
        <f t="shared" si="52"/>
        <v>0</v>
      </c>
      <c r="AE245" s="322">
        <f t="shared" si="52"/>
        <v>1.352840168333571E-2</v>
      </c>
      <c r="AF245" s="322">
        <f t="shared" si="52"/>
        <v>0</v>
      </c>
      <c r="AG245" s="322">
        <f t="shared" si="52"/>
        <v>1.352840168333571E-2</v>
      </c>
      <c r="AH245" s="322">
        <f t="shared" si="52"/>
        <v>0</v>
      </c>
      <c r="AI245" s="322">
        <f t="shared" si="52"/>
        <v>1.3118826219528295E-2</v>
      </c>
      <c r="AJ245" s="322">
        <f t="shared" si="52"/>
        <v>0</v>
      </c>
      <c r="AK245" s="322">
        <f t="shared" si="52"/>
        <v>1.3118826219528295E-2</v>
      </c>
      <c r="AL245" s="322">
        <f t="shared" si="52"/>
        <v>0</v>
      </c>
      <c r="AM245" s="322">
        <f t="shared" si="52"/>
        <v>0</v>
      </c>
      <c r="AN245" s="322">
        <f t="shared" si="52"/>
        <v>0</v>
      </c>
      <c r="AO245" s="322">
        <f t="shared" si="52"/>
        <v>0</v>
      </c>
      <c r="AP245" s="322">
        <f t="shared" si="52"/>
        <v>0</v>
      </c>
      <c r="AQ245" s="304"/>
      <c r="AR245" s="304"/>
    </row>
    <row r="246" spans="2:44" x14ac:dyDescent="0.25">
      <c r="D246"/>
      <c r="F246" t="s">
        <v>235</v>
      </c>
      <c r="G246" t="s">
        <v>330</v>
      </c>
      <c r="H246" s="304"/>
      <c r="I246" s="304"/>
      <c r="J246" s="322">
        <f t="shared" ref="J246:AP246" si="53">J$78 * J216</f>
        <v>0</v>
      </c>
      <c r="K246" s="322">
        <f t="shared" si="53"/>
        <v>0</v>
      </c>
      <c r="L246" s="322">
        <f t="shared" si="53"/>
        <v>0</v>
      </c>
      <c r="M246" s="322">
        <f t="shared" si="53"/>
        <v>0</v>
      </c>
      <c r="N246" s="322">
        <f t="shared" si="53"/>
        <v>0</v>
      </c>
      <c r="O246" s="322">
        <f t="shared" si="53"/>
        <v>0</v>
      </c>
      <c r="P246" s="322">
        <f t="shared" si="53"/>
        <v>0</v>
      </c>
      <c r="Q246" s="322">
        <f t="shared" si="53"/>
        <v>0</v>
      </c>
      <c r="R246" s="322">
        <f t="shared" si="53"/>
        <v>0</v>
      </c>
      <c r="S246" s="322">
        <f t="shared" si="53"/>
        <v>0</v>
      </c>
      <c r="T246" s="322">
        <f t="shared" si="53"/>
        <v>0</v>
      </c>
      <c r="U246" s="322">
        <f t="shared" si="53"/>
        <v>0</v>
      </c>
      <c r="V246" s="322">
        <f t="shared" si="53"/>
        <v>0</v>
      </c>
      <c r="W246" s="322">
        <f t="shared" si="53"/>
        <v>0</v>
      </c>
      <c r="X246" s="322">
        <f t="shared" si="53"/>
        <v>0</v>
      </c>
      <c r="Y246" s="322">
        <f t="shared" si="53"/>
        <v>0</v>
      </c>
      <c r="Z246" s="322">
        <f t="shared" si="53"/>
        <v>0</v>
      </c>
      <c r="AA246" s="322">
        <f t="shared" si="53"/>
        <v>0</v>
      </c>
      <c r="AB246" s="322">
        <f t="shared" si="53"/>
        <v>0</v>
      </c>
      <c r="AC246" s="322">
        <f t="shared" si="53"/>
        <v>0</v>
      </c>
      <c r="AD246" s="322">
        <f t="shared" si="53"/>
        <v>0</v>
      </c>
      <c r="AE246" s="322">
        <f t="shared" si="53"/>
        <v>3.211413597261617E-2</v>
      </c>
      <c r="AF246" s="322">
        <f t="shared" si="53"/>
        <v>0</v>
      </c>
      <c r="AG246" s="322">
        <f t="shared" si="53"/>
        <v>3.211413597261617E-2</v>
      </c>
      <c r="AH246" s="322">
        <f t="shared" si="53"/>
        <v>0</v>
      </c>
      <c r="AI246" s="322">
        <f t="shared" si="53"/>
        <v>0</v>
      </c>
      <c r="AJ246" s="322">
        <f t="shared" si="53"/>
        <v>0</v>
      </c>
      <c r="AK246" s="322">
        <f t="shared" si="53"/>
        <v>0</v>
      </c>
      <c r="AL246" s="322">
        <f t="shared" si="53"/>
        <v>0</v>
      </c>
      <c r="AM246" s="322">
        <f t="shared" si="53"/>
        <v>0</v>
      </c>
      <c r="AN246" s="322">
        <f t="shared" si="53"/>
        <v>0</v>
      </c>
      <c r="AO246" s="322">
        <f t="shared" si="53"/>
        <v>0</v>
      </c>
      <c r="AP246" s="322">
        <f t="shared" si="53"/>
        <v>0</v>
      </c>
      <c r="AQ246" s="304"/>
      <c r="AR246" s="304"/>
    </row>
    <row r="247" spans="2:44" x14ac:dyDescent="0.25">
      <c r="D247"/>
      <c r="F247" t="s">
        <v>436</v>
      </c>
      <c r="G247" t="s">
        <v>330</v>
      </c>
      <c r="H247" s="304"/>
      <c r="I247" s="304"/>
      <c r="J247" s="305"/>
      <c r="K247" s="305"/>
      <c r="L247" s="305"/>
      <c r="M247" s="305"/>
      <c r="N247" s="305"/>
      <c r="O247" s="305"/>
      <c r="P247" s="305"/>
      <c r="Q247" s="305"/>
      <c r="R247" s="305"/>
      <c r="S247" s="305"/>
      <c r="T247" s="305"/>
      <c r="U247" s="305"/>
      <c r="V247" s="305"/>
      <c r="W247" s="305"/>
      <c r="X247" s="305"/>
      <c r="Y247" s="305"/>
      <c r="Z247" s="305"/>
      <c r="AA247" s="305"/>
      <c r="AB247" s="305"/>
      <c r="AC247" s="305"/>
      <c r="AD247" s="305"/>
      <c r="AE247" s="305"/>
      <c r="AF247" s="305"/>
      <c r="AG247" s="305"/>
      <c r="AH247" s="305"/>
      <c r="AI247" s="305"/>
      <c r="AJ247" s="305"/>
      <c r="AK247" s="305"/>
      <c r="AL247" s="305"/>
      <c r="AM247" s="305"/>
      <c r="AN247" s="305"/>
      <c r="AO247" s="305"/>
      <c r="AP247" s="305"/>
      <c r="AQ247" s="304"/>
      <c r="AR247" s="304"/>
    </row>
    <row r="248" spans="2:44" x14ac:dyDescent="0.25">
      <c r="D248"/>
      <c r="F248" s="37" t="s">
        <v>437</v>
      </c>
      <c r="G248" s="37" t="s">
        <v>330</v>
      </c>
      <c r="H248" s="308"/>
      <c r="I248" s="308"/>
      <c r="J248" s="309"/>
      <c r="K248" s="309"/>
      <c r="L248" s="309"/>
      <c r="M248" s="309"/>
      <c r="N248" s="309"/>
      <c r="O248" s="309"/>
      <c r="P248" s="309"/>
      <c r="Q248" s="309"/>
      <c r="R248" s="309"/>
      <c r="S248" s="309"/>
      <c r="T248" s="309"/>
      <c r="U248" s="309"/>
      <c r="V248" s="309"/>
      <c r="W248" s="309"/>
      <c r="X248" s="309"/>
      <c r="Y248" s="309"/>
      <c r="Z248" s="309"/>
      <c r="AA248" s="309"/>
      <c r="AB248" s="309"/>
      <c r="AC248" s="309"/>
      <c r="AD248" s="309"/>
      <c r="AE248" s="309"/>
      <c r="AF248" s="309"/>
      <c r="AG248" s="309"/>
      <c r="AH248" s="309"/>
      <c r="AI248" s="309"/>
      <c r="AJ248" s="309"/>
      <c r="AK248" s="309"/>
      <c r="AL248" s="309"/>
      <c r="AM248" s="309"/>
      <c r="AN248" s="309"/>
      <c r="AO248" s="309"/>
      <c r="AP248" s="309"/>
      <c r="AQ248" s="304"/>
      <c r="AR248" s="304"/>
    </row>
    <row r="249" spans="2:44" x14ac:dyDescent="0.25">
      <c r="C249" s="91"/>
      <c r="J249" s="92"/>
      <c r="K249" s="92"/>
      <c r="L249" s="92"/>
      <c r="M249" s="92"/>
      <c r="N249" s="92"/>
      <c r="O249" s="92"/>
      <c r="P249" s="92"/>
      <c r="Q249" s="92"/>
      <c r="R249" s="92"/>
      <c r="S249" s="92"/>
      <c r="T249" s="92"/>
      <c r="U249" s="92"/>
      <c r="V249" s="92"/>
      <c r="W249" s="92"/>
      <c r="X249" s="92"/>
      <c r="Y249" s="92"/>
      <c r="Z249" s="92"/>
      <c r="AA249" s="92"/>
      <c r="AB249" s="92"/>
      <c r="AC249" s="92"/>
      <c r="AD249" s="92"/>
      <c r="AE249" s="92"/>
      <c r="AF249" s="92"/>
      <c r="AG249" s="92"/>
      <c r="AH249" s="92"/>
      <c r="AI249" s="92"/>
      <c r="AJ249" s="92"/>
      <c r="AK249" s="92"/>
      <c r="AL249" s="92"/>
      <c r="AM249" s="92"/>
      <c r="AN249" s="92"/>
      <c r="AO249" s="92"/>
      <c r="AP249" s="92"/>
    </row>
    <row r="250" spans="2:44" x14ac:dyDescent="0.25">
      <c r="E250" t="s">
        <v>809</v>
      </c>
      <c r="G250" t="s">
        <v>330</v>
      </c>
      <c r="H250" s="304"/>
      <c r="I250" s="304" t="s">
        <v>190</v>
      </c>
      <c r="J250" s="312">
        <f t="shared" ref="J250:AP250" si="54">SUM(J223:J234,J237:J248)</f>
        <v>0</v>
      </c>
      <c r="K250" s="312">
        <f t="shared" si="54"/>
        <v>0</v>
      </c>
      <c r="L250" s="312">
        <f t="shared" si="54"/>
        <v>0</v>
      </c>
      <c r="M250" s="312">
        <f t="shared" si="54"/>
        <v>0</v>
      </c>
      <c r="N250" s="312">
        <f t="shared" si="54"/>
        <v>0</v>
      </c>
      <c r="O250" s="312">
        <f t="shared" si="54"/>
        <v>0</v>
      </c>
      <c r="P250" s="312">
        <f t="shared" si="54"/>
        <v>0</v>
      </c>
      <c r="Q250" s="312">
        <f t="shared" si="54"/>
        <v>0</v>
      </c>
      <c r="R250" s="312">
        <f t="shared" si="54"/>
        <v>0</v>
      </c>
      <c r="S250" s="312">
        <f t="shared" si="54"/>
        <v>0</v>
      </c>
      <c r="T250" s="312">
        <f t="shared" si="54"/>
        <v>0</v>
      </c>
      <c r="U250" s="312">
        <f t="shared" si="54"/>
        <v>0.27302916255585569</v>
      </c>
      <c r="V250" s="312">
        <f t="shared" si="54"/>
        <v>0.13743063341796527</v>
      </c>
      <c r="W250" s="312">
        <f t="shared" si="54"/>
        <v>9.1281039164551034E-2</v>
      </c>
      <c r="X250" s="312">
        <f t="shared" si="54"/>
        <v>0</v>
      </c>
      <c r="Y250" s="312">
        <f t="shared" si="54"/>
        <v>0</v>
      </c>
      <c r="Z250" s="312">
        <f t="shared" si="54"/>
        <v>0</v>
      </c>
      <c r="AA250" s="312">
        <f t="shared" si="54"/>
        <v>0</v>
      </c>
      <c r="AB250" s="312">
        <f t="shared" si="54"/>
        <v>0</v>
      </c>
      <c r="AC250" s="312">
        <f t="shared" si="54"/>
        <v>0</v>
      </c>
      <c r="AD250" s="312">
        <f t="shared" si="54"/>
        <v>0</v>
      </c>
      <c r="AE250" s="312">
        <f t="shared" si="54"/>
        <v>0.26528190408582319</v>
      </c>
      <c r="AF250" s="312">
        <f t="shared" si="54"/>
        <v>0</v>
      </c>
      <c r="AG250" s="312">
        <f t="shared" si="54"/>
        <v>0.26528190408582319</v>
      </c>
      <c r="AH250" s="312">
        <f t="shared" si="54"/>
        <v>0</v>
      </c>
      <c r="AI250" s="312">
        <f t="shared" si="54"/>
        <v>0.22477736432656778</v>
      </c>
      <c r="AJ250" s="312">
        <f t="shared" si="54"/>
        <v>0</v>
      </c>
      <c r="AK250" s="312">
        <f t="shared" si="54"/>
        <v>0.22477736432656778</v>
      </c>
      <c r="AL250" s="312">
        <f t="shared" si="54"/>
        <v>0</v>
      </c>
      <c r="AM250" s="312">
        <f t="shared" si="54"/>
        <v>0.20598367886563043</v>
      </c>
      <c r="AN250" s="312">
        <f t="shared" si="54"/>
        <v>0</v>
      </c>
      <c r="AO250" s="312">
        <f t="shared" si="54"/>
        <v>0.20598367886563043</v>
      </c>
      <c r="AP250" s="312">
        <f t="shared" si="54"/>
        <v>0</v>
      </c>
      <c r="AQ250" s="304"/>
      <c r="AR250" s="304" t="s">
        <v>808</v>
      </c>
    </row>
    <row r="251" spans="2:44" x14ac:dyDescent="0.25">
      <c r="C251" s="91"/>
    </row>
    <row r="252" spans="2:44" x14ac:dyDescent="0.25">
      <c r="B252" s="30" t="s">
        <v>280</v>
      </c>
      <c r="C252" s="30"/>
      <c r="D252" s="30"/>
      <c r="E252" s="30"/>
      <c r="F252" s="30"/>
      <c r="G252" s="30"/>
      <c r="H252" s="30"/>
      <c r="I252" s="30"/>
      <c r="J252" s="30"/>
      <c r="K252" s="30"/>
      <c r="L252" s="30"/>
      <c r="M252" s="30"/>
      <c r="N252" s="30"/>
      <c r="O252" s="30"/>
      <c r="P252" s="30"/>
      <c r="Q252" s="30"/>
      <c r="R252" s="30"/>
      <c r="S252" s="30"/>
      <c r="T252" s="30"/>
      <c r="U252" s="30"/>
      <c r="V252" s="30"/>
      <c r="W252" s="30"/>
      <c r="X252" s="30"/>
      <c r="Y252" s="30"/>
      <c r="Z252" s="30"/>
      <c r="AA252" s="30"/>
      <c r="AB252" s="30"/>
      <c r="AC252" s="30"/>
      <c r="AD252" s="30"/>
      <c r="AE252" s="30"/>
      <c r="AF252" s="30"/>
      <c r="AG252" s="30"/>
      <c r="AH252" s="30"/>
      <c r="AI252" s="30"/>
      <c r="AJ252" s="30"/>
      <c r="AK252" s="30"/>
      <c r="AL252" s="30"/>
      <c r="AM252" s="30"/>
      <c r="AN252" s="30"/>
      <c r="AO252" s="30"/>
      <c r="AP252" s="30"/>
      <c r="AQ252" s="30"/>
      <c r="AR252" s="30"/>
    </row>
    <row r="254" spans="2:44" x14ac:dyDescent="0.25">
      <c r="E254" t="s">
        <v>281</v>
      </c>
      <c r="G254" s="6" t="s">
        <v>56</v>
      </c>
      <c r="H254" s="26">
        <f t="array" ref="H254">SUM(IF(ISERROR(H21:AP250), 1))</f>
        <v>0</v>
      </c>
    </row>
    <row r="256" spans="2:44" x14ac:dyDescent="0.25">
      <c r="B256" s="30" t="s">
        <v>107</v>
      </c>
      <c r="C256" s="30"/>
      <c r="D256" s="30"/>
      <c r="E256" s="30"/>
      <c r="F256" s="30"/>
      <c r="G256" s="30"/>
      <c r="H256" s="30"/>
      <c r="I256" s="30"/>
      <c r="J256" s="30"/>
      <c r="K256" s="30"/>
      <c r="L256" s="30"/>
      <c r="M256" s="30"/>
      <c r="N256" s="30"/>
      <c r="O256" s="30"/>
      <c r="P256" s="30"/>
      <c r="Q256" s="30"/>
      <c r="R256" s="30"/>
      <c r="S256" s="30"/>
      <c r="T256" s="30"/>
      <c r="U256" s="30"/>
      <c r="V256" s="30"/>
      <c r="W256" s="30"/>
      <c r="X256" s="30"/>
      <c r="Y256" s="30"/>
      <c r="Z256" s="30"/>
      <c r="AA256" s="30"/>
      <c r="AB256" s="30"/>
      <c r="AC256" s="30"/>
      <c r="AD256" s="30"/>
      <c r="AE256" s="30"/>
      <c r="AF256" s="30"/>
      <c r="AG256" s="30"/>
      <c r="AH256" s="30"/>
      <c r="AI256" s="30"/>
      <c r="AJ256" s="30"/>
      <c r="AK256" s="30"/>
      <c r="AL256" s="30"/>
      <c r="AM256" s="30"/>
      <c r="AN256" s="30"/>
      <c r="AO256" s="30"/>
      <c r="AP256" s="30"/>
      <c r="AQ256" s="30"/>
      <c r="AR256" s="30"/>
    </row>
    <row r="279" spans="29:38" x14ac:dyDescent="0.25">
      <c r="AC279" s="63"/>
      <c r="AD279" s="63"/>
      <c r="AE279" s="63"/>
      <c r="AF279" s="63"/>
      <c r="AG279" s="63"/>
      <c r="AH279" s="63"/>
      <c r="AI279" s="63"/>
      <c r="AJ279" s="63"/>
      <c r="AK279" s="63"/>
      <c r="AL279" s="63"/>
    </row>
    <row r="280" spans="29:38" x14ac:dyDescent="0.25">
      <c r="AC280" s="63"/>
      <c r="AD280" s="63"/>
      <c r="AE280" s="63"/>
      <c r="AF280" s="63"/>
      <c r="AG280" s="63"/>
      <c r="AH280" s="63"/>
      <c r="AI280" s="63"/>
      <c r="AJ280" s="63"/>
      <c r="AK280" s="63"/>
      <c r="AL280" s="63"/>
    </row>
    <row r="281" spans="29:38" x14ac:dyDescent="0.25">
      <c r="AC281" s="63"/>
      <c r="AD281" s="63"/>
      <c r="AE281" s="63"/>
      <c r="AF281" s="63"/>
      <c r="AG281" s="63"/>
      <c r="AH281" s="63"/>
      <c r="AI281" s="63"/>
      <c r="AJ281" s="63"/>
      <c r="AK281" s="63"/>
      <c r="AL281" s="63"/>
    </row>
    <row r="282" spans="29:38" x14ac:dyDescent="0.25">
      <c r="AC282" s="63"/>
      <c r="AD282" s="63"/>
      <c r="AE282" s="63"/>
      <c r="AF282" s="63"/>
      <c r="AG282" s="63"/>
      <c r="AH282" s="63"/>
      <c r="AI282" s="63"/>
      <c r="AJ282" s="63"/>
      <c r="AK282" s="63"/>
      <c r="AL282" s="63"/>
    </row>
    <row r="283" spans="29:38" x14ac:dyDescent="0.25">
      <c r="AC283" s="63"/>
      <c r="AD283" s="63"/>
      <c r="AE283" s="63"/>
      <c r="AF283" s="63"/>
      <c r="AG283" s="63"/>
      <c r="AH283" s="63"/>
      <c r="AI283" s="63"/>
      <c r="AJ283" s="63"/>
      <c r="AK283" s="63"/>
      <c r="AL283" s="63"/>
    </row>
    <row r="284" spans="29:38" x14ac:dyDescent="0.25">
      <c r="AC284" s="63"/>
      <c r="AD284" s="63"/>
      <c r="AE284" s="63"/>
      <c r="AF284" s="63"/>
      <c r="AG284" s="63"/>
      <c r="AH284" s="63"/>
      <c r="AI284" s="63"/>
      <c r="AJ284" s="63"/>
      <c r="AK284" s="63"/>
      <c r="AL284" s="63"/>
    </row>
    <row r="285" spans="29:38" x14ac:dyDescent="0.25">
      <c r="AC285" s="63"/>
      <c r="AD285" s="63"/>
      <c r="AE285" s="63"/>
      <c r="AF285" s="63"/>
      <c r="AG285" s="63"/>
      <c r="AH285" s="63"/>
      <c r="AI285" s="63"/>
      <c r="AJ285" s="63"/>
      <c r="AK285" s="63"/>
      <c r="AL285" s="63"/>
    </row>
    <row r="286" spans="29:38" x14ac:dyDescent="0.25">
      <c r="AC286" s="63"/>
      <c r="AD286" s="63"/>
      <c r="AE286" s="63"/>
      <c r="AF286" s="63"/>
      <c r="AG286" s="63"/>
      <c r="AH286" s="63"/>
      <c r="AI286" s="63"/>
      <c r="AJ286" s="63"/>
      <c r="AK286" s="63"/>
      <c r="AL286" s="63"/>
    </row>
    <row r="287" spans="29:38" x14ac:dyDescent="0.25">
      <c r="AC287" s="63"/>
      <c r="AD287" s="63"/>
      <c r="AE287" s="63"/>
      <c r="AF287" s="63"/>
      <c r="AG287" s="63"/>
      <c r="AH287" s="63"/>
      <c r="AI287" s="63"/>
      <c r="AJ287" s="63"/>
      <c r="AK287" s="63"/>
      <c r="AL287" s="63"/>
    </row>
    <row r="288" spans="29:38" x14ac:dyDescent="0.25">
      <c r="AC288" s="63"/>
      <c r="AD288" s="63"/>
      <c r="AE288" s="63"/>
      <c r="AF288" s="63"/>
      <c r="AG288" s="63"/>
      <c r="AH288" s="63"/>
      <c r="AI288" s="63"/>
      <c r="AJ288" s="63"/>
      <c r="AK288" s="63"/>
      <c r="AL288" s="63"/>
    </row>
    <row r="289" spans="29:38" x14ac:dyDescent="0.25">
      <c r="AC289" s="63"/>
      <c r="AD289" s="63"/>
      <c r="AE289" s="63"/>
      <c r="AF289" s="63"/>
      <c r="AG289" s="63"/>
      <c r="AH289" s="63"/>
      <c r="AI289" s="63"/>
      <c r="AJ289" s="63"/>
      <c r="AK289" s="63"/>
      <c r="AL289" s="63"/>
    </row>
    <row r="290" spans="29:38" x14ac:dyDescent="0.25">
      <c r="AC290" s="63"/>
      <c r="AD290" s="63"/>
      <c r="AE290" s="63"/>
      <c r="AF290" s="63"/>
      <c r="AG290" s="63"/>
      <c r="AH290" s="63"/>
      <c r="AI290" s="63"/>
      <c r="AJ290" s="63"/>
      <c r="AK290" s="63"/>
      <c r="AL290" s="63"/>
    </row>
    <row r="291" spans="29:38" x14ac:dyDescent="0.25">
      <c r="AC291" s="63"/>
      <c r="AD291" s="63"/>
      <c r="AE291" s="63"/>
      <c r="AF291" s="63"/>
      <c r="AG291" s="63"/>
      <c r="AH291" s="63"/>
      <c r="AI291" s="63"/>
      <c r="AJ291" s="63"/>
      <c r="AK291" s="63"/>
      <c r="AL291" s="63"/>
    </row>
    <row r="292" spans="29:38" x14ac:dyDescent="0.25">
      <c r="AC292" s="63"/>
      <c r="AD292" s="63"/>
      <c r="AE292" s="63"/>
      <c r="AF292" s="63"/>
      <c r="AG292" s="63"/>
      <c r="AH292" s="63"/>
      <c r="AI292" s="63"/>
      <c r="AJ292" s="63"/>
      <c r="AK292" s="63"/>
      <c r="AL292" s="63"/>
    </row>
  </sheetData>
  <sheetProtection sheet="1" objects="1" formatCells="0" formatColumns="0" formatRows="0" sort="0" autoFilter="0"/>
  <conditionalFormatting sqref="H254">
    <cfRule type="cellIs" dxfId="21" priority="2" operator="greaterThan">
      <formula>0</formula>
    </cfRule>
  </conditionalFormatting>
  <conditionalFormatting sqref="A4:XFD4">
    <cfRule type="expression" dxfId="2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tabColor theme="4" tint="0.59999389629810485"/>
    <pageSetUpPr fitToPage="1"/>
  </sheetPr>
  <dimension ref="A1:KJ297"/>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Capacity charges</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H295 &amp; IF(H295 = 1, " issue", " issues") &amp;" identified in checks on this sheet"</f>
        <v>0 issues identified in checks on this sheet</v>
      </c>
      <c r="B4" s="13"/>
      <c r="C4" s="13"/>
      <c r="D4" s="13"/>
      <c r="E4" s="13"/>
      <c r="F4" s="13"/>
      <c r="G4" s="13"/>
      <c r="H4" s="14"/>
      <c r="I4" s="14"/>
      <c r="J4" s="13"/>
      <c r="AR4" s="15"/>
    </row>
    <row r="5" spans="1:44" ht="60" x14ac:dyDescent="0.25">
      <c r="B5" s="59" t="s">
        <v>145</v>
      </c>
      <c r="C5" s="60"/>
      <c r="D5" s="60"/>
      <c r="E5" s="60"/>
      <c r="F5" s="60"/>
      <c r="G5" s="61" t="s">
        <v>146</v>
      </c>
      <c r="H5" s="62" t="s">
        <v>147</v>
      </c>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810</v>
      </c>
      <c r="E9"/>
    </row>
    <row r="10" spans="1:44" x14ac:dyDescent="0.25">
      <c r="D10" s="29" t="s">
        <v>811</v>
      </c>
      <c r="E10"/>
    </row>
    <row r="11" spans="1:44" x14ac:dyDescent="0.25">
      <c r="D11" s="29" t="s">
        <v>812</v>
      </c>
      <c r="E11"/>
    </row>
    <row r="12" spans="1:44" x14ac:dyDescent="0.25">
      <c r="D12" s="29" t="s">
        <v>813</v>
      </c>
      <c r="E12"/>
    </row>
    <row r="13" spans="1:44" x14ac:dyDescent="0.25">
      <c r="D13" s="29" t="s">
        <v>814</v>
      </c>
      <c r="E13"/>
    </row>
    <row r="14" spans="1:44" x14ac:dyDescent="0.25">
      <c r="D14" s="29" t="s">
        <v>815</v>
      </c>
      <c r="E14"/>
    </row>
    <row r="15" spans="1:44" x14ac:dyDescent="0.25">
      <c r="D15" s="29" t="s">
        <v>816</v>
      </c>
    </row>
    <row r="17" spans="2:44" x14ac:dyDescent="0.25">
      <c r="B17" s="30" t="s">
        <v>817</v>
      </c>
      <c r="C17" s="30"/>
      <c r="D17" s="30"/>
      <c r="E17" s="30"/>
      <c r="F17" s="30"/>
      <c r="G17" s="30"/>
      <c r="H17" s="30"/>
      <c r="I17" s="30"/>
      <c r="J17" s="30"/>
      <c r="K17" s="30"/>
      <c r="L17" s="30"/>
      <c r="M17" s="30"/>
      <c r="N17" s="30"/>
      <c r="O17" s="30"/>
      <c r="P17" s="30"/>
      <c r="Q17" s="30"/>
      <c r="R17" s="30"/>
      <c r="S17" s="30"/>
      <c r="T17" s="30"/>
      <c r="U17" s="30"/>
      <c r="V17" s="30"/>
      <c r="W17" s="30"/>
      <c r="X17" s="30"/>
      <c r="Y17" s="30"/>
      <c r="Z17" s="30"/>
      <c r="AA17" s="30"/>
      <c r="AB17" s="30"/>
      <c r="AC17" s="30"/>
      <c r="AD17" s="30"/>
      <c r="AE17" s="30"/>
      <c r="AF17" s="30"/>
      <c r="AG17" s="30"/>
      <c r="AH17" s="30"/>
      <c r="AI17" s="30"/>
      <c r="AJ17" s="30"/>
      <c r="AK17" s="30"/>
      <c r="AL17" s="30"/>
      <c r="AM17" s="30"/>
      <c r="AN17" s="30"/>
      <c r="AO17" s="30"/>
      <c r="AP17" s="30"/>
      <c r="AQ17" s="30"/>
      <c r="AR17" s="30"/>
    </row>
    <row r="18" spans="2:44" x14ac:dyDescent="0.25">
      <c r="D18"/>
      <c r="E18"/>
    </row>
    <row r="19" spans="2:44" x14ac:dyDescent="0.25">
      <c r="C19" s="31" t="str">
        <f ca="1">INDEX('Version control'!$H$34:$H$56,MATCH($A$1,'Version control'!$F$34:$F$56,0),1)&amp;"-A: Inputs to capacity charge calculations"</f>
        <v>Section 113-A: Inputs to capacity charge calculations</v>
      </c>
      <c r="D19" s="31"/>
      <c r="E19" s="31"/>
      <c r="F19" s="31"/>
      <c r="G19" s="31"/>
      <c r="H19" s="31"/>
      <c r="I19" s="31"/>
      <c r="J19" s="31"/>
      <c r="K19" s="31"/>
      <c r="L19" s="31"/>
      <c r="M19" s="31"/>
      <c r="N19" s="31"/>
      <c r="O19" s="31"/>
      <c r="P19" s="31"/>
      <c r="Q19" s="31"/>
      <c r="R19" s="31"/>
      <c r="S19" s="31"/>
      <c r="T19" s="31"/>
      <c r="U19" s="31"/>
      <c r="V19" s="31"/>
      <c r="W19" s="31"/>
      <c r="X19" s="31"/>
      <c r="Y19" s="31"/>
      <c r="Z19" s="31"/>
      <c r="AA19" s="31"/>
      <c r="AB19" s="31"/>
      <c r="AC19" s="31"/>
      <c r="AD19" s="31"/>
      <c r="AE19" s="31"/>
      <c r="AF19" s="31"/>
      <c r="AG19" s="31"/>
      <c r="AH19" s="31"/>
      <c r="AI19" s="31"/>
      <c r="AJ19" s="31"/>
      <c r="AK19" s="31"/>
      <c r="AL19" s="31"/>
      <c r="AM19" s="31"/>
      <c r="AN19" s="31"/>
      <c r="AO19" s="31"/>
      <c r="AP19" s="31"/>
      <c r="AQ19" s="31"/>
      <c r="AR19" s="31"/>
    </row>
    <row r="21" spans="2:44" x14ac:dyDescent="0.25">
      <c r="E21" s="32" t="s">
        <v>818</v>
      </c>
      <c r="F21" s="2"/>
    </row>
    <row r="22" spans="2:44" x14ac:dyDescent="0.25">
      <c r="D22"/>
      <c r="E22" s="29" t="s">
        <v>819</v>
      </c>
      <c r="F22" s="2"/>
    </row>
    <row r="23" spans="2:44" x14ac:dyDescent="0.25">
      <c r="C23" s="91"/>
      <c r="F23" s="111" t="s">
        <v>225</v>
      </c>
      <c r="G23" s="111" t="s">
        <v>203</v>
      </c>
      <c r="H23" s="232">
        <f>'System peak demand'!H226</f>
        <v>7.4999999999999956E-2</v>
      </c>
    </row>
    <row r="24" spans="2:44" x14ac:dyDescent="0.25">
      <c r="C24" s="91"/>
      <c r="F24" t="s">
        <v>227</v>
      </c>
      <c r="G24" t="s">
        <v>203</v>
      </c>
      <c r="H24" s="25">
        <f>'System peak demand'!H226</f>
        <v>7.4999999999999956E-2</v>
      </c>
    </row>
    <row r="25" spans="2:44" x14ac:dyDescent="0.25">
      <c r="C25" s="91"/>
      <c r="F25" t="s">
        <v>228</v>
      </c>
      <c r="G25" t="s">
        <v>203</v>
      </c>
      <c r="H25" s="25">
        <f>'System peak demand'!H227</f>
        <v>7.4999999999999956E-2</v>
      </c>
    </row>
    <row r="26" spans="2:44" x14ac:dyDescent="0.25">
      <c r="C26" s="91"/>
      <c r="F26" t="s">
        <v>229</v>
      </c>
      <c r="G26" t="s">
        <v>203</v>
      </c>
      <c r="H26" s="25">
        <f>'System peak demand'!H228</f>
        <v>7.4999999999999956E-2</v>
      </c>
    </row>
    <row r="27" spans="2:44" x14ac:dyDescent="0.25">
      <c r="C27" s="91"/>
      <c r="F27" t="s">
        <v>230</v>
      </c>
      <c r="G27" t="s">
        <v>203</v>
      </c>
      <c r="H27" s="25">
        <f>'System peak demand'!H229</f>
        <v>0.17153500000000022</v>
      </c>
    </row>
    <row r="28" spans="2:44" x14ac:dyDescent="0.25">
      <c r="C28" s="91"/>
      <c r="F28" t="s">
        <v>231</v>
      </c>
      <c r="G28" t="s">
        <v>203</v>
      </c>
      <c r="H28" s="25">
        <f>'System peak demand'!H230</f>
        <v>0.17153500000000022</v>
      </c>
    </row>
    <row r="29" spans="2:44" x14ac:dyDescent="0.25">
      <c r="C29" s="91"/>
      <c r="F29" t="s">
        <v>232</v>
      </c>
      <c r="G29" t="s">
        <v>203</v>
      </c>
      <c r="H29" s="25">
        <f>'System peak demand'!H231</f>
        <v>7.4999999999999956E-2</v>
      </c>
    </row>
    <row r="30" spans="2:44" x14ac:dyDescent="0.25">
      <c r="C30" s="91"/>
      <c r="F30" t="s">
        <v>233</v>
      </c>
      <c r="G30" t="s">
        <v>203</v>
      </c>
      <c r="H30" s="25">
        <f>'System peak demand'!H232</f>
        <v>0.80006352750000032</v>
      </c>
    </row>
    <row r="31" spans="2:44" x14ac:dyDescent="0.25">
      <c r="C31" s="91"/>
      <c r="F31" t="s">
        <v>234</v>
      </c>
      <c r="G31" t="s">
        <v>203</v>
      </c>
      <c r="H31" s="25">
        <f>'System peak demand'!H233</f>
        <v>0.80006352750000032</v>
      </c>
    </row>
    <row r="32" spans="2:44" x14ac:dyDescent="0.25">
      <c r="C32" s="91"/>
      <c r="F32" t="s">
        <v>235</v>
      </c>
      <c r="G32" t="s">
        <v>203</v>
      </c>
      <c r="H32" s="25">
        <f>'System peak demand'!H234</f>
        <v>0.93809300995757972</v>
      </c>
    </row>
    <row r="33" spans="3:8" x14ac:dyDescent="0.25">
      <c r="C33" s="91"/>
      <c r="F33" t="s">
        <v>436</v>
      </c>
      <c r="G33" t="s">
        <v>203</v>
      </c>
      <c r="H33" s="66"/>
    </row>
    <row r="34" spans="3:8" x14ac:dyDescent="0.25">
      <c r="C34" s="91"/>
      <c r="F34" s="37" t="s">
        <v>437</v>
      </c>
      <c r="G34" s="37" t="s">
        <v>203</v>
      </c>
      <c r="H34" s="68"/>
    </row>
    <row r="35" spans="3:8" x14ac:dyDescent="0.25">
      <c r="C35" s="91"/>
      <c r="F35" s="2"/>
    </row>
    <row r="36" spans="3:8" x14ac:dyDescent="0.25">
      <c r="E36" s="91" t="s">
        <v>454</v>
      </c>
      <c r="F36" s="2"/>
    </row>
    <row r="37" spans="3:8" x14ac:dyDescent="0.25">
      <c r="C37" s="91"/>
      <c r="F37" s="23" t="s">
        <v>225</v>
      </c>
      <c r="G37" s="64" t="s">
        <v>342</v>
      </c>
      <c r="H37" s="127">
        <f t="array" ref="H37:H46">TRANSPOSE('Load &amp; loss characteristics'!J29:S29)</f>
        <v>1</v>
      </c>
    </row>
    <row r="38" spans="3:8" x14ac:dyDescent="0.25">
      <c r="C38" s="91"/>
      <c r="F38" t="s">
        <v>227</v>
      </c>
      <c r="G38" s="28" t="s">
        <v>342</v>
      </c>
      <c r="H38" s="123">
        <v>1</v>
      </c>
    </row>
    <row r="39" spans="3:8" x14ac:dyDescent="0.25">
      <c r="C39" s="91"/>
      <c r="F39" t="s">
        <v>228</v>
      </c>
      <c r="G39" s="28" t="s">
        <v>342</v>
      </c>
      <c r="H39" s="123">
        <v>1</v>
      </c>
    </row>
    <row r="40" spans="3:8" x14ac:dyDescent="0.25">
      <c r="C40" s="91"/>
      <c r="F40" t="s">
        <v>229</v>
      </c>
      <c r="G40" s="28" t="s">
        <v>342</v>
      </c>
      <c r="H40" s="123">
        <v>1</v>
      </c>
    </row>
    <row r="41" spans="3:8" x14ac:dyDescent="0.25">
      <c r="C41" s="91"/>
      <c r="F41" t="s">
        <v>230</v>
      </c>
      <c r="G41" s="28" t="s">
        <v>342</v>
      </c>
      <c r="H41" s="123">
        <v>1.0149999999999999</v>
      </c>
    </row>
    <row r="42" spans="3:8" x14ac:dyDescent="0.25">
      <c r="C42" s="91"/>
      <c r="F42" t="s">
        <v>231</v>
      </c>
      <c r="G42" s="28" t="s">
        <v>342</v>
      </c>
      <c r="H42" s="123">
        <v>1.026</v>
      </c>
    </row>
    <row r="43" spans="3:8" x14ac:dyDescent="0.25">
      <c r="C43" s="91"/>
      <c r="F43" t="s">
        <v>232</v>
      </c>
      <c r="G43" s="28" t="s">
        <v>342</v>
      </c>
      <c r="H43" s="123">
        <v>1.026</v>
      </c>
    </row>
    <row r="44" spans="3:8" x14ac:dyDescent="0.25">
      <c r="C44" s="91"/>
      <c r="F44" t="s">
        <v>233</v>
      </c>
      <c r="G44" s="28" t="s">
        <v>342</v>
      </c>
      <c r="H44" s="123">
        <v>1.0349999999999999</v>
      </c>
    </row>
    <row r="45" spans="3:8" x14ac:dyDescent="0.25">
      <c r="C45" s="91"/>
      <c r="F45" t="s">
        <v>234</v>
      </c>
      <c r="G45" s="28" t="s">
        <v>342</v>
      </c>
      <c r="H45" s="123">
        <v>1.0569999999999999</v>
      </c>
    </row>
    <row r="46" spans="3:8" x14ac:dyDescent="0.25">
      <c r="C46" s="91"/>
      <c r="F46" t="s">
        <v>235</v>
      </c>
      <c r="G46" s="28" t="s">
        <v>342</v>
      </c>
      <c r="H46" s="123">
        <v>1.0900000000000001</v>
      </c>
    </row>
    <row r="47" spans="3:8" x14ac:dyDescent="0.25">
      <c r="C47" s="91"/>
      <c r="F47" t="s">
        <v>436</v>
      </c>
      <c r="G47" s="28" t="s">
        <v>342</v>
      </c>
      <c r="H47" s="79"/>
    </row>
    <row r="48" spans="3:8" x14ac:dyDescent="0.25">
      <c r="C48" s="91"/>
      <c r="F48" s="37" t="s">
        <v>437</v>
      </c>
      <c r="G48" s="67" t="s">
        <v>342</v>
      </c>
      <c r="H48" s="81"/>
    </row>
    <row r="49" spans="3:11" x14ac:dyDescent="0.25">
      <c r="C49" s="91"/>
      <c r="F49" s="2"/>
      <c r="H49" s="92"/>
    </row>
    <row r="50" spans="3:11" x14ac:dyDescent="0.25">
      <c r="C50" s="91"/>
      <c r="E50" s="91" t="s">
        <v>696</v>
      </c>
      <c r="H50" s="92"/>
    </row>
    <row r="51" spans="3:11" x14ac:dyDescent="0.25">
      <c r="C51" s="91"/>
      <c r="E51" s="29"/>
      <c r="F51" s="23" t="s">
        <v>225</v>
      </c>
      <c r="G51" s="23" t="s">
        <v>697</v>
      </c>
      <c r="H51" s="83"/>
    </row>
    <row r="52" spans="3:11" x14ac:dyDescent="0.25">
      <c r="C52" s="91"/>
      <c r="E52" s="29"/>
      <c r="F52" t="s">
        <v>227</v>
      </c>
      <c r="G52" t="s">
        <v>697</v>
      </c>
      <c r="H52" s="79"/>
    </row>
    <row r="53" spans="3:11" x14ac:dyDescent="0.25">
      <c r="C53" s="91"/>
      <c r="E53" s="29"/>
      <c r="F53" t="s">
        <v>228</v>
      </c>
      <c r="G53" t="s">
        <v>697</v>
      </c>
      <c r="H53" s="123">
        <f t="array" ref="H53:H60">TRANSPOSE('Unit costs'!L114:S114)</f>
        <v>0</v>
      </c>
      <c r="K53" s="63"/>
    </row>
    <row r="54" spans="3:11" x14ac:dyDescent="0.25">
      <c r="C54" s="91"/>
      <c r="E54" s="29"/>
      <c r="F54" t="s">
        <v>229</v>
      </c>
      <c r="G54" t="s">
        <v>697</v>
      </c>
      <c r="H54" s="123">
        <v>0</v>
      </c>
      <c r="K54" s="63"/>
    </row>
    <row r="55" spans="3:11" x14ac:dyDescent="0.25">
      <c r="C55" s="91"/>
      <c r="E55" s="29"/>
      <c r="F55" t="s">
        <v>230</v>
      </c>
      <c r="G55" t="s">
        <v>697</v>
      </c>
      <c r="H55" s="123">
        <v>8.6794513489645837</v>
      </c>
      <c r="K55" s="63"/>
    </row>
    <row r="56" spans="3:11" x14ac:dyDescent="0.25">
      <c r="C56" s="91"/>
      <c r="E56" s="29"/>
      <c r="F56" t="s">
        <v>231</v>
      </c>
      <c r="G56" t="s">
        <v>697</v>
      </c>
      <c r="H56" s="123">
        <v>7.9382433851892769</v>
      </c>
      <c r="K56" s="63"/>
    </row>
    <row r="57" spans="3:11" x14ac:dyDescent="0.25">
      <c r="C57" s="91"/>
      <c r="E57" s="29"/>
      <c r="F57" t="s">
        <v>232</v>
      </c>
      <c r="G57" t="s">
        <v>697</v>
      </c>
      <c r="H57" s="123">
        <v>0</v>
      </c>
      <c r="K57" s="63"/>
    </row>
    <row r="58" spans="3:11" x14ac:dyDescent="0.25">
      <c r="C58" s="91"/>
      <c r="E58" s="29"/>
      <c r="F58" t="s">
        <v>233</v>
      </c>
      <c r="G58" t="s">
        <v>697</v>
      </c>
      <c r="H58" s="123">
        <v>33.090584726418562</v>
      </c>
      <c r="K58" s="63"/>
    </row>
    <row r="59" spans="3:11" x14ac:dyDescent="0.25">
      <c r="C59" s="91"/>
      <c r="E59" s="29"/>
      <c r="F59" t="s">
        <v>234</v>
      </c>
      <c r="G59" t="s">
        <v>697</v>
      </c>
      <c r="H59" s="123">
        <v>8.1832602160498897</v>
      </c>
      <c r="K59" s="63"/>
    </row>
    <row r="60" spans="3:11" x14ac:dyDescent="0.25">
      <c r="C60" s="91"/>
      <c r="E60" s="29"/>
      <c r="F60" t="s">
        <v>235</v>
      </c>
      <c r="G60" t="s">
        <v>697</v>
      </c>
      <c r="H60" s="123">
        <v>20.032152791713386</v>
      </c>
      <c r="K60" s="63"/>
    </row>
    <row r="61" spans="3:11" x14ac:dyDescent="0.25">
      <c r="C61" s="91"/>
      <c r="E61" s="29"/>
      <c r="F61" t="s">
        <v>436</v>
      </c>
      <c r="G61" t="s">
        <v>697</v>
      </c>
      <c r="H61" s="79"/>
      <c r="K61" s="63"/>
    </row>
    <row r="62" spans="3:11" x14ac:dyDescent="0.25">
      <c r="C62" s="91"/>
      <c r="E62" s="29"/>
      <c r="F62" s="37" t="s">
        <v>437</v>
      </c>
      <c r="G62" s="37" t="s">
        <v>697</v>
      </c>
      <c r="H62" s="81"/>
      <c r="K62" s="63"/>
    </row>
    <row r="63" spans="3:11" x14ac:dyDescent="0.25">
      <c r="C63" s="91"/>
      <c r="D63"/>
      <c r="E63" s="29"/>
      <c r="H63" s="92"/>
    </row>
    <row r="64" spans="3:11" x14ac:dyDescent="0.25">
      <c r="C64" s="91"/>
      <c r="E64" s="91" t="s">
        <v>715</v>
      </c>
      <c r="H64" s="92"/>
    </row>
    <row r="65" spans="3:42" x14ac:dyDescent="0.25">
      <c r="C65" s="91"/>
      <c r="F65" s="23" t="s">
        <v>225</v>
      </c>
      <c r="G65" s="23" t="s">
        <v>697</v>
      </c>
      <c r="H65" s="127">
        <f t="array" ref="H65:H74">TRANSPOSE('Unit costs'!J115:S115)</f>
        <v>23.374299189754094</v>
      </c>
    </row>
    <row r="66" spans="3:42" x14ac:dyDescent="0.25">
      <c r="C66" s="91"/>
      <c r="F66" t="s">
        <v>227</v>
      </c>
      <c r="G66" t="s">
        <v>697</v>
      </c>
      <c r="H66" s="123">
        <v>0</v>
      </c>
      <c r="K66" s="63"/>
    </row>
    <row r="67" spans="3:42" x14ac:dyDescent="0.25">
      <c r="C67" s="91"/>
      <c r="F67" t="s">
        <v>228</v>
      </c>
      <c r="G67" t="s">
        <v>697</v>
      </c>
      <c r="H67" s="123">
        <v>0</v>
      </c>
      <c r="K67" s="63"/>
    </row>
    <row r="68" spans="3:42" x14ac:dyDescent="0.25">
      <c r="C68" s="91"/>
      <c r="F68" t="s">
        <v>229</v>
      </c>
      <c r="G68" t="s">
        <v>697</v>
      </c>
      <c r="H68" s="123">
        <v>0</v>
      </c>
      <c r="K68" s="63"/>
    </row>
    <row r="69" spans="3:42" x14ac:dyDescent="0.25">
      <c r="C69" s="91"/>
      <c r="F69" t="s">
        <v>230</v>
      </c>
      <c r="G69" t="s">
        <v>697</v>
      </c>
      <c r="H69" s="123">
        <v>6.7528606972780532</v>
      </c>
      <c r="K69" s="63"/>
    </row>
    <row r="70" spans="3:42" x14ac:dyDescent="0.25">
      <c r="C70" s="91"/>
      <c r="F70" t="s">
        <v>231</v>
      </c>
      <c r="G70" t="s">
        <v>697</v>
      </c>
      <c r="H70" s="123">
        <v>6.1761797613701779</v>
      </c>
      <c r="K70" s="63"/>
    </row>
    <row r="71" spans="3:42" x14ac:dyDescent="0.25">
      <c r="C71" s="91"/>
      <c r="F71" t="s">
        <v>232</v>
      </c>
      <c r="G71" t="s">
        <v>697</v>
      </c>
      <c r="H71" s="123">
        <v>0</v>
      </c>
      <c r="K71" s="63"/>
    </row>
    <row r="72" spans="3:42" x14ac:dyDescent="0.25">
      <c r="C72" s="91"/>
      <c r="F72" t="s">
        <v>233</v>
      </c>
      <c r="G72" t="s">
        <v>697</v>
      </c>
      <c r="H72" s="123">
        <v>25.74541869811144</v>
      </c>
      <c r="K72" s="63"/>
    </row>
    <row r="73" spans="3:42" x14ac:dyDescent="0.25">
      <c r="C73" s="91"/>
      <c r="F73" t="s">
        <v>234</v>
      </c>
      <c r="G73" t="s">
        <v>697</v>
      </c>
      <c r="H73" s="123">
        <v>6.3668098439372782</v>
      </c>
      <c r="K73" s="63"/>
    </row>
    <row r="74" spans="3:42" x14ac:dyDescent="0.25">
      <c r="C74" s="91"/>
      <c r="F74" t="s">
        <v>235</v>
      </c>
      <c r="G74" t="s">
        <v>697</v>
      </c>
      <c r="H74" s="123">
        <v>15.585586211640868</v>
      </c>
      <c r="K74" s="63"/>
    </row>
    <row r="75" spans="3:42" x14ac:dyDescent="0.25">
      <c r="C75" s="91"/>
      <c r="F75" t="s">
        <v>436</v>
      </c>
      <c r="G75" t="s">
        <v>697</v>
      </c>
      <c r="H75" s="79"/>
      <c r="K75" s="63"/>
    </row>
    <row r="76" spans="3:42" x14ac:dyDescent="0.25">
      <c r="C76" s="91"/>
      <c r="F76" s="37" t="s">
        <v>437</v>
      </c>
      <c r="G76" s="37" t="s">
        <v>697</v>
      </c>
      <c r="H76" s="81"/>
    </row>
    <row r="77" spans="3:42" x14ac:dyDescent="0.25">
      <c r="C77" s="91"/>
      <c r="F77" s="2"/>
    </row>
    <row r="78" spans="3:42" x14ac:dyDescent="0.25">
      <c r="E78" s="32" t="s">
        <v>468</v>
      </c>
      <c r="F78" s="2"/>
    </row>
    <row r="79" spans="3:42" x14ac:dyDescent="0.25">
      <c r="E79" s="29" t="s">
        <v>461</v>
      </c>
    </row>
    <row r="80" spans="3:42" x14ac:dyDescent="0.25">
      <c r="C80" s="91"/>
      <c r="F80" s="23" t="s">
        <v>225</v>
      </c>
      <c r="G80" s="64" t="s">
        <v>342</v>
      </c>
      <c r="H80" s="233"/>
      <c r="I80" s="233"/>
      <c r="J80" s="127">
        <f t="array" ref="J80:AP89">TRANSPOSE('Load &amp; loss characteristics'!J230:S262)</f>
        <v>1.0900000000000001</v>
      </c>
      <c r="K80" s="127">
        <v>1.0900000000000001</v>
      </c>
      <c r="L80" s="127">
        <v>1.0900000000000001</v>
      </c>
      <c r="M80" s="127">
        <v>1.0900000000000001</v>
      </c>
      <c r="N80" s="127">
        <v>1.0900000000000001</v>
      </c>
      <c r="O80" s="127">
        <v>1.0900000000000001</v>
      </c>
      <c r="P80" s="127">
        <v>1.0900000000000001</v>
      </c>
      <c r="Q80" s="127">
        <v>1.0569999999999999</v>
      </c>
      <c r="R80" s="127">
        <v>1.0349999999999999</v>
      </c>
      <c r="S80" s="127">
        <v>1.0900000000000001</v>
      </c>
      <c r="T80" s="127">
        <v>1.0900000000000001</v>
      </c>
      <c r="U80" s="127">
        <v>1.0900000000000001</v>
      </c>
      <c r="V80" s="127">
        <v>1.0569999999999999</v>
      </c>
      <c r="W80" s="127">
        <v>1.0349999999999999</v>
      </c>
      <c r="X80" s="127">
        <v>1.0900000000000001</v>
      </c>
      <c r="Y80" s="127">
        <v>1.0900000000000001</v>
      </c>
      <c r="Z80" s="127">
        <v>1.0900000000000001</v>
      </c>
      <c r="AA80" s="127">
        <v>1.0900000000000001</v>
      </c>
      <c r="AB80" s="127">
        <v>1.0900000000000001</v>
      </c>
      <c r="AC80" s="127">
        <v>-1.0900000000000001</v>
      </c>
      <c r="AD80" s="127">
        <v>-1.0569999999999999</v>
      </c>
      <c r="AE80" s="127">
        <v>-1.0900000000000001</v>
      </c>
      <c r="AF80" s="127">
        <v>-1.0900000000000001</v>
      </c>
      <c r="AG80" s="127">
        <v>-1.0900000000000001</v>
      </c>
      <c r="AH80" s="127">
        <v>-1.0900000000000001</v>
      </c>
      <c r="AI80" s="127">
        <v>-1.0569999999999999</v>
      </c>
      <c r="AJ80" s="127">
        <v>-1.0569999999999999</v>
      </c>
      <c r="AK80" s="127">
        <v>-1.0569999999999999</v>
      </c>
      <c r="AL80" s="127">
        <v>-1.0569999999999999</v>
      </c>
      <c r="AM80" s="127">
        <v>-1.0349999999999999</v>
      </c>
      <c r="AN80" s="127">
        <v>-1.0349999999999999</v>
      </c>
      <c r="AO80" s="127">
        <v>-1.0349999999999999</v>
      </c>
      <c r="AP80" s="127">
        <v>-1.0349999999999999</v>
      </c>
    </row>
    <row r="81" spans="3:59" x14ac:dyDescent="0.25">
      <c r="C81" s="91"/>
      <c r="F81" t="s">
        <v>227</v>
      </c>
      <c r="G81" s="28" t="s">
        <v>342</v>
      </c>
      <c r="H81" s="234"/>
      <c r="I81" s="234"/>
      <c r="J81" s="123">
        <v>1.0900000000000001</v>
      </c>
      <c r="K81" s="123">
        <v>1.0900000000000001</v>
      </c>
      <c r="L81" s="123">
        <v>1.0900000000000001</v>
      </c>
      <c r="M81" s="123">
        <v>1.0900000000000001</v>
      </c>
      <c r="N81" s="123">
        <v>1.0900000000000001</v>
      </c>
      <c r="O81" s="123">
        <v>1.0900000000000001</v>
      </c>
      <c r="P81" s="123">
        <v>1.0900000000000001</v>
      </c>
      <c r="Q81" s="123">
        <v>1.0569999999999999</v>
      </c>
      <c r="R81" s="123">
        <v>1.0349999999999999</v>
      </c>
      <c r="S81" s="123">
        <v>1.0900000000000001</v>
      </c>
      <c r="T81" s="123">
        <v>1.0900000000000001</v>
      </c>
      <c r="U81" s="123">
        <v>1.0900000000000001</v>
      </c>
      <c r="V81" s="123">
        <v>1.0569999999999999</v>
      </c>
      <c r="W81" s="123">
        <v>1.0349999999999999</v>
      </c>
      <c r="X81" s="123">
        <v>1.0900000000000001</v>
      </c>
      <c r="Y81" s="123">
        <v>1.0900000000000001</v>
      </c>
      <c r="Z81" s="123">
        <v>1.0900000000000001</v>
      </c>
      <c r="AA81" s="123">
        <v>1.0900000000000001</v>
      </c>
      <c r="AB81" s="123">
        <v>1.0900000000000001</v>
      </c>
      <c r="AC81" s="123">
        <v>-1.0900000000000001</v>
      </c>
      <c r="AD81" s="123">
        <v>-1.0569999999999999</v>
      </c>
      <c r="AE81" s="123">
        <v>-1.0900000000000001</v>
      </c>
      <c r="AF81" s="123">
        <v>-1.0900000000000001</v>
      </c>
      <c r="AG81" s="123">
        <v>-1.0900000000000001</v>
      </c>
      <c r="AH81" s="123">
        <v>-1.0900000000000001</v>
      </c>
      <c r="AI81" s="123">
        <v>-1.0569999999999999</v>
      </c>
      <c r="AJ81" s="123">
        <v>-1.0569999999999999</v>
      </c>
      <c r="AK81" s="123">
        <v>-1.0569999999999999</v>
      </c>
      <c r="AL81" s="123">
        <v>-1.0569999999999999</v>
      </c>
      <c r="AM81" s="123">
        <v>-1.0349999999999999</v>
      </c>
      <c r="AN81" s="123">
        <v>-1.0349999999999999</v>
      </c>
      <c r="AO81" s="123">
        <v>-1.0349999999999999</v>
      </c>
      <c r="AP81" s="123">
        <v>-1.0349999999999999</v>
      </c>
    </row>
    <row r="82" spans="3:59" x14ac:dyDescent="0.25">
      <c r="C82" s="91"/>
      <c r="F82" t="s">
        <v>228</v>
      </c>
      <c r="G82" s="28" t="s">
        <v>342</v>
      </c>
      <c r="H82" s="234"/>
      <c r="I82" s="234"/>
      <c r="J82" s="123">
        <v>1.0900000000000001</v>
      </c>
      <c r="K82" s="123">
        <v>1.0900000000000001</v>
      </c>
      <c r="L82" s="123">
        <v>1.0900000000000001</v>
      </c>
      <c r="M82" s="123">
        <v>1.0900000000000001</v>
      </c>
      <c r="N82" s="123">
        <v>1.0900000000000001</v>
      </c>
      <c r="O82" s="123">
        <v>1.0900000000000001</v>
      </c>
      <c r="P82" s="123">
        <v>1.0900000000000001</v>
      </c>
      <c r="Q82" s="123">
        <v>1.0569999999999999</v>
      </c>
      <c r="R82" s="123">
        <v>1.0349999999999999</v>
      </c>
      <c r="S82" s="123">
        <v>1.0900000000000001</v>
      </c>
      <c r="T82" s="123">
        <v>1.0900000000000001</v>
      </c>
      <c r="U82" s="123">
        <v>1.0900000000000001</v>
      </c>
      <c r="V82" s="123">
        <v>1.0569999999999999</v>
      </c>
      <c r="W82" s="123">
        <v>1.0349999999999999</v>
      </c>
      <c r="X82" s="123">
        <v>1.0900000000000001</v>
      </c>
      <c r="Y82" s="123">
        <v>1.0900000000000001</v>
      </c>
      <c r="Z82" s="123">
        <v>1.0900000000000001</v>
      </c>
      <c r="AA82" s="123">
        <v>1.0900000000000001</v>
      </c>
      <c r="AB82" s="123">
        <v>1.0900000000000001</v>
      </c>
      <c r="AC82" s="123">
        <v>-1.0900000000000001</v>
      </c>
      <c r="AD82" s="123">
        <v>-1.0569999999999999</v>
      </c>
      <c r="AE82" s="123">
        <v>-1.0900000000000001</v>
      </c>
      <c r="AF82" s="123">
        <v>-1.0900000000000001</v>
      </c>
      <c r="AG82" s="123">
        <v>-1.0900000000000001</v>
      </c>
      <c r="AH82" s="123">
        <v>-1.0900000000000001</v>
      </c>
      <c r="AI82" s="123">
        <v>-1.0569999999999999</v>
      </c>
      <c r="AJ82" s="123">
        <v>-1.0569999999999999</v>
      </c>
      <c r="AK82" s="123">
        <v>-1.0569999999999999</v>
      </c>
      <c r="AL82" s="123">
        <v>-1.0569999999999999</v>
      </c>
      <c r="AM82" s="123">
        <v>-1.0349999999999999</v>
      </c>
      <c r="AN82" s="123">
        <v>-1.0349999999999999</v>
      </c>
      <c r="AO82" s="123">
        <v>-1.0349999999999999</v>
      </c>
      <c r="AP82" s="123">
        <v>-1.0349999999999999</v>
      </c>
    </row>
    <row r="83" spans="3:59" x14ac:dyDescent="0.25">
      <c r="C83" s="91"/>
      <c r="F83" t="s">
        <v>229</v>
      </c>
      <c r="G83" s="28" t="s">
        <v>342</v>
      </c>
      <c r="H83" s="234"/>
      <c r="I83" s="234"/>
      <c r="J83" s="123">
        <v>1.0900000000000001</v>
      </c>
      <c r="K83" s="123">
        <v>1.0900000000000001</v>
      </c>
      <c r="L83" s="123">
        <v>1.0900000000000001</v>
      </c>
      <c r="M83" s="123">
        <v>1.0900000000000001</v>
      </c>
      <c r="N83" s="123">
        <v>1.0900000000000001</v>
      </c>
      <c r="O83" s="123">
        <v>1.0900000000000001</v>
      </c>
      <c r="P83" s="123">
        <v>1.0900000000000001</v>
      </c>
      <c r="Q83" s="123">
        <v>1.0569999999999999</v>
      </c>
      <c r="R83" s="123">
        <v>1.0349999999999999</v>
      </c>
      <c r="S83" s="123">
        <v>1.0900000000000001</v>
      </c>
      <c r="T83" s="123">
        <v>1.0900000000000001</v>
      </c>
      <c r="U83" s="123">
        <v>1.0900000000000001</v>
      </c>
      <c r="V83" s="123">
        <v>1.0569999999999999</v>
      </c>
      <c r="W83" s="123">
        <v>1.0349999999999999</v>
      </c>
      <c r="X83" s="123">
        <v>1.0900000000000001</v>
      </c>
      <c r="Y83" s="123">
        <v>1.0900000000000001</v>
      </c>
      <c r="Z83" s="123">
        <v>1.0900000000000001</v>
      </c>
      <c r="AA83" s="123">
        <v>1.0900000000000001</v>
      </c>
      <c r="AB83" s="123">
        <v>1.0900000000000001</v>
      </c>
      <c r="AC83" s="123">
        <v>-1.0900000000000001</v>
      </c>
      <c r="AD83" s="123">
        <v>-1.0569999999999999</v>
      </c>
      <c r="AE83" s="123">
        <v>-1.0900000000000001</v>
      </c>
      <c r="AF83" s="123">
        <v>-1.0900000000000001</v>
      </c>
      <c r="AG83" s="123">
        <v>-1.0900000000000001</v>
      </c>
      <c r="AH83" s="123">
        <v>-1.0900000000000001</v>
      </c>
      <c r="AI83" s="123">
        <v>-1.0569999999999999</v>
      </c>
      <c r="AJ83" s="123">
        <v>-1.0569999999999999</v>
      </c>
      <c r="AK83" s="123">
        <v>-1.0569999999999999</v>
      </c>
      <c r="AL83" s="123">
        <v>-1.0569999999999999</v>
      </c>
      <c r="AM83" s="123">
        <v>-1.0349999999999999</v>
      </c>
      <c r="AN83" s="123">
        <v>-1.0349999999999999</v>
      </c>
      <c r="AO83" s="123">
        <v>-1.0349999999999999</v>
      </c>
      <c r="AP83" s="123">
        <v>-1.0349999999999999</v>
      </c>
    </row>
    <row r="84" spans="3:59" x14ac:dyDescent="0.25">
      <c r="C84" s="91"/>
      <c r="F84" t="s">
        <v>230</v>
      </c>
      <c r="G84" s="28" t="s">
        <v>342</v>
      </c>
      <c r="H84" s="234"/>
      <c r="I84" s="234"/>
      <c r="J84" s="123">
        <v>1.0900000000000001</v>
      </c>
      <c r="K84" s="123">
        <v>1.0900000000000001</v>
      </c>
      <c r="L84" s="123">
        <v>1.0900000000000001</v>
      </c>
      <c r="M84" s="123">
        <v>1.0900000000000001</v>
      </c>
      <c r="N84" s="123">
        <v>1.0900000000000001</v>
      </c>
      <c r="O84" s="123">
        <v>1.0900000000000001</v>
      </c>
      <c r="P84" s="123">
        <v>1.0900000000000001</v>
      </c>
      <c r="Q84" s="123">
        <v>1.0569999999999999</v>
      </c>
      <c r="R84" s="123">
        <v>1.0349999999999999</v>
      </c>
      <c r="S84" s="123">
        <v>1.0900000000000001</v>
      </c>
      <c r="T84" s="123">
        <v>1.0900000000000001</v>
      </c>
      <c r="U84" s="123">
        <v>1.0900000000000001</v>
      </c>
      <c r="V84" s="123">
        <v>1.0569999999999999</v>
      </c>
      <c r="W84" s="123">
        <v>1.0349999999999999</v>
      </c>
      <c r="X84" s="123">
        <v>1.0900000000000001</v>
      </c>
      <c r="Y84" s="123">
        <v>1.0900000000000001</v>
      </c>
      <c r="Z84" s="123">
        <v>1.0900000000000001</v>
      </c>
      <c r="AA84" s="123">
        <v>1.0900000000000001</v>
      </c>
      <c r="AB84" s="123">
        <v>1.0900000000000001</v>
      </c>
      <c r="AC84" s="123">
        <v>-1.0900000000000001</v>
      </c>
      <c r="AD84" s="123">
        <v>-1.0569999999999999</v>
      </c>
      <c r="AE84" s="123">
        <v>-1.0900000000000001</v>
      </c>
      <c r="AF84" s="123">
        <v>-1.0900000000000001</v>
      </c>
      <c r="AG84" s="123">
        <v>-1.0900000000000001</v>
      </c>
      <c r="AH84" s="123">
        <v>-1.0900000000000001</v>
      </c>
      <c r="AI84" s="123">
        <v>-1.0569999999999999</v>
      </c>
      <c r="AJ84" s="123">
        <v>-1.0569999999999999</v>
      </c>
      <c r="AK84" s="123">
        <v>-1.0569999999999999</v>
      </c>
      <c r="AL84" s="123">
        <v>-1.0569999999999999</v>
      </c>
      <c r="AM84" s="123">
        <v>-1.0349999999999999</v>
      </c>
      <c r="AN84" s="123">
        <v>-1.0349999999999999</v>
      </c>
      <c r="AO84" s="123">
        <v>-1.0349999999999999</v>
      </c>
      <c r="AP84" s="123">
        <v>-1.0349999999999999</v>
      </c>
    </row>
    <row r="85" spans="3:59" x14ac:dyDescent="0.25">
      <c r="C85" s="91"/>
      <c r="F85" t="s">
        <v>231</v>
      </c>
      <c r="G85" s="28" t="s">
        <v>342</v>
      </c>
      <c r="H85" s="234"/>
      <c r="I85" s="234"/>
      <c r="J85" s="123">
        <v>1.0900000000000001</v>
      </c>
      <c r="K85" s="123">
        <v>1.0900000000000001</v>
      </c>
      <c r="L85" s="123">
        <v>1.0900000000000001</v>
      </c>
      <c r="M85" s="123">
        <v>1.0900000000000001</v>
      </c>
      <c r="N85" s="123">
        <v>1.0900000000000001</v>
      </c>
      <c r="O85" s="123">
        <v>1.0900000000000001</v>
      </c>
      <c r="P85" s="123">
        <v>1.0900000000000001</v>
      </c>
      <c r="Q85" s="123">
        <v>1.0569999999999999</v>
      </c>
      <c r="R85" s="123">
        <v>1.0349999999999999</v>
      </c>
      <c r="S85" s="123">
        <v>1.0900000000000001</v>
      </c>
      <c r="T85" s="123">
        <v>1.0900000000000001</v>
      </c>
      <c r="U85" s="123">
        <v>1.0900000000000001</v>
      </c>
      <c r="V85" s="123">
        <v>1.0569999999999999</v>
      </c>
      <c r="W85" s="123">
        <v>1.0349999999999999</v>
      </c>
      <c r="X85" s="123">
        <v>1.0900000000000001</v>
      </c>
      <c r="Y85" s="123">
        <v>1.0900000000000001</v>
      </c>
      <c r="Z85" s="123">
        <v>1.0900000000000001</v>
      </c>
      <c r="AA85" s="123">
        <v>1.0900000000000001</v>
      </c>
      <c r="AB85" s="123">
        <v>1.0900000000000001</v>
      </c>
      <c r="AC85" s="123">
        <v>-1.0900000000000001</v>
      </c>
      <c r="AD85" s="123">
        <v>-1.0569999999999999</v>
      </c>
      <c r="AE85" s="123">
        <v>-1.0900000000000001</v>
      </c>
      <c r="AF85" s="123">
        <v>-1.0900000000000001</v>
      </c>
      <c r="AG85" s="123">
        <v>-1.0900000000000001</v>
      </c>
      <c r="AH85" s="123">
        <v>-1.0900000000000001</v>
      </c>
      <c r="AI85" s="123">
        <v>-1.0569999999999999</v>
      </c>
      <c r="AJ85" s="123">
        <v>-1.0569999999999999</v>
      </c>
      <c r="AK85" s="123">
        <v>-1.0569999999999999</v>
      </c>
      <c r="AL85" s="123">
        <v>-1.0569999999999999</v>
      </c>
      <c r="AM85" s="123">
        <v>-1.0349999999999999</v>
      </c>
      <c r="AN85" s="123">
        <v>-1.0349999999999999</v>
      </c>
      <c r="AO85" s="123">
        <v>-1.0349999999999999</v>
      </c>
      <c r="AP85" s="123">
        <v>-1.0349999999999999</v>
      </c>
    </row>
    <row r="86" spans="3:59" x14ac:dyDescent="0.25">
      <c r="C86" s="91"/>
      <c r="F86" t="s">
        <v>232</v>
      </c>
      <c r="G86" s="28" t="s">
        <v>342</v>
      </c>
      <c r="H86" s="234"/>
      <c r="I86" s="234"/>
      <c r="J86" s="123">
        <v>0</v>
      </c>
      <c r="K86" s="123">
        <v>0</v>
      </c>
      <c r="L86" s="123">
        <v>0</v>
      </c>
      <c r="M86" s="123">
        <v>0</v>
      </c>
      <c r="N86" s="123">
        <v>0</v>
      </c>
      <c r="O86" s="123">
        <v>0</v>
      </c>
      <c r="P86" s="123">
        <v>0</v>
      </c>
      <c r="Q86" s="123">
        <v>0</v>
      </c>
      <c r="R86" s="123">
        <v>0</v>
      </c>
      <c r="S86" s="123">
        <v>0</v>
      </c>
      <c r="T86" s="123">
        <v>0</v>
      </c>
      <c r="U86" s="123">
        <v>0</v>
      </c>
      <c r="V86" s="123">
        <v>0</v>
      </c>
      <c r="W86" s="123">
        <v>0</v>
      </c>
      <c r="X86" s="123">
        <v>0</v>
      </c>
      <c r="Y86" s="123">
        <v>0</v>
      </c>
      <c r="Z86" s="123">
        <v>0</v>
      </c>
      <c r="AA86" s="123">
        <v>0</v>
      </c>
      <c r="AB86" s="123">
        <v>0</v>
      </c>
      <c r="AC86" s="123">
        <v>0</v>
      </c>
      <c r="AD86" s="123">
        <v>0</v>
      </c>
      <c r="AE86" s="123">
        <v>0</v>
      </c>
      <c r="AF86" s="123">
        <v>0</v>
      </c>
      <c r="AG86" s="123">
        <v>0</v>
      </c>
      <c r="AH86" s="123">
        <v>0</v>
      </c>
      <c r="AI86" s="123">
        <v>0</v>
      </c>
      <c r="AJ86" s="123">
        <v>0</v>
      </c>
      <c r="AK86" s="123">
        <v>0</v>
      </c>
      <c r="AL86" s="123">
        <v>0</v>
      </c>
      <c r="AM86" s="123">
        <v>0</v>
      </c>
      <c r="AN86" s="123">
        <v>0</v>
      </c>
      <c r="AO86" s="123">
        <v>0</v>
      </c>
      <c r="AP86" s="123">
        <v>0</v>
      </c>
    </row>
    <row r="87" spans="3:59" x14ac:dyDescent="0.25">
      <c r="C87" s="91"/>
      <c r="F87" t="s">
        <v>233</v>
      </c>
      <c r="G87" s="28" t="s">
        <v>342</v>
      </c>
      <c r="H87" s="234"/>
      <c r="I87" s="234"/>
      <c r="J87" s="123">
        <v>1.0900000000000001</v>
      </c>
      <c r="K87" s="123">
        <v>1.0900000000000001</v>
      </c>
      <c r="L87" s="123">
        <v>1.0900000000000001</v>
      </c>
      <c r="M87" s="123">
        <v>1.0900000000000001</v>
      </c>
      <c r="N87" s="123">
        <v>1.0900000000000001</v>
      </c>
      <c r="O87" s="123">
        <v>1.0900000000000001</v>
      </c>
      <c r="P87" s="123">
        <v>1.0900000000000001</v>
      </c>
      <c r="Q87" s="123">
        <v>1.0569999999999999</v>
      </c>
      <c r="R87" s="123">
        <v>1.0349999999999999</v>
      </c>
      <c r="S87" s="123">
        <v>1.0900000000000001</v>
      </c>
      <c r="T87" s="123">
        <v>1.0900000000000001</v>
      </c>
      <c r="U87" s="123">
        <v>1.0900000000000001</v>
      </c>
      <c r="V87" s="123">
        <v>1.0569999999999999</v>
      </c>
      <c r="W87" s="123">
        <v>1.0349999999999999</v>
      </c>
      <c r="X87" s="123">
        <v>1.0900000000000001</v>
      </c>
      <c r="Y87" s="123">
        <v>1.0900000000000001</v>
      </c>
      <c r="Z87" s="123">
        <v>1.0900000000000001</v>
      </c>
      <c r="AA87" s="123">
        <v>1.0900000000000001</v>
      </c>
      <c r="AB87" s="123">
        <v>1.0900000000000001</v>
      </c>
      <c r="AC87" s="123">
        <v>-1.0900000000000001</v>
      </c>
      <c r="AD87" s="123">
        <v>-1.0569999999999999</v>
      </c>
      <c r="AE87" s="123">
        <v>-1.0900000000000001</v>
      </c>
      <c r="AF87" s="123">
        <v>-1.0900000000000001</v>
      </c>
      <c r="AG87" s="123">
        <v>-1.0900000000000001</v>
      </c>
      <c r="AH87" s="123">
        <v>-1.0900000000000001</v>
      </c>
      <c r="AI87" s="123">
        <v>-1.0569999999999999</v>
      </c>
      <c r="AJ87" s="123">
        <v>-1.0569999999999999</v>
      </c>
      <c r="AK87" s="123">
        <v>-1.0569999999999999</v>
      </c>
      <c r="AL87" s="123">
        <v>-1.0569999999999999</v>
      </c>
      <c r="AM87" s="123">
        <v>0</v>
      </c>
      <c r="AN87" s="123">
        <v>0</v>
      </c>
      <c r="AO87" s="123">
        <v>0</v>
      </c>
      <c r="AP87" s="123">
        <v>0</v>
      </c>
    </row>
    <row r="88" spans="3:59" x14ac:dyDescent="0.25">
      <c r="C88" s="91"/>
      <c r="F88" t="s">
        <v>234</v>
      </c>
      <c r="G88" s="28" t="s">
        <v>342</v>
      </c>
      <c r="H88" s="234"/>
      <c r="I88" s="234"/>
      <c r="J88" s="123">
        <v>1.0900000000000001</v>
      </c>
      <c r="K88" s="123">
        <v>1.0900000000000001</v>
      </c>
      <c r="L88" s="123">
        <v>1.0900000000000001</v>
      </c>
      <c r="M88" s="123">
        <v>1.0900000000000001</v>
      </c>
      <c r="N88" s="123">
        <v>1.0900000000000001</v>
      </c>
      <c r="O88" s="123">
        <v>1.0900000000000001</v>
      </c>
      <c r="P88" s="123">
        <v>1.0900000000000001</v>
      </c>
      <c r="Q88" s="123">
        <v>1.0569999999999999</v>
      </c>
      <c r="R88" s="123">
        <v>0</v>
      </c>
      <c r="S88" s="123">
        <v>1.0900000000000001</v>
      </c>
      <c r="T88" s="123">
        <v>1.0900000000000001</v>
      </c>
      <c r="U88" s="123">
        <v>1.0900000000000001</v>
      </c>
      <c r="V88" s="123">
        <v>1.0569999999999999</v>
      </c>
      <c r="W88" s="123">
        <v>0</v>
      </c>
      <c r="X88" s="123">
        <v>1.0900000000000001</v>
      </c>
      <c r="Y88" s="123">
        <v>1.0900000000000001</v>
      </c>
      <c r="Z88" s="123">
        <v>1.0900000000000001</v>
      </c>
      <c r="AA88" s="123">
        <v>1.0900000000000001</v>
      </c>
      <c r="AB88" s="123">
        <v>1.0900000000000001</v>
      </c>
      <c r="AC88" s="123">
        <v>-1.0900000000000001</v>
      </c>
      <c r="AD88" s="123">
        <v>0</v>
      </c>
      <c r="AE88" s="123">
        <v>-1.0900000000000001</v>
      </c>
      <c r="AF88" s="123">
        <v>-1.0900000000000001</v>
      </c>
      <c r="AG88" s="123">
        <v>-1.0900000000000001</v>
      </c>
      <c r="AH88" s="123">
        <v>-1.0900000000000001</v>
      </c>
      <c r="AI88" s="123">
        <v>0</v>
      </c>
      <c r="AJ88" s="123">
        <v>0</v>
      </c>
      <c r="AK88" s="123">
        <v>0</v>
      </c>
      <c r="AL88" s="123">
        <v>0</v>
      </c>
      <c r="AM88" s="123">
        <v>0</v>
      </c>
      <c r="AN88" s="123">
        <v>0</v>
      </c>
      <c r="AO88" s="123">
        <v>0</v>
      </c>
      <c r="AP88" s="123">
        <v>0</v>
      </c>
    </row>
    <row r="89" spans="3:59" x14ac:dyDescent="0.25">
      <c r="C89" s="91"/>
      <c r="F89" t="s">
        <v>235</v>
      </c>
      <c r="G89" s="28" t="s">
        <v>342</v>
      </c>
      <c r="H89" s="234"/>
      <c r="I89" s="234"/>
      <c r="J89" s="123">
        <v>1.0900000000000001</v>
      </c>
      <c r="K89" s="123">
        <v>1.0900000000000001</v>
      </c>
      <c r="L89" s="123">
        <v>1.0900000000000001</v>
      </c>
      <c r="M89" s="123">
        <v>1.0900000000000001</v>
      </c>
      <c r="N89" s="123">
        <v>1.0900000000000001</v>
      </c>
      <c r="O89" s="123">
        <v>1.0900000000000001</v>
      </c>
      <c r="P89" s="123">
        <v>1.0900000000000001</v>
      </c>
      <c r="Q89" s="123">
        <v>0</v>
      </c>
      <c r="R89" s="123">
        <v>0</v>
      </c>
      <c r="S89" s="123">
        <v>1.0900000000000001</v>
      </c>
      <c r="T89" s="123">
        <v>1.0900000000000001</v>
      </c>
      <c r="U89" s="123">
        <v>1.0900000000000001</v>
      </c>
      <c r="V89" s="123">
        <v>0</v>
      </c>
      <c r="W89" s="123">
        <v>0</v>
      </c>
      <c r="X89" s="123">
        <v>1.0900000000000001</v>
      </c>
      <c r="Y89" s="123">
        <v>1.0900000000000001</v>
      </c>
      <c r="Z89" s="123">
        <v>1.0900000000000001</v>
      </c>
      <c r="AA89" s="123">
        <v>1.0900000000000001</v>
      </c>
      <c r="AB89" s="123">
        <v>1.0900000000000001</v>
      </c>
      <c r="AC89" s="123">
        <v>0</v>
      </c>
      <c r="AD89" s="123">
        <v>0</v>
      </c>
      <c r="AE89" s="123">
        <v>0</v>
      </c>
      <c r="AF89" s="123">
        <v>0</v>
      </c>
      <c r="AG89" s="123">
        <v>0</v>
      </c>
      <c r="AH89" s="123">
        <v>0</v>
      </c>
      <c r="AI89" s="123">
        <v>0</v>
      </c>
      <c r="AJ89" s="123">
        <v>0</v>
      </c>
      <c r="AK89" s="123">
        <v>0</v>
      </c>
      <c r="AL89" s="123">
        <v>0</v>
      </c>
      <c r="AM89" s="123">
        <v>0</v>
      </c>
      <c r="AN89" s="123">
        <v>0</v>
      </c>
      <c r="AO89" s="123">
        <v>0</v>
      </c>
      <c r="AP89" s="123">
        <v>0</v>
      </c>
    </row>
    <row r="90" spans="3:59" x14ac:dyDescent="0.25">
      <c r="C90" s="91"/>
      <c r="F90" t="s">
        <v>436</v>
      </c>
      <c r="G90" s="28" t="s">
        <v>342</v>
      </c>
      <c r="J90" s="79"/>
      <c r="K90" s="79"/>
      <c r="L90" s="79"/>
      <c r="M90" s="79"/>
      <c r="N90" s="79"/>
      <c r="O90" s="79"/>
      <c r="P90" s="79"/>
      <c r="Q90" s="79"/>
      <c r="R90" s="79"/>
      <c r="S90" s="79"/>
      <c r="T90" s="79"/>
      <c r="U90" s="79"/>
      <c r="V90" s="79"/>
      <c r="W90" s="79"/>
      <c r="X90" s="79"/>
      <c r="Y90" s="79"/>
      <c r="Z90" s="79"/>
      <c r="AA90" s="79"/>
      <c r="AB90" s="79"/>
      <c r="AC90" s="79"/>
      <c r="AD90" s="79"/>
      <c r="AE90" s="79"/>
      <c r="AF90" s="79"/>
      <c r="AG90" s="79"/>
      <c r="AH90" s="79"/>
      <c r="AI90" s="79"/>
      <c r="AJ90" s="79"/>
      <c r="AK90" s="79"/>
      <c r="AL90" s="79"/>
      <c r="AM90" s="79"/>
      <c r="AN90" s="79"/>
      <c r="AO90" s="79"/>
      <c r="AP90" s="79"/>
    </row>
    <row r="91" spans="3:59" x14ac:dyDescent="0.25">
      <c r="C91" s="91"/>
      <c r="F91" s="37" t="s">
        <v>437</v>
      </c>
      <c r="G91" s="67" t="s">
        <v>342</v>
      </c>
      <c r="H91" s="37"/>
      <c r="I91" s="37"/>
      <c r="J91" s="81"/>
      <c r="K91" s="81"/>
      <c r="L91" s="81"/>
      <c r="M91" s="81"/>
      <c r="N91" s="81"/>
      <c r="O91" s="81"/>
      <c r="P91" s="81"/>
      <c r="Q91" s="81"/>
      <c r="R91" s="81"/>
      <c r="S91" s="81"/>
      <c r="T91" s="81"/>
      <c r="U91" s="81"/>
      <c r="V91" s="81"/>
      <c r="W91" s="81"/>
      <c r="X91" s="81"/>
      <c r="Y91" s="81"/>
      <c r="Z91" s="81"/>
      <c r="AA91" s="81"/>
      <c r="AB91" s="81"/>
      <c r="AC91" s="81"/>
      <c r="AD91" s="81"/>
      <c r="AE91" s="81"/>
      <c r="AF91" s="81"/>
      <c r="AG91" s="81"/>
      <c r="AH91" s="81"/>
      <c r="AI91" s="81"/>
      <c r="AJ91" s="81"/>
      <c r="AK91" s="81"/>
      <c r="AL91" s="81"/>
      <c r="AM91" s="81"/>
      <c r="AN91" s="81"/>
      <c r="AO91" s="81"/>
      <c r="AP91" s="81"/>
    </row>
    <row r="92" spans="3:59" x14ac:dyDescent="0.25">
      <c r="C92" s="91"/>
      <c r="F92" s="2"/>
    </row>
    <row r="93" spans="3:59" x14ac:dyDescent="0.25">
      <c r="D93"/>
      <c r="E93" s="32" t="s">
        <v>121</v>
      </c>
      <c r="H93" s="14"/>
      <c r="J93" s="63"/>
      <c r="K93" s="63"/>
      <c r="L93" s="63"/>
      <c r="M93" s="63"/>
      <c r="N93" s="63"/>
      <c r="O93" s="63"/>
      <c r="P93" s="63"/>
      <c r="Q93" s="63"/>
      <c r="R93" s="63"/>
      <c r="S93" s="63"/>
      <c r="BG93" s="3"/>
    </row>
    <row r="94" spans="3:59" x14ac:dyDescent="0.25">
      <c r="C94" s="32"/>
      <c r="D94"/>
      <c r="E94"/>
      <c r="F94" s="23" t="s">
        <v>227</v>
      </c>
      <c r="G94" s="23" t="s">
        <v>203</v>
      </c>
      <c r="H94" s="132"/>
      <c r="I94" s="23"/>
      <c r="J94" s="110">
        <f>'Standing charge factors'!J44</f>
        <v>0</v>
      </c>
      <c r="K94" s="110">
        <f>'Standing charge factors'!K44</f>
        <v>0</v>
      </c>
      <c r="L94" s="110">
        <f>'Standing charge factors'!L44</f>
        <v>0</v>
      </c>
      <c r="M94" s="110">
        <f>'Standing charge factors'!M44</f>
        <v>0</v>
      </c>
      <c r="N94" s="110">
        <f>'Standing charge factors'!N44</f>
        <v>0</v>
      </c>
      <c r="O94" s="110">
        <f>'Standing charge factors'!O44</f>
        <v>0</v>
      </c>
      <c r="P94" s="110">
        <f>'Standing charge factors'!P44</f>
        <v>0</v>
      </c>
      <c r="Q94" s="110">
        <f>'Standing charge factors'!Q44</f>
        <v>0</v>
      </c>
      <c r="R94" s="110">
        <f>'Standing charge factors'!R44</f>
        <v>0</v>
      </c>
      <c r="S94" s="110">
        <f>'Standing charge factors'!S44</f>
        <v>0</v>
      </c>
      <c r="T94" s="110">
        <f>'Standing charge factors'!T44</f>
        <v>0</v>
      </c>
      <c r="U94" s="110">
        <f>'Standing charge factors'!U44</f>
        <v>0</v>
      </c>
      <c r="V94" s="110">
        <f>'Standing charge factors'!V44</f>
        <v>0</v>
      </c>
      <c r="W94" s="110">
        <f>'Standing charge factors'!W44</f>
        <v>0</v>
      </c>
      <c r="X94" s="110">
        <f>'Standing charge factors'!X44</f>
        <v>0</v>
      </c>
      <c r="Y94" s="110">
        <f>'Standing charge factors'!Y44</f>
        <v>0</v>
      </c>
      <c r="Z94" s="110">
        <f>'Standing charge factors'!Z44</f>
        <v>0</v>
      </c>
      <c r="AA94" s="110">
        <f>'Standing charge factors'!AA44</f>
        <v>0</v>
      </c>
      <c r="AB94" s="110">
        <f>'Standing charge factors'!AB44</f>
        <v>0</v>
      </c>
      <c r="AC94" s="110">
        <f>'Standing charge factors'!AC44</f>
        <v>0</v>
      </c>
      <c r="AD94" s="110">
        <f>'Standing charge factors'!AD44</f>
        <v>0</v>
      </c>
      <c r="AE94" s="110">
        <f>'Standing charge factors'!AE44</f>
        <v>0</v>
      </c>
      <c r="AF94" s="110">
        <f>'Standing charge factors'!AF44</f>
        <v>0</v>
      </c>
      <c r="AG94" s="110">
        <f>'Standing charge factors'!AG44</f>
        <v>0</v>
      </c>
      <c r="AH94" s="110">
        <f>'Standing charge factors'!AH44</f>
        <v>0</v>
      </c>
      <c r="AI94" s="110">
        <f>'Standing charge factors'!AI44</f>
        <v>0</v>
      </c>
      <c r="AJ94" s="110">
        <f>'Standing charge factors'!AJ44</f>
        <v>0</v>
      </c>
      <c r="AK94" s="110">
        <f>'Standing charge factors'!AK44</f>
        <v>0</v>
      </c>
      <c r="AL94" s="110">
        <f>'Standing charge factors'!AL44</f>
        <v>0</v>
      </c>
      <c r="AM94" s="110">
        <f>'Standing charge factors'!AM44</f>
        <v>0</v>
      </c>
      <c r="AN94" s="110">
        <f>'Standing charge factors'!AN44</f>
        <v>0</v>
      </c>
      <c r="AO94" s="110">
        <f>'Standing charge factors'!AO44</f>
        <v>0</v>
      </c>
      <c r="AP94" s="110">
        <f>'Standing charge factors'!AP44</f>
        <v>0</v>
      </c>
      <c r="BG94" s="3"/>
    </row>
    <row r="95" spans="3:59" x14ac:dyDescent="0.25">
      <c r="C95" s="32"/>
      <c r="D95"/>
      <c r="E95"/>
      <c r="F95" t="s">
        <v>228</v>
      </c>
      <c r="G95" t="s">
        <v>203</v>
      </c>
      <c r="H95" s="63"/>
      <c r="J95" s="25">
        <f>'Standing charge factors'!J45</f>
        <v>0</v>
      </c>
      <c r="K95" s="25">
        <f>'Standing charge factors'!K45</f>
        <v>0</v>
      </c>
      <c r="L95" s="25">
        <f>'Standing charge factors'!L45</f>
        <v>0</v>
      </c>
      <c r="M95" s="25">
        <f>'Standing charge factors'!M45</f>
        <v>0</v>
      </c>
      <c r="N95" s="25">
        <f>'Standing charge factors'!N45</f>
        <v>0</v>
      </c>
      <c r="O95" s="25">
        <f>'Standing charge factors'!O45</f>
        <v>0</v>
      </c>
      <c r="P95" s="25">
        <f>'Standing charge factors'!P45</f>
        <v>0</v>
      </c>
      <c r="Q95" s="25">
        <f>'Standing charge factors'!Q45</f>
        <v>0</v>
      </c>
      <c r="R95" s="25">
        <f>'Standing charge factors'!R45</f>
        <v>0</v>
      </c>
      <c r="S95" s="25">
        <f>'Standing charge factors'!S45</f>
        <v>0</v>
      </c>
      <c r="T95" s="25">
        <f>'Standing charge factors'!T45</f>
        <v>0</v>
      </c>
      <c r="U95" s="25">
        <f>'Standing charge factors'!U45</f>
        <v>0</v>
      </c>
      <c r="V95" s="25">
        <f>'Standing charge factors'!V45</f>
        <v>0</v>
      </c>
      <c r="W95" s="25">
        <f>'Standing charge factors'!W45</f>
        <v>0</v>
      </c>
      <c r="X95" s="25">
        <f>'Standing charge factors'!X45</f>
        <v>0</v>
      </c>
      <c r="Y95" s="25">
        <f>'Standing charge factors'!Y45</f>
        <v>0</v>
      </c>
      <c r="Z95" s="25">
        <f>'Standing charge factors'!Z45</f>
        <v>0</v>
      </c>
      <c r="AA95" s="25">
        <f>'Standing charge factors'!AA45</f>
        <v>0</v>
      </c>
      <c r="AB95" s="25">
        <f>'Standing charge factors'!AB45</f>
        <v>0</v>
      </c>
      <c r="AC95" s="25">
        <f>'Standing charge factors'!AC45</f>
        <v>0</v>
      </c>
      <c r="AD95" s="25">
        <f>'Standing charge factors'!AD45</f>
        <v>0</v>
      </c>
      <c r="AE95" s="25">
        <f>'Standing charge factors'!AE45</f>
        <v>0</v>
      </c>
      <c r="AF95" s="25">
        <f>'Standing charge factors'!AF45</f>
        <v>0</v>
      </c>
      <c r="AG95" s="25">
        <f>'Standing charge factors'!AG45</f>
        <v>0</v>
      </c>
      <c r="AH95" s="25">
        <f>'Standing charge factors'!AH45</f>
        <v>0</v>
      </c>
      <c r="AI95" s="25">
        <f>'Standing charge factors'!AI45</f>
        <v>0</v>
      </c>
      <c r="AJ95" s="25">
        <f>'Standing charge factors'!AJ45</f>
        <v>0</v>
      </c>
      <c r="AK95" s="25">
        <f>'Standing charge factors'!AK45</f>
        <v>0</v>
      </c>
      <c r="AL95" s="25">
        <f>'Standing charge factors'!AL45</f>
        <v>0</v>
      </c>
      <c r="AM95" s="25">
        <f>'Standing charge factors'!AM45</f>
        <v>0</v>
      </c>
      <c r="AN95" s="25">
        <f>'Standing charge factors'!AN45</f>
        <v>0</v>
      </c>
      <c r="AO95" s="25">
        <f>'Standing charge factors'!AO45</f>
        <v>0</v>
      </c>
      <c r="AP95" s="25">
        <f>'Standing charge factors'!AP45</f>
        <v>0</v>
      </c>
      <c r="BG95" s="3"/>
    </row>
    <row r="96" spans="3:59" x14ac:dyDescent="0.25">
      <c r="C96" s="32"/>
      <c r="D96"/>
      <c r="E96"/>
      <c r="F96" t="s">
        <v>229</v>
      </c>
      <c r="G96" t="s">
        <v>203</v>
      </c>
      <c r="H96" s="63"/>
      <c r="J96" s="25">
        <f>'Standing charge factors'!J46</f>
        <v>0</v>
      </c>
      <c r="K96" s="25">
        <f>'Standing charge factors'!K46</f>
        <v>0</v>
      </c>
      <c r="L96" s="25">
        <f>'Standing charge factors'!L46</f>
        <v>0</v>
      </c>
      <c r="M96" s="25">
        <f>'Standing charge factors'!M46</f>
        <v>0</v>
      </c>
      <c r="N96" s="25">
        <f>'Standing charge factors'!N46</f>
        <v>0</v>
      </c>
      <c r="O96" s="25">
        <f>'Standing charge factors'!O46</f>
        <v>0</v>
      </c>
      <c r="P96" s="25">
        <f>'Standing charge factors'!P46</f>
        <v>0</v>
      </c>
      <c r="Q96" s="25">
        <f>'Standing charge factors'!Q46</f>
        <v>0</v>
      </c>
      <c r="R96" s="25">
        <f>'Standing charge factors'!R46</f>
        <v>0</v>
      </c>
      <c r="S96" s="25">
        <f>'Standing charge factors'!S46</f>
        <v>0</v>
      </c>
      <c r="T96" s="25">
        <f>'Standing charge factors'!T46</f>
        <v>0</v>
      </c>
      <c r="U96" s="25">
        <f>'Standing charge factors'!U46</f>
        <v>0</v>
      </c>
      <c r="V96" s="25">
        <f>'Standing charge factors'!V46</f>
        <v>0</v>
      </c>
      <c r="W96" s="25">
        <f>'Standing charge factors'!W46</f>
        <v>0</v>
      </c>
      <c r="X96" s="25">
        <f>'Standing charge factors'!X46</f>
        <v>0</v>
      </c>
      <c r="Y96" s="25">
        <f>'Standing charge factors'!Y46</f>
        <v>0</v>
      </c>
      <c r="Z96" s="25">
        <f>'Standing charge factors'!Z46</f>
        <v>0</v>
      </c>
      <c r="AA96" s="25">
        <f>'Standing charge factors'!AA46</f>
        <v>0</v>
      </c>
      <c r="AB96" s="25">
        <f>'Standing charge factors'!AB46</f>
        <v>0</v>
      </c>
      <c r="AC96" s="25">
        <f>'Standing charge factors'!AC46</f>
        <v>0</v>
      </c>
      <c r="AD96" s="25">
        <f>'Standing charge factors'!AD46</f>
        <v>0</v>
      </c>
      <c r="AE96" s="25">
        <f>'Standing charge factors'!AE46</f>
        <v>0</v>
      </c>
      <c r="AF96" s="25">
        <f>'Standing charge factors'!AF46</f>
        <v>0</v>
      </c>
      <c r="AG96" s="25">
        <f>'Standing charge factors'!AG46</f>
        <v>0</v>
      </c>
      <c r="AH96" s="25">
        <f>'Standing charge factors'!AH46</f>
        <v>0</v>
      </c>
      <c r="AI96" s="25">
        <f>'Standing charge factors'!AI46</f>
        <v>0</v>
      </c>
      <c r="AJ96" s="25">
        <f>'Standing charge factors'!AJ46</f>
        <v>0</v>
      </c>
      <c r="AK96" s="25">
        <f>'Standing charge factors'!AK46</f>
        <v>0</v>
      </c>
      <c r="AL96" s="25">
        <f>'Standing charge factors'!AL46</f>
        <v>0</v>
      </c>
      <c r="AM96" s="25">
        <f>'Standing charge factors'!AM46</f>
        <v>0</v>
      </c>
      <c r="AN96" s="25">
        <f>'Standing charge factors'!AN46</f>
        <v>0</v>
      </c>
      <c r="AO96" s="25">
        <f>'Standing charge factors'!AO46</f>
        <v>0</v>
      </c>
      <c r="AP96" s="25">
        <f>'Standing charge factors'!AP46</f>
        <v>0</v>
      </c>
      <c r="BG96" s="3"/>
    </row>
    <row r="97" spans="3:59" x14ac:dyDescent="0.25">
      <c r="C97" s="32"/>
      <c r="D97"/>
      <c r="E97"/>
      <c r="F97" t="s">
        <v>230</v>
      </c>
      <c r="G97" t="s">
        <v>203</v>
      </c>
      <c r="H97" s="63"/>
      <c r="J97" s="25">
        <f>'Standing charge factors'!J47</f>
        <v>0</v>
      </c>
      <c r="K97" s="25">
        <f>'Standing charge factors'!K47</f>
        <v>0</v>
      </c>
      <c r="L97" s="25">
        <f>'Standing charge factors'!L47</f>
        <v>0</v>
      </c>
      <c r="M97" s="25">
        <f>'Standing charge factors'!M47</f>
        <v>0</v>
      </c>
      <c r="N97" s="25">
        <f>'Standing charge factors'!N47</f>
        <v>0</v>
      </c>
      <c r="O97" s="25">
        <f>'Standing charge factors'!O47</f>
        <v>0</v>
      </c>
      <c r="P97" s="25">
        <f>'Standing charge factors'!P47</f>
        <v>0</v>
      </c>
      <c r="Q97" s="25">
        <f>'Standing charge factors'!Q47</f>
        <v>0</v>
      </c>
      <c r="R97" s="25">
        <f>'Standing charge factors'!R47</f>
        <v>0.2</v>
      </c>
      <c r="S97" s="25">
        <f>'Standing charge factors'!S47</f>
        <v>0</v>
      </c>
      <c r="T97" s="25">
        <f>'Standing charge factors'!T47</f>
        <v>0</v>
      </c>
      <c r="U97" s="25">
        <f>'Standing charge factors'!U47</f>
        <v>0</v>
      </c>
      <c r="V97" s="25">
        <f>'Standing charge factors'!V47</f>
        <v>0</v>
      </c>
      <c r="W97" s="25">
        <f>'Standing charge factors'!W47</f>
        <v>0.2</v>
      </c>
      <c r="X97" s="25">
        <f>'Standing charge factors'!X47</f>
        <v>0</v>
      </c>
      <c r="Y97" s="25">
        <f>'Standing charge factors'!Y47</f>
        <v>0</v>
      </c>
      <c r="Z97" s="25">
        <f>'Standing charge factors'!Z47</f>
        <v>0</v>
      </c>
      <c r="AA97" s="25">
        <f>'Standing charge factors'!AA47</f>
        <v>0</v>
      </c>
      <c r="AB97" s="25">
        <f>'Standing charge factors'!AB47</f>
        <v>0</v>
      </c>
      <c r="AC97" s="25">
        <f>'Standing charge factors'!AC47</f>
        <v>0</v>
      </c>
      <c r="AD97" s="25">
        <f>'Standing charge factors'!AD47</f>
        <v>0</v>
      </c>
      <c r="AE97" s="25">
        <f>'Standing charge factors'!AE47</f>
        <v>0</v>
      </c>
      <c r="AF97" s="25">
        <f>'Standing charge factors'!AF47</f>
        <v>0</v>
      </c>
      <c r="AG97" s="25">
        <f>'Standing charge factors'!AG47</f>
        <v>0</v>
      </c>
      <c r="AH97" s="25">
        <f>'Standing charge factors'!AH47</f>
        <v>0</v>
      </c>
      <c r="AI97" s="25">
        <f>'Standing charge factors'!AI47</f>
        <v>0</v>
      </c>
      <c r="AJ97" s="25">
        <f>'Standing charge factors'!AJ47</f>
        <v>0</v>
      </c>
      <c r="AK97" s="25">
        <f>'Standing charge factors'!AK47</f>
        <v>0</v>
      </c>
      <c r="AL97" s="25">
        <f>'Standing charge factors'!AL47</f>
        <v>0</v>
      </c>
      <c r="AM97" s="25">
        <f>'Standing charge factors'!AM47</f>
        <v>0</v>
      </c>
      <c r="AN97" s="25">
        <f>'Standing charge factors'!AN47</f>
        <v>0</v>
      </c>
      <c r="AO97" s="25">
        <f>'Standing charge factors'!AO47</f>
        <v>0</v>
      </c>
      <c r="AP97" s="25">
        <f>'Standing charge factors'!AP47</f>
        <v>0</v>
      </c>
      <c r="BG97" s="3"/>
    </row>
    <row r="98" spans="3:59" x14ac:dyDescent="0.25">
      <c r="C98" s="32"/>
      <c r="D98"/>
      <c r="E98"/>
      <c r="F98" t="s">
        <v>231</v>
      </c>
      <c r="G98" t="s">
        <v>203</v>
      </c>
      <c r="H98" s="63"/>
      <c r="J98" s="25">
        <f>'Standing charge factors'!J48</f>
        <v>0</v>
      </c>
      <c r="K98" s="25">
        <f>'Standing charge factors'!K48</f>
        <v>0</v>
      </c>
      <c r="L98" s="25">
        <f>'Standing charge factors'!L48</f>
        <v>0</v>
      </c>
      <c r="M98" s="25">
        <f>'Standing charge factors'!M48</f>
        <v>0</v>
      </c>
      <c r="N98" s="25">
        <f>'Standing charge factors'!N48</f>
        <v>0</v>
      </c>
      <c r="O98" s="25">
        <f>'Standing charge factors'!O48</f>
        <v>0</v>
      </c>
      <c r="P98" s="25">
        <f>'Standing charge factors'!P48</f>
        <v>0</v>
      </c>
      <c r="Q98" s="25">
        <f>'Standing charge factors'!Q48</f>
        <v>0</v>
      </c>
      <c r="R98" s="25">
        <f>'Standing charge factors'!R48</f>
        <v>1</v>
      </c>
      <c r="S98" s="25">
        <f>'Standing charge factors'!S48</f>
        <v>0</v>
      </c>
      <c r="T98" s="25">
        <f>'Standing charge factors'!T48</f>
        <v>0</v>
      </c>
      <c r="U98" s="25">
        <f>'Standing charge factors'!U48</f>
        <v>0</v>
      </c>
      <c r="V98" s="25">
        <f>'Standing charge factors'!V48</f>
        <v>0</v>
      </c>
      <c r="W98" s="25">
        <f>'Standing charge factors'!W48</f>
        <v>1</v>
      </c>
      <c r="X98" s="25">
        <f>'Standing charge factors'!X48</f>
        <v>0</v>
      </c>
      <c r="Y98" s="25">
        <f>'Standing charge factors'!Y48</f>
        <v>0</v>
      </c>
      <c r="Z98" s="25">
        <f>'Standing charge factors'!Z48</f>
        <v>0</v>
      </c>
      <c r="AA98" s="25">
        <f>'Standing charge factors'!AA48</f>
        <v>0</v>
      </c>
      <c r="AB98" s="25">
        <f>'Standing charge factors'!AB48</f>
        <v>0</v>
      </c>
      <c r="AC98" s="25">
        <f>'Standing charge factors'!AC48</f>
        <v>0</v>
      </c>
      <c r="AD98" s="25">
        <f>'Standing charge factors'!AD48</f>
        <v>0</v>
      </c>
      <c r="AE98" s="25">
        <f>'Standing charge factors'!AE48</f>
        <v>0</v>
      </c>
      <c r="AF98" s="25">
        <f>'Standing charge factors'!AF48</f>
        <v>0</v>
      </c>
      <c r="AG98" s="25">
        <f>'Standing charge factors'!AG48</f>
        <v>0</v>
      </c>
      <c r="AH98" s="25">
        <f>'Standing charge factors'!AH48</f>
        <v>0</v>
      </c>
      <c r="AI98" s="25">
        <f>'Standing charge factors'!AI48</f>
        <v>0</v>
      </c>
      <c r="AJ98" s="25">
        <f>'Standing charge factors'!AJ48</f>
        <v>0</v>
      </c>
      <c r="AK98" s="25">
        <f>'Standing charge factors'!AK48</f>
        <v>0</v>
      </c>
      <c r="AL98" s="25">
        <f>'Standing charge factors'!AL48</f>
        <v>0</v>
      </c>
      <c r="AM98" s="25">
        <f>'Standing charge factors'!AM48</f>
        <v>0</v>
      </c>
      <c r="AN98" s="25">
        <f>'Standing charge factors'!AN48</f>
        <v>0</v>
      </c>
      <c r="AO98" s="25">
        <f>'Standing charge factors'!AO48</f>
        <v>0</v>
      </c>
      <c r="AP98" s="25">
        <f>'Standing charge factors'!AP48</f>
        <v>0</v>
      </c>
      <c r="BG98" s="3"/>
    </row>
    <row r="99" spans="3:59" x14ac:dyDescent="0.25">
      <c r="C99" s="32"/>
      <c r="D99"/>
      <c r="E99"/>
      <c r="F99" t="s">
        <v>232</v>
      </c>
      <c r="G99" t="s">
        <v>203</v>
      </c>
      <c r="H99" s="63"/>
      <c r="J99" s="25">
        <f>'Standing charge factors'!J49</f>
        <v>0</v>
      </c>
      <c r="K99" s="25">
        <f>'Standing charge factors'!K49</f>
        <v>0</v>
      </c>
      <c r="L99" s="25">
        <f>'Standing charge factors'!L49</f>
        <v>0</v>
      </c>
      <c r="M99" s="25">
        <f>'Standing charge factors'!M49</f>
        <v>0</v>
      </c>
      <c r="N99" s="25">
        <f>'Standing charge factors'!N49</f>
        <v>0</v>
      </c>
      <c r="O99" s="25">
        <f>'Standing charge factors'!O49</f>
        <v>0</v>
      </c>
      <c r="P99" s="25">
        <f>'Standing charge factors'!P49</f>
        <v>0</v>
      </c>
      <c r="Q99" s="25">
        <f>'Standing charge factors'!Q49</f>
        <v>0</v>
      </c>
      <c r="R99" s="25">
        <f>'Standing charge factors'!R49</f>
        <v>1</v>
      </c>
      <c r="S99" s="25">
        <f>'Standing charge factors'!S49</f>
        <v>0</v>
      </c>
      <c r="T99" s="25">
        <f>'Standing charge factors'!T49</f>
        <v>0</v>
      </c>
      <c r="U99" s="25">
        <f>'Standing charge factors'!U49</f>
        <v>0</v>
      </c>
      <c r="V99" s="25">
        <f>'Standing charge factors'!V49</f>
        <v>0</v>
      </c>
      <c r="W99" s="25">
        <f>'Standing charge factors'!W49</f>
        <v>1</v>
      </c>
      <c r="X99" s="25">
        <f>'Standing charge factors'!X49</f>
        <v>0</v>
      </c>
      <c r="Y99" s="25">
        <f>'Standing charge factors'!Y49</f>
        <v>0</v>
      </c>
      <c r="Z99" s="25">
        <f>'Standing charge factors'!Z49</f>
        <v>0</v>
      </c>
      <c r="AA99" s="25">
        <f>'Standing charge factors'!AA49</f>
        <v>0</v>
      </c>
      <c r="AB99" s="25">
        <f>'Standing charge factors'!AB49</f>
        <v>0</v>
      </c>
      <c r="AC99" s="25">
        <f>'Standing charge factors'!AC49</f>
        <v>0</v>
      </c>
      <c r="AD99" s="25">
        <f>'Standing charge factors'!AD49</f>
        <v>0</v>
      </c>
      <c r="AE99" s="25">
        <f>'Standing charge factors'!AE49</f>
        <v>0</v>
      </c>
      <c r="AF99" s="25">
        <f>'Standing charge factors'!AF49</f>
        <v>0</v>
      </c>
      <c r="AG99" s="25">
        <f>'Standing charge factors'!AG49</f>
        <v>0</v>
      </c>
      <c r="AH99" s="25">
        <f>'Standing charge factors'!AH49</f>
        <v>0</v>
      </c>
      <c r="AI99" s="25">
        <f>'Standing charge factors'!AI49</f>
        <v>0</v>
      </c>
      <c r="AJ99" s="25">
        <f>'Standing charge factors'!AJ49</f>
        <v>0</v>
      </c>
      <c r="AK99" s="25">
        <f>'Standing charge factors'!AK49</f>
        <v>0</v>
      </c>
      <c r="AL99" s="25">
        <f>'Standing charge factors'!AL49</f>
        <v>0</v>
      </c>
      <c r="AM99" s="25">
        <f>'Standing charge factors'!AM49</f>
        <v>0</v>
      </c>
      <c r="AN99" s="25">
        <f>'Standing charge factors'!AN49</f>
        <v>0</v>
      </c>
      <c r="AO99" s="25">
        <f>'Standing charge factors'!AO49</f>
        <v>0</v>
      </c>
      <c r="AP99" s="25">
        <f>'Standing charge factors'!AP49</f>
        <v>0</v>
      </c>
      <c r="BG99" s="3"/>
    </row>
    <row r="100" spans="3:59" x14ac:dyDescent="0.25">
      <c r="C100" s="32"/>
      <c r="D100"/>
      <c r="E100"/>
      <c r="F100" t="s">
        <v>233</v>
      </c>
      <c r="G100" t="s">
        <v>203</v>
      </c>
      <c r="H100" s="63"/>
      <c r="J100" s="25">
        <f>'Standing charge factors'!J50</f>
        <v>0</v>
      </c>
      <c r="K100" s="25">
        <f>'Standing charge factors'!K50</f>
        <v>0</v>
      </c>
      <c r="L100" s="25">
        <f>'Standing charge factors'!L50</f>
        <v>0</v>
      </c>
      <c r="M100" s="25">
        <f>'Standing charge factors'!M50</f>
        <v>0</v>
      </c>
      <c r="N100" s="25">
        <f>'Standing charge factors'!N50</f>
        <v>0</v>
      </c>
      <c r="O100" s="25">
        <f>'Standing charge factors'!O50</f>
        <v>0</v>
      </c>
      <c r="P100" s="25">
        <f>'Standing charge factors'!P50</f>
        <v>0</v>
      </c>
      <c r="Q100" s="25">
        <f>'Standing charge factors'!Q50</f>
        <v>0</v>
      </c>
      <c r="R100" s="25">
        <f>'Standing charge factors'!R50</f>
        <v>1</v>
      </c>
      <c r="S100" s="25">
        <f>'Standing charge factors'!S50</f>
        <v>0</v>
      </c>
      <c r="T100" s="25">
        <f>'Standing charge factors'!T50</f>
        <v>0</v>
      </c>
      <c r="U100" s="25">
        <f>'Standing charge factors'!U50</f>
        <v>0.2</v>
      </c>
      <c r="V100" s="25">
        <f>'Standing charge factors'!V50</f>
        <v>1</v>
      </c>
      <c r="W100" s="25">
        <f>'Standing charge factors'!W50</f>
        <v>1</v>
      </c>
      <c r="X100" s="25">
        <f>'Standing charge factors'!X50</f>
        <v>0</v>
      </c>
      <c r="Y100" s="25">
        <f>'Standing charge factors'!Y50</f>
        <v>0</v>
      </c>
      <c r="Z100" s="25">
        <f>'Standing charge factors'!Z50</f>
        <v>0</v>
      </c>
      <c r="AA100" s="25">
        <f>'Standing charge factors'!AA50</f>
        <v>0</v>
      </c>
      <c r="AB100" s="25">
        <f>'Standing charge factors'!AB50</f>
        <v>0</v>
      </c>
      <c r="AC100" s="25">
        <f>'Standing charge factors'!AC50</f>
        <v>0</v>
      </c>
      <c r="AD100" s="25">
        <f>'Standing charge factors'!AD50</f>
        <v>0</v>
      </c>
      <c r="AE100" s="25">
        <f>'Standing charge factors'!AE50</f>
        <v>0</v>
      </c>
      <c r="AF100" s="25">
        <f>'Standing charge factors'!AF50</f>
        <v>0</v>
      </c>
      <c r="AG100" s="25">
        <f>'Standing charge factors'!AG50</f>
        <v>0</v>
      </c>
      <c r="AH100" s="25">
        <f>'Standing charge factors'!AH50</f>
        <v>0</v>
      </c>
      <c r="AI100" s="25">
        <f>'Standing charge factors'!AI50</f>
        <v>0</v>
      </c>
      <c r="AJ100" s="25">
        <f>'Standing charge factors'!AJ50</f>
        <v>0</v>
      </c>
      <c r="AK100" s="25">
        <f>'Standing charge factors'!AK50</f>
        <v>0</v>
      </c>
      <c r="AL100" s="25">
        <f>'Standing charge factors'!AL50</f>
        <v>0</v>
      </c>
      <c r="AM100" s="25">
        <f>'Standing charge factors'!AM50</f>
        <v>0</v>
      </c>
      <c r="AN100" s="25">
        <f>'Standing charge factors'!AN50</f>
        <v>0</v>
      </c>
      <c r="AO100" s="25">
        <f>'Standing charge factors'!AO50</f>
        <v>0</v>
      </c>
      <c r="AP100" s="25">
        <f>'Standing charge factors'!AP50</f>
        <v>0</v>
      </c>
      <c r="BG100" s="3"/>
    </row>
    <row r="101" spans="3:59" x14ac:dyDescent="0.25">
      <c r="C101" s="32"/>
      <c r="D101"/>
      <c r="E101"/>
      <c r="F101" t="s">
        <v>234</v>
      </c>
      <c r="G101" t="s">
        <v>203</v>
      </c>
      <c r="H101" s="63"/>
      <c r="J101" s="25">
        <f>'Standing charge factors'!J51</f>
        <v>0</v>
      </c>
      <c r="K101" s="25">
        <f>'Standing charge factors'!K51</f>
        <v>0</v>
      </c>
      <c r="L101" s="25">
        <f>'Standing charge factors'!L51</f>
        <v>0</v>
      </c>
      <c r="M101" s="25">
        <f>'Standing charge factors'!M51</f>
        <v>0</v>
      </c>
      <c r="N101" s="25">
        <f>'Standing charge factors'!N51</f>
        <v>0</v>
      </c>
      <c r="O101" s="25">
        <f>'Standing charge factors'!O51</f>
        <v>0</v>
      </c>
      <c r="P101" s="25">
        <f>'Standing charge factors'!P51</f>
        <v>0</v>
      </c>
      <c r="Q101" s="25">
        <f>'Standing charge factors'!Q51</f>
        <v>1</v>
      </c>
      <c r="R101" s="25">
        <f>'Standing charge factors'!R51</f>
        <v>0</v>
      </c>
      <c r="S101" s="25">
        <f>'Standing charge factors'!S51</f>
        <v>0</v>
      </c>
      <c r="T101" s="25">
        <f>'Standing charge factors'!T51</f>
        <v>0</v>
      </c>
      <c r="U101" s="25">
        <f>'Standing charge factors'!U51</f>
        <v>1</v>
      </c>
      <c r="V101" s="25">
        <f>'Standing charge factors'!V51</f>
        <v>1</v>
      </c>
      <c r="W101" s="25">
        <f>'Standing charge factors'!W51</f>
        <v>0</v>
      </c>
      <c r="X101" s="25">
        <f>'Standing charge factors'!X51</f>
        <v>0</v>
      </c>
      <c r="Y101" s="25">
        <f>'Standing charge factors'!Y51</f>
        <v>0</v>
      </c>
      <c r="Z101" s="25">
        <f>'Standing charge factors'!Z51</f>
        <v>0</v>
      </c>
      <c r="AA101" s="25">
        <f>'Standing charge factors'!AA51</f>
        <v>0</v>
      </c>
      <c r="AB101" s="25">
        <f>'Standing charge factors'!AB51</f>
        <v>0</v>
      </c>
      <c r="AC101" s="25">
        <f>'Standing charge factors'!AC51</f>
        <v>0</v>
      </c>
      <c r="AD101" s="25">
        <f>'Standing charge factors'!AD51</f>
        <v>0</v>
      </c>
      <c r="AE101" s="25">
        <f>'Standing charge factors'!AE51</f>
        <v>0</v>
      </c>
      <c r="AF101" s="25">
        <f>'Standing charge factors'!AF51</f>
        <v>0</v>
      </c>
      <c r="AG101" s="25">
        <f>'Standing charge factors'!AG51</f>
        <v>0</v>
      </c>
      <c r="AH101" s="25">
        <f>'Standing charge factors'!AH51</f>
        <v>0</v>
      </c>
      <c r="AI101" s="25">
        <f>'Standing charge factors'!AI51</f>
        <v>0</v>
      </c>
      <c r="AJ101" s="25">
        <f>'Standing charge factors'!AJ51</f>
        <v>0</v>
      </c>
      <c r="AK101" s="25">
        <f>'Standing charge factors'!AK51</f>
        <v>0</v>
      </c>
      <c r="AL101" s="25">
        <f>'Standing charge factors'!AL51</f>
        <v>0</v>
      </c>
      <c r="AM101" s="25">
        <f>'Standing charge factors'!AM51</f>
        <v>0</v>
      </c>
      <c r="AN101" s="25">
        <f>'Standing charge factors'!AN51</f>
        <v>0</v>
      </c>
      <c r="AO101" s="25">
        <f>'Standing charge factors'!AO51</f>
        <v>0</v>
      </c>
      <c r="AP101" s="25">
        <f>'Standing charge factors'!AP51</f>
        <v>0</v>
      </c>
      <c r="BG101" s="3"/>
    </row>
    <row r="102" spans="3:59" x14ac:dyDescent="0.25">
      <c r="C102" s="32"/>
      <c r="D102"/>
      <c r="E102"/>
      <c r="F102" s="37" t="s">
        <v>235</v>
      </c>
      <c r="G102" s="37" t="s">
        <v>203</v>
      </c>
      <c r="H102" s="133"/>
      <c r="I102" s="37"/>
      <c r="J102" s="144">
        <f>'Standing charge factors'!J52</f>
        <v>1</v>
      </c>
      <c r="K102" s="144">
        <f>'Standing charge factors'!K52</f>
        <v>1</v>
      </c>
      <c r="L102" s="144">
        <f>'Standing charge factors'!L52</f>
        <v>1</v>
      </c>
      <c r="M102" s="144">
        <f>'Standing charge factors'!M52</f>
        <v>1</v>
      </c>
      <c r="N102" s="144">
        <f>'Standing charge factors'!N52</f>
        <v>1</v>
      </c>
      <c r="O102" s="144">
        <f>'Standing charge factors'!O52</f>
        <v>1</v>
      </c>
      <c r="P102" s="144">
        <f>'Standing charge factors'!P52</f>
        <v>1</v>
      </c>
      <c r="Q102" s="144">
        <f>'Standing charge factors'!Q52</f>
        <v>0</v>
      </c>
      <c r="R102" s="144">
        <f>'Standing charge factors'!R52</f>
        <v>0</v>
      </c>
      <c r="S102" s="144">
        <f>'Standing charge factors'!S52</f>
        <v>1</v>
      </c>
      <c r="T102" s="144">
        <f>'Standing charge factors'!T52</f>
        <v>1</v>
      </c>
      <c r="U102" s="144">
        <f>'Standing charge factors'!U52</f>
        <v>1</v>
      </c>
      <c r="V102" s="144">
        <f>'Standing charge factors'!V52</f>
        <v>0</v>
      </c>
      <c r="W102" s="144">
        <f>'Standing charge factors'!W52</f>
        <v>0</v>
      </c>
      <c r="X102" s="144">
        <f>'Standing charge factors'!X52</f>
        <v>0</v>
      </c>
      <c r="Y102" s="144">
        <f>'Standing charge factors'!Y52</f>
        <v>0</v>
      </c>
      <c r="Z102" s="144">
        <f>'Standing charge factors'!Z52</f>
        <v>0</v>
      </c>
      <c r="AA102" s="144">
        <f>'Standing charge factors'!AA52</f>
        <v>0</v>
      </c>
      <c r="AB102" s="144">
        <f>'Standing charge factors'!AB52</f>
        <v>0</v>
      </c>
      <c r="AC102" s="144">
        <f>'Standing charge factors'!AC52</f>
        <v>0</v>
      </c>
      <c r="AD102" s="144">
        <f>'Standing charge factors'!AD52</f>
        <v>0</v>
      </c>
      <c r="AE102" s="144">
        <f>'Standing charge factors'!AE52</f>
        <v>0</v>
      </c>
      <c r="AF102" s="144">
        <f>'Standing charge factors'!AF52</f>
        <v>0</v>
      </c>
      <c r="AG102" s="144">
        <f>'Standing charge factors'!AG52</f>
        <v>0</v>
      </c>
      <c r="AH102" s="144">
        <f>'Standing charge factors'!AH52</f>
        <v>0</v>
      </c>
      <c r="AI102" s="144">
        <f>'Standing charge factors'!AI52</f>
        <v>0</v>
      </c>
      <c r="AJ102" s="144">
        <f>'Standing charge factors'!AJ52</f>
        <v>0</v>
      </c>
      <c r="AK102" s="144">
        <f>'Standing charge factors'!AK52</f>
        <v>0</v>
      </c>
      <c r="AL102" s="144">
        <f>'Standing charge factors'!AL52</f>
        <v>0</v>
      </c>
      <c r="AM102" s="144">
        <f>'Standing charge factors'!AM52</f>
        <v>0</v>
      </c>
      <c r="AN102" s="144">
        <f>'Standing charge factors'!AN52</f>
        <v>0</v>
      </c>
      <c r="AO102" s="144">
        <f>'Standing charge factors'!AO52</f>
        <v>0</v>
      </c>
      <c r="AP102" s="144">
        <f>'Standing charge factors'!AP52</f>
        <v>0</v>
      </c>
      <c r="BG102" s="3"/>
    </row>
    <row r="103" spans="3:59" x14ac:dyDescent="0.25">
      <c r="C103" s="91"/>
      <c r="D103"/>
      <c r="F103" s="2"/>
    </row>
    <row r="104" spans="3:59" x14ac:dyDescent="0.25">
      <c r="E104" s="32" t="s">
        <v>820</v>
      </c>
    </row>
    <row r="105" spans="3:59" x14ac:dyDescent="0.25">
      <c r="C105" s="91"/>
      <c r="F105" s="23" t="s">
        <v>225</v>
      </c>
      <c r="G105" s="23" t="s">
        <v>203</v>
      </c>
      <c r="H105" s="233"/>
      <c r="I105" s="233"/>
      <c r="J105" s="65"/>
      <c r="K105" s="65"/>
      <c r="L105" s="65"/>
      <c r="M105" s="65"/>
      <c r="N105" s="65"/>
      <c r="O105" s="65"/>
      <c r="P105" s="65"/>
      <c r="Q105" s="65"/>
      <c r="R105" s="65"/>
      <c r="S105" s="65"/>
      <c r="T105" s="65"/>
      <c r="U105" s="65"/>
      <c r="V105" s="65"/>
      <c r="W105" s="65"/>
      <c r="X105" s="65"/>
      <c r="Y105" s="65"/>
      <c r="Z105" s="65"/>
      <c r="AA105" s="65"/>
      <c r="AB105" s="65"/>
      <c r="AC105" s="65"/>
      <c r="AD105" s="65"/>
      <c r="AE105" s="65"/>
      <c r="AF105" s="65"/>
      <c r="AG105" s="65"/>
      <c r="AH105" s="65"/>
      <c r="AI105" s="65"/>
      <c r="AJ105" s="65"/>
      <c r="AK105" s="65"/>
      <c r="AL105" s="65"/>
      <c r="AM105" s="65"/>
      <c r="AN105" s="65"/>
      <c r="AO105" s="65"/>
      <c r="AP105" s="65"/>
    </row>
    <row r="106" spans="3:59" x14ac:dyDescent="0.25">
      <c r="C106" s="91"/>
      <c r="F106" t="s">
        <v>227</v>
      </c>
      <c r="G106" t="s">
        <v>203</v>
      </c>
      <c r="H106" s="234"/>
      <c r="I106" s="234"/>
      <c r="J106" s="66"/>
      <c r="K106" s="66"/>
      <c r="L106" s="66"/>
      <c r="M106" s="66"/>
      <c r="N106" s="66"/>
      <c r="O106" s="66"/>
      <c r="P106" s="66"/>
      <c r="Q106" s="66"/>
      <c r="R106" s="66"/>
      <c r="S106" s="66"/>
      <c r="T106" s="66"/>
      <c r="U106" s="66"/>
      <c r="V106" s="66"/>
      <c r="W106" s="66"/>
      <c r="X106" s="66"/>
      <c r="Y106" s="66"/>
      <c r="Z106" s="66"/>
      <c r="AA106" s="66"/>
      <c r="AB106" s="66"/>
      <c r="AC106" s="66"/>
      <c r="AD106" s="66"/>
      <c r="AE106" s="66"/>
      <c r="AF106" s="66"/>
      <c r="AG106" s="66"/>
      <c r="AH106" s="66"/>
      <c r="AI106" s="66"/>
      <c r="AJ106" s="66"/>
      <c r="AK106" s="66"/>
      <c r="AL106" s="66"/>
      <c r="AM106" s="66"/>
      <c r="AN106" s="66"/>
      <c r="AO106" s="66"/>
      <c r="AP106" s="66"/>
    </row>
    <row r="107" spans="3:59" x14ac:dyDescent="0.25">
      <c r="C107" s="91"/>
      <c r="F107" t="s">
        <v>228</v>
      </c>
      <c r="G107" t="s">
        <v>203</v>
      </c>
      <c r="H107" s="234"/>
      <c r="I107" s="234"/>
      <c r="J107" s="25">
        <f t="array" ref="J107:AP114">TRANSPOSE('Customer contributions'!L68:S100)</f>
        <v>0</v>
      </c>
      <c r="K107" s="25">
        <v>0</v>
      </c>
      <c r="L107" s="25">
        <v>0</v>
      </c>
      <c r="M107" s="25">
        <v>0</v>
      </c>
      <c r="N107" s="25">
        <v>0</v>
      </c>
      <c r="O107" s="25">
        <v>0</v>
      </c>
      <c r="P107" s="25">
        <v>0</v>
      </c>
      <c r="Q107" s="25">
        <v>0</v>
      </c>
      <c r="R107" s="25">
        <v>0</v>
      </c>
      <c r="S107" s="25">
        <v>0</v>
      </c>
      <c r="T107" s="25">
        <v>0</v>
      </c>
      <c r="U107" s="25">
        <v>0</v>
      </c>
      <c r="V107" s="25">
        <v>0</v>
      </c>
      <c r="W107" s="25">
        <v>0</v>
      </c>
      <c r="X107" s="25">
        <v>0</v>
      </c>
      <c r="Y107" s="25">
        <v>0</v>
      </c>
      <c r="Z107" s="25">
        <v>0</v>
      </c>
      <c r="AA107" s="25">
        <v>0</v>
      </c>
      <c r="AB107" s="25">
        <v>0</v>
      </c>
      <c r="AC107" s="25">
        <v>0</v>
      </c>
      <c r="AD107" s="25">
        <v>0</v>
      </c>
      <c r="AE107" s="25">
        <v>0</v>
      </c>
      <c r="AF107" s="25">
        <v>0</v>
      </c>
      <c r="AG107" s="25">
        <v>0</v>
      </c>
      <c r="AH107" s="25">
        <v>0</v>
      </c>
      <c r="AI107" s="25">
        <v>0</v>
      </c>
      <c r="AJ107" s="25">
        <v>0</v>
      </c>
      <c r="AK107" s="25">
        <v>0</v>
      </c>
      <c r="AL107" s="25">
        <v>0</v>
      </c>
      <c r="AM107" s="25">
        <v>0</v>
      </c>
      <c r="AN107" s="25">
        <v>0</v>
      </c>
      <c r="AO107" s="25">
        <v>0</v>
      </c>
      <c r="AP107" s="25">
        <v>0</v>
      </c>
    </row>
    <row r="108" spans="3:59" x14ac:dyDescent="0.25">
      <c r="C108" s="91"/>
      <c r="F108" t="s">
        <v>229</v>
      </c>
      <c r="G108" t="s">
        <v>203</v>
      </c>
      <c r="H108" s="234"/>
      <c r="I108" s="234"/>
      <c r="J108" s="25">
        <v>0</v>
      </c>
      <c r="K108" s="25">
        <v>0</v>
      </c>
      <c r="L108" s="25">
        <v>0</v>
      </c>
      <c r="M108" s="25">
        <v>0</v>
      </c>
      <c r="N108" s="25">
        <v>0</v>
      </c>
      <c r="O108" s="25">
        <v>0</v>
      </c>
      <c r="P108" s="25">
        <v>0</v>
      </c>
      <c r="Q108" s="25">
        <v>0</v>
      </c>
      <c r="R108" s="25">
        <v>0</v>
      </c>
      <c r="S108" s="25">
        <v>0</v>
      </c>
      <c r="T108" s="25">
        <v>0</v>
      </c>
      <c r="U108" s="25">
        <v>0</v>
      </c>
      <c r="V108" s="25">
        <v>0</v>
      </c>
      <c r="W108" s="25">
        <v>0</v>
      </c>
      <c r="X108" s="25">
        <v>0</v>
      </c>
      <c r="Y108" s="25">
        <v>0</v>
      </c>
      <c r="Z108" s="25">
        <v>0</v>
      </c>
      <c r="AA108" s="25">
        <v>0</v>
      </c>
      <c r="AB108" s="25">
        <v>0</v>
      </c>
      <c r="AC108" s="25">
        <v>0</v>
      </c>
      <c r="AD108" s="25">
        <v>0</v>
      </c>
      <c r="AE108" s="25">
        <v>0</v>
      </c>
      <c r="AF108" s="25">
        <v>0</v>
      </c>
      <c r="AG108" s="25">
        <v>0</v>
      </c>
      <c r="AH108" s="25">
        <v>0</v>
      </c>
      <c r="AI108" s="25">
        <v>0</v>
      </c>
      <c r="AJ108" s="25">
        <v>0</v>
      </c>
      <c r="AK108" s="25">
        <v>0</v>
      </c>
      <c r="AL108" s="25">
        <v>0</v>
      </c>
      <c r="AM108" s="25">
        <v>0</v>
      </c>
      <c r="AN108" s="25">
        <v>0</v>
      </c>
      <c r="AO108" s="25">
        <v>0</v>
      </c>
      <c r="AP108" s="25">
        <v>0</v>
      </c>
    </row>
    <row r="109" spans="3:59" x14ac:dyDescent="0.25">
      <c r="C109" s="91"/>
      <c r="F109" t="s">
        <v>230</v>
      </c>
      <c r="G109" t="s">
        <v>203</v>
      </c>
      <c r="H109" s="234"/>
      <c r="I109" s="234"/>
      <c r="J109" s="25">
        <v>6.4338235294117696E-3</v>
      </c>
      <c r="K109" s="25">
        <v>6.4338235294117696E-3</v>
      </c>
      <c r="L109" s="25">
        <v>6.4338235294117696E-3</v>
      </c>
      <c r="M109" s="25">
        <v>6.4338235294117696E-3</v>
      </c>
      <c r="N109" s="25">
        <v>6.4338235294117696E-3</v>
      </c>
      <c r="O109" s="25">
        <v>6.4338235294117696E-3</v>
      </c>
      <c r="P109" s="25">
        <v>6.4338235294117696E-3</v>
      </c>
      <c r="Q109" s="25">
        <v>6.4338235294117696E-3</v>
      </c>
      <c r="R109" s="25">
        <v>1.16978609625668E-2</v>
      </c>
      <c r="S109" s="25">
        <v>6.4338235294117696E-3</v>
      </c>
      <c r="T109" s="25">
        <v>6.4338235294117696E-3</v>
      </c>
      <c r="U109" s="25">
        <v>6.4338235294117696E-3</v>
      </c>
      <c r="V109" s="25">
        <v>6.4338235294117696E-3</v>
      </c>
      <c r="W109" s="25">
        <v>1.16978609625668E-2</v>
      </c>
      <c r="X109" s="25">
        <v>6.4338235294117696E-3</v>
      </c>
      <c r="Y109" s="25">
        <v>6.4338235294117696E-3</v>
      </c>
      <c r="Z109" s="25">
        <v>6.4338235294117696E-3</v>
      </c>
      <c r="AA109" s="25">
        <v>6.4338235294117696E-3</v>
      </c>
      <c r="AB109" s="25">
        <v>6.4338235294117696E-3</v>
      </c>
      <c r="AC109" s="25">
        <v>6.4338235294117696E-3</v>
      </c>
      <c r="AD109" s="25">
        <v>6.4338235294117696E-3</v>
      </c>
      <c r="AE109" s="25">
        <v>6.4338235294117696E-3</v>
      </c>
      <c r="AF109" s="25">
        <v>6.4338235294117696E-3</v>
      </c>
      <c r="AG109" s="25">
        <v>6.4338235294117696E-3</v>
      </c>
      <c r="AH109" s="25">
        <v>6.4338235294117696E-3</v>
      </c>
      <c r="AI109" s="25">
        <v>6.4338235294117696E-3</v>
      </c>
      <c r="AJ109" s="25">
        <v>6.4338235294117696E-3</v>
      </c>
      <c r="AK109" s="25">
        <v>6.4338235294117696E-3</v>
      </c>
      <c r="AL109" s="25">
        <v>6.4338235294117696E-3</v>
      </c>
      <c r="AM109" s="25">
        <v>1.16978609625668E-2</v>
      </c>
      <c r="AN109" s="25">
        <v>1.16978609625668E-2</v>
      </c>
      <c r="AO109" s="25">
        <v>1.16978609625668E-2</v>
      </c>
      <c r="AP109" s="25">
        <v>1.16978609625668E-2</v>
      </c>
    </row>
    <row r="110" spans="3:59" x14ac:dyDescent="0.25">
      <c r="C110" s="91"/>
      <c r="F110" t="s">
        <v>231</v>
      </c>
      <c r="G110" t="s">
        <v>203</v>
      </c>
      <c r="H110" s="234"/>
      <c r="I110" s="234"/>
      <c r="J110" s="25">
        <v>4.1617122473246101E-3</v>
      </c>
      <c r="K110" s="25">
        <v>4.1617122473246101E-3</v>
      </c>
      <c r="L110" s="25">
        <v>4.1617122473246101E-3</v>
      </c>
      <c r="M110" s="25">
        <v>4.1617122473246101E-3</v>
      </c>
      <c r="N110" s="25">
        <v>4.1617122473246101E-3</v>
      </c>
      <c r="O110" s="25">
        <v>4.1617122473246101E-3</v>
      </c>
      <c r="P110" s="25">
        <v>4.1617122473246101E-3</v>
      </c>
      <c r="Q110" s="25">
        <v>4.1617122473246101E-3</v>
      </c>
      <c r="R110" s="25">
        <v>7.56674954059021E-3</v>
      </c>
      <c r="S110" s="25">
        <v>4.1617122473246101E-3</v>
      </c>
      <c r="T110" s="25">
        <v>4.1617122473246101E-3</v>
      </c>
      <c r="U110" s="25">
        <v>4.1617122473246101E-3</v>
      </c>
      <c r="V110" s="25">
        <v>4.1617122473246101E-3</v>
      </c>
      <c r="W110" s="25">
        <v>7.56674954059021E-3</v>
      </c>
      <c r="X110" s="25">
        <v>4.1617122473246101E-3</v>
      </c>
      <c r="Y110" s="25">
        <v>4.1617122473246101E-3</v>
      </c>
      <c r="Z110" s="25">
        <v>4.1617122473246101E-3</v>
      </c>
      <c r="AA110" s="25">
        <v>4.1617122473246101E-3</v>
      </c>
      <c r="AB110" s="25">
        <v>4.1617122473246101E-3</v>
      </c>
      <c r="AC110" s="25">
        <v>4.1617122473246101E-3</v>
      </c>
      <c r="AD110" s="25">
        <v>4.1617122473246101E-3</v>
      </c>
      <c r="AE110" s="25">
        <v>4.1617122473246101E-3</v>
      </c>
      <c r="AF110" s="25">
        <v>4.1617122473246101E-3</v>
      </c>
      <c r="AG110" s="25">
        <v>4.1617122473246101E-3</v>
      </c>
      <c r="AH110" s="25">
        <v>4.1617122473246101E-3</v>
      </c>
      <c r="AI110" s="25">
        <v>4.1617122473246101E-3</v>
      </c>
      <c r="AJ110" s="25">
        <v>4.1617122473246101E-3</v>
      </c>
      <c r="AK110" s="25">
        <v>4.1617122473246101E-3</v>
      </c>
      <c r="AL110" s="25">
        <v>4.1617122473246101E-3</v>
      </c>
      <c r="AM110" s="25">
        <v>7.56674954059021E-3</v>
      </c>
      <c r="AN110" s="25">
        <v>7.56674954059021E-3</v>
      </c>
      <c r="AO110" s="25">
        <v>7.56674954059021E-3</v>
      </c>
      <c r="AP110" s="25">
        <v>7.56674954059021E-3</v>
      </c>
    </row>
    <row r="111" spans="3:59" x14ac:dyDescent="0.25">
      <c r="C111" s="91"/>
      <c r="F111" t="s">
        <v>232</v>
      </c>
      <c r="G111" t="s">
        <v>203</v>
      </c>
      <c r="H111" s="234"/>
      <c r="I111" s="234"/>
      <c r="J111" s="25">
        <v>0</v>
      </c>
      <c r="K111" s="25">
        <v>0</v>
      </c>
      <c r="L111" s="25">
        <v>0</v>
      </c>
      <c r="M111" s="25">
        <v>0</v>
      </c>
      <c r="N111" s="25">
        <v>0</v>
      </c>
      <c r="O111" s="25">
        <v>0</v>
      </c>
      <c r="P111" s="25">
        <v>0</v>
      </c>
      <c r="Q111" s="25">
        <v>0</v>
      </c>
      <c r="R111" s="25">
        <v>0</v>
      </c>
      <c r="S111" s="25">
        <v>0</v>
      </c>
      <c r="T111" s="25">
        <v>0</v>
      </c>
      <c r="U111" s="25">
        <v>0</v>
      </c>
      <c r="V111" s="25">
        <v>0</v>
      </c>
      <c r="W111" s="25">
        <v>0</v>
      </c>
      <c r="X111" s="25">
        <v>0</v>
      </c>
      <c r="Y111" s="25">
        <v>0</v>
      </c>
      <c r="Z111" s="25">
        <v>0</v>
      </c>
      <c r="AA111" s="25">
        <v>0</v>
      </c>
      <c r="AB111" s="25">
        <v>0</v>
      </c>
      <c r="AC111" s="25">
        <v>0</v>
      </c>
      <c r="AD111" s="25">
        <v>0</v>
      </c>
      <c r="AE111" s="25">
        <v>0</v>
      </c>
      <c r="AF111" s="25">
        <v>0</v>
      </c>
      <c r="AG111" s="25">
        <v>0</v>
      </c>
      <c r="AH111" s="25">
        <v>0</v>
      </c>
      <c r="AI111" s="25">
        <v>0</v>
      </c>
      <c r="AJ111" s="25">
        <v>0</v>
      </c>
      <c r="AK111" s="25">
        <v>0</v>
      </c>
      <c r="AL111" s="25">
        <v>0</v>
      </c>
      <c r="AM111" s="25">
        <v>0</v>
      </c>
      <c r="AN111" s="25">
        <v>0</v>
      </c>
      <c r="AO111" s="25">
        <v>0</v>
      </c>
      <c r="AP111" s="25">
        <v>0</v>
      </c>
    </row>
    <row r="112" spans="3:59" x14ac:dyDescent="0.25">
      <c r="C112" s="91"/>
      <c r="F112" t="s">
        <v>233</v>
      </c>
      <c r="G112" t="s">
        <v>203</v>
      </c>
      <c r="H112" s="234"/>
      <c r="I112" s="234"/>
      <c r="J112" s="25">
        <v>0.42522380337704002</v>
      </c>
      <c r="K112" s="25">
        <v>0.42522380337704002</v>
      </c>
      <c r="L112" s="25">
        <v>0.42522380337704002</v>
      </c>
      <c r="M112" s="25">
        <v>0.42522380337704002</v>
      </c>
      <c r="N112" s="25">
        <v>0.42522380337704002</v>
      </c>
      <c r="O112" s="25">
        <v>0.42522380337704002</v>
      </c>
      <c r="P112" s="25">
        <v>0.42522380337704002</v>
      </c>
      <c r="Q112" s="25">
        <v>0.42522380337704002</v>
      </c>
      <c r="R112" s="25">
        <v>0.38896884219615702</v>
      </c>
      <c r="S112" s="25">
        <v>0.42522380337704002</v>
      </c>
      <c r="T112" s="25">
        <v>0.42522380337704002</v>
      </c>
      <c r="U112" s="25">
        <v>0.42522380337704002</v>
      </c>
      <c r="V112" s="25">
        <v>0.42522380337704002</v>
      </c>
      <c r="W112" s="25">
        <v>0.38896884219615702</v>
      </c>
      <c r="X112" s="25">
        <v>0.42522380337704002</v>
      </c>
      <c r="Y112" s="25">
        <v>0.42522380337704002</v>
      </c>
      <c r="Z112" s="25">
        <v>0.42522380337704002</v>
      </c>
      <c r="AA112" s="25">
        <v>0.42522380337704002</v>
      </c>
      <c r="AB112" s="25">
        <v>0.42522380337704002</v>
      </c>
      <c r="AC112" s="25">
        <v>0.42522380337704002</v>
      </c>
      <c r="AD112" s="25">
        <v>0.42522380337704002</v>
      </c>
      <c r="AE112" s="25">
        <v>0.42522380337704002</v>
      </c>
      <c r="AF112" s="25">
        <v>0.42522380337704002</v>
      </c>
      <c r="AG112" s="25">
        <v>0.42522380337704002</v>
      </c>
      <c r="AH112" s="25">
        <v>0.42522380337704002</v>
      </c>
      <c r="AI112" s="25">
        <v>0.42522380337704002</v>
      </c>
      <c r="AJ112" s="25">
        <v>0.42522380337704002</v>
      </c>
      <c r="AK112" s="25">
        <v>0.42522380337704002</v>
      </c>
      <c r="AL112" s="25">
        <v>0.42522380337704002</v>
      </c>
      <c r="AM112" s="25">
        <v>0.38896884219615702</v>
      </c>
      <c r="AN112" s="25">
        <v>0.38896884219615702</v>
      </c>
      <c r="AO112" s="25">
        <v>0.38896884219615702</v>
      </c>
      <c r="AP112" s="25">
        <v>0.38896884219615702</v>
      </c>
    </row>
    <row r="113" spans="2:44" x14ac:dyDescent="0.25">
      <c r="C113" s="91"/>
      <c r="F113" t="s">
        <v>234</v>
      </c>
      <c r="G113" t="s">
        <v>203</v>
      </c>
      <c r="H113" s="234"/>
      <c r="I113" s="234"/>
      <c r="J113" s="25">
        <v>0.78260869565217395</v>
      </c>
      <c r="K113" s="25">
        <v>0.78260869565217395</v>
      </c>
      <c r="L113" s="25">
        <v>0.78260869565217395</v>
      </c>
      <c r="M113" s="25">
        <v>0.78260869565217395</v>
      </c>
      <c r="N113" s="25">
        <v>0.78260869565217395</v>
      </c>
      <c r="O113" s="25">
        <v>0.78260869565217395</v>
      </c>
      <c r="P113" s="25">
        <v>0.78260869565217395</v>
      </c>
      <c r="Q113" s="25">
        <v>0.78260869565217395</v>
      </c>
      <c r="R113" s="25">
        <v>0</v>
      </c>
      <c r="S113" s="25">
        <v>0.78260869565217395</v>
      </c>
      <c r="T113" s="25">
        <v>0.78260869565217395</v>
      </c>
      <c r="U113" s="25">
        <v>0.78260869565217395</v>
      </c>
      <c r="V113" s="25">
        <v>0.78260869565217395</v>
      </c>
      <c r="W113" s="25">
        <v>0</v>
      </c>
      <c r="X113" s="25">
        <v>0.78260869565217395</v>
      </c>
      <c r="Y113" s="25">
        <v>0.78260869565217395</v>
      </c>
      <c r="Z113" s="25">
        <v>0.78260869565217395</v>
      </c>
      <c r="AA113" s="25">
        <v>0.78260869565217395</v>
      </c>
      <c r="AB113" s="25">
        <v>0.78260869565217395</v>
      </c>
      <c r="AC113" s="25">
        <v>0.78260869565217395</v>
      </c>
      <c r="AD113" s="25">
        <v>0.78260869565217395</v>
      </c>
      <c r="AE113" s="25">
        <v>0.78260869565217395</v>
      </c>
      <c r="AF113" s="25">
        <v>0.78260869565217395</v>
      </c>
      <c r="AG113" s="25">
        <v>0.78260869565217395</v>
      </c>
      <c r="AH113" s="25">
        <v>0.78260869565217395</v>
      </c>
      <c r="AI113" s="25">
        <v>0.78260869565217395</v>
      </c>
      <c r="AJ113" s="25">
        <v>0.78260869565217395</v>
      </c>
      <c r="AK113" s="25">
        <v>0.78260869565217395</v>
      </c>
      <c r="AL113" s="25">
        <v>0.78260869565217395</v>
      </c>
      <c r="AM113" s="25">
        <v>0</v>
      </c>
      <c r="AN113" s="25">
        <v>0</v>
      </c>
      <c r="AO113" s="25">
        <v>0</v>
      </c>
      <c r="AP113" s="25">
        <v>0</v>
      </c>
    </row>
    <row r="114" spans="2:44" x14ac:dyDescent="0.25">
      <c r="C114" s="91"/>
      <c r="F114" t="s">
        <v>235</v>
      </c>
      <c r="G114" t="s">
        <v>203</v>
      </c>
      <c r="H114" s="234"/>
      <c r="I114" s="234"/>
      <c r="J114" s="25">
        <v>0.966742252456538</v>
      </c>
      <c r="K114" s="25">
        <v>0.966742252456538</v>
      </c>
      <c r="L114" s="25">
        <v>0.966742252456538</v>
      </c>
      <c r="M114" s="25">
        <v>0.966742252456538</v>
      </c>
      <c r="N114" s="25">
        <v>0.966742252456538</v>
      </c>
      <c r="O114" s="25">
        <v>0.966742252456538</v>
      </c>
      <c r="P114" s="25">
        <v>0.966742252456538</v>
      </c>
      <c r="Q114" s="25">
        <v>0</v>
      </c>
      <c r="R114" s="25">
        <v>0</v>
      </c>
      <c r="S114" s="25">
        <v>0.966742252456538</v>
      </c>
      <c r="T114" s="25">
        <v>0.966742252456538</v>
      </c>
      <c r="U114" s="25">
        <v>0.966742252456538</v>
      </c>
      <c r="V114" s="25">
        <v>0</v>
      </c>
      <c r="W114" s="25">
        <v>0</v>
      </c>
      <c r="X114" s="25">
        <v>0.966742252456538</v>
      </c>
      <c r="Y114" s="25">
        <v>0.966742252456538</v>
      </c>
      <c r="Z114" s="25">
        <v>0.966742252456538</v>
      </c>
      <c r="AA114" s="25">
        <v>0.966742252456538</v>
      </c>
      <c r="AB114" s="25">
        <v>0.966742252456538</v>
      </c>
      <c r="AC114" s="25">
        <v>0.966742252456538</v>
      </c>
      <c r="AD114" s="25">
        <v>0</v>
      </c>
      <c r="AE114" s="25">
        <v>0.966742252456538</v>
      </c>
      <c r="AF114" s="25">
        <v>0.966742252456538</v>
      </c>
      <c r="AG114" s="25">
        <v>0.966742252456538</v>
      </c>
      <c r="AH114" s="25">
        <v>0.966742252456538</v>
      </c>
      <c r="AI114" s="25">
        <v>0</v>
      </c>
      <c r="AJ114" s="25">
        <v>0</v>
      </c>
      <c r="AK114" s="25">
        <v>0</v>
      </c>
      <c r="AL114" s="25">
        <v>0</v>
      </c>
      <c r="AM114" s="25">
        <v>0</v>
      </c>
      <c r="AN114" s="25">
        <v>0</v>
      </c>
      <c r="AO114" s="25">
        <v>0</v>
      </c>
      <c r="AP114" s="25">
        <v>0</v>
      </c>
    </row>
    <row r="115" spans="2:44" x14ac:dyDescent="0.25">
      <c r="C115" s="91"/>
      <c r="F115" t="s">
        <v>436</v>
      </c>
      <c r="G115" t="s">
        <v>203</v>
      </c>
      <c r="J115" s="66"/>
      <c r="K115" s="66"/>
      <c r="L115" s="66"/>
      <c r="M115" s="66"/>
      <c r="N115" s="66"/>
      <c r="O115" s="66"/>
      <c r="P115" s="66"/>
      <c r="Q115" s="66"/>
      <c r="R115" s="66"/>
      <c r="S115" s="66"/>
      <c r="T115" s="66"/>
      <c r="U115" s="66"/>
      <c r="V115" s="66"/>
      <c r="W115" s="66"/>
      <c r="X115" s="66"/>
      <c r="Y115" s="66"/>
      <c r="Z115" s="66"/>
      <c r="AA115" s="66"/>
      <c r="AB115" s="66"/>
      <c r="AC115" s="66"/>
      <c r="AD115" s="66"/>
      <c r="AE115" s="66"/>
      <c r="AF115" s="66"/>
      <c r="AG115" s="66"/>
      <c r="AH115" s="66"/>
      <c r="AI115" s="66"/>
      <c r="AJ115" s="66"/>
      <c r="AK115" s="66"/>
      <c r="AL115" s="66"/>
      <c r="AM115" s="66"/>
      <c r="AN115" s="66"/>
      <c r="AO115" s="66"/>
      <c r="AP115" s="66"/>
    </row>
    <row r="116" spans="2:44" x14ac:dyDescent="0.25">
      <c r="C116" s="91"/>
      <c r="F116" s="37" t="s">
        <v>437</v>
      </c>
      <c r="G116" s="37" t="s">
        <v>203</v>
      </c>
      <c r="H116" s="37"/>
      <c r="I116" s="37"/>
      <c r="J116" s="68"/>
      <c r="K116" s="68"/>
      <c r="L116" s="68"/>
      <c r="M116" s="68"/>
      <c r="N116" s="68"/>
      <c r="O116" s="68"/>
      <c r="P116" s="68"/>
      <c r="Q116" s="68"/>
      <c r="R116" s="68"/>
      <c r="S116" s="68"/>
      <c r="T116" s="68"/>
      <c r="U116" s="68"/>
      <c r="V116" s="68"/>
      <c r="W116" s="68"/>
      <c r="X116" s="68"/>
      <c r="Y116" s="68"/>
      <c r="Z116" s="68"/>
      <c r="AA116" s="68"/>
      <c r="AB116" s="68"/>
      <c r="AC116" s="68"/>
      <c r="AD116" s="68"/>
      <c r="AE116" s="68"/>
      <c r="AF116" s="68"/>
      <c r="AG116" s="68"/>
      <c r="AH116" s="68"/>
      <c r="AI116" s="68"/>
      <c r="AJ116" s="68"/>
      <c r="AK116" s="68"/>
      <c r="AL116" s="68"/>
      <c r="AM116" s="68"/>
      <c r="AN116" s="68"/>
      <c r="AO116" s="68"/>
      <c r="AP116" s="68"/>
    </row>
    <row r="117" spans="2:44" x14ac:dyDescent="0.25">
      <c r="C117" s="91"/>
      <c r="D117"/>
      <c r="F117" s="2"/>
    </row>
    <row r="118" spans="2:44" x14ac:dyDescent="0.25">
      <c r="D118"/>
      <c r="E118" s="32" t="s">
        <v>821</v>
      </c>
      <c r="F118" s="2"/>
      <c r="I118" t="s">
        <v>190</v>
      </c>
      <c r="AR118" t="s">
        <v>822</v>
      </c>
    </row>
    <row r="119" spans="2:44" x14ac:dyDescent="0.25">
      <c r="D119"/>
      <c r="E119" s="29" t="s">
        <v>823</v>
      </c>
      <c r="F119" s="2"/>
    </row>
    <row r="120" spans="2:44" x14ac:dyDescent="0.25">
      <c r="D120"/>
      <c r="E120" s="29" t="s">
        <v>824</v>
      </c>
      <c r="F120" s="2"/>
    </row>
    <row r="121" spans="2:44" x14ac:dyDescent="0.25">
      <c r="D121"/>
      <c r="F121" s="23" t="s">
        <v>825</v>
      </c>
      <c r="G121" s="23" t="s">
        <v>798</v>
      </c>
      <c r="H121" s="23"/>
      <c r="I121" s="23"/>
      <c r="J121" s="151">
        <f>'Fixed inputs'!J141</f>
        <v>0</v>
      </c>
      <c r="K121" s="151">
        <f>'Fixed inputs'!K141</f>
        <v>0</v>
      </c>
      <c r="L121" s="151">
        <f>'Fixed inputs'!L141</f>
        <v>0</v>
      </c>
      <c r="M121" s="151">
        <f>'Fixed inputs'!M141</f>
        <v>0</v>
      </c>
      <c r="N121" s="151">
        <f>'Fixed inputs'!N141</f>
        <v>0</v>
      </c>
      <c r="O121" s="151">
        <f>'Fixed inputs'!O141</f>
        <v>0</v>
      </c>
      <c r="P121" s="151">
        <f>'Fixed inputs'!P141</f>
        <v>0</v>
      </c>
      <c r="Q121" s="151">
        <f>'Fixed inputs'!Q141</f>
        <v>0</v>
      </c>
      <c r="R121" s="151">
        <f>'Fixed inputs'!R141</f>
        <v>0</v>
      </c>
      <c r="S121" s="151">
        <f>'Fixed inputs'!S141</f>
        <v>0</v>
      </c>
      <c r="T121" s="151">
        <f>'Fixed inputs'!T141</f>
        <v>0</v>
      </c>
      <c r="U121" s="151">
        <f>'Fixed inputs'!U141</f>
        <v>1</v>
      </c>
      <c r="V121" s="151">
        <f>'Fixed inputs'!V141</f>
        <v>1</v>
      </c>
      <c r="W121" s="151">
        <f>'Fixed inputs'!W141</f>
        <v>1</v>
      </c>
      <c r="X121" s="151">
        <f>'Fixed inputs'!X141</f>
        <v>0</v>
      </c>
      <c r="Y121" s="151">
        <f>'Fixed inputs'!Y141</f>
        <v>0</v>
      </c>
      <c r="Z121" s="151">
        <f>'Fixed inputs'!Z141</f>
        <v>0</v>
      </c>
      <c r="AA121" s="151">
        <f>'Fixed inputs'!AA141</f>
        <v>0</v>
      </c>
      <c r="AB121" s="151">
        <f>'Fixed inputs'!AB141</f>
        <v>0</v>
      </c>
      <c r="AC121" s="151">
        <f>'Fixed inputs'!AC141</f>
        <v>0</v>
      </c>
      <c r="AD121" s="151">
        <f>'Fixed inputs'!AD141</f>
        <v>0</v>
      </c>
      <c r="AE121" s="151">
        <f>'Fixed inputs'!AE141</f>
        <v>0</v>
      </c>
      <c r="AF121" s="151">
        <f>'Fixed inputs'!AF141</f>
        <v>0</v>
      </c>
      <c r="AG121" s="151">
        <f>'Fixed inputs'!AG141</f>
        <v>0</v>
      </c>
      <c r="AH121" s="151">
        <f>'Fixed inputs'!AH141</f>
        <v>0</v>
      </c>
      <c r="AI121" s="151">
        <f>'Fixed inputs'!AI141</f>
        <v>0</v>
      </c>
      <c r="AJ121" s="151">
        <f>'Fixed inputs'!AJ141</f>
        <v>0</v>
      </c>
      <c r="AK121" s="151">
        <f>'Fixed inputs'!AK141</f>
        <v>0</v>
      </c>
      <c r="AL121" s="151">
        <f>'Fixed inputs'!AL141</f>
        <v>0</v>
      </c>
      <c r="AM121" s="151">
        <f>'Fixed inputs'!AM141</f>
        <v>0</v>
      </c>
      <c r="AN121" s="151">
        <f>'Fixed inputs'!AN141</f>
        <v>0</v>
      </c>
      <c r="AO121" s="151">
        <f>'Fixed inputs'!AO141</f>
        <v>0</v>
      </c>
      <c r="AP121" s="151">
        <f>'Fixed inputs'!AP141</f>
        <v>0</v>
      </c>
    </row>
    <row r="122" spans="2:44" x14ac:dyDescent="0.25">
      <c r="D122"/>
      <c r="F122" t="s">
        <v>826</v>
      </c>
      <c r="G122" t="s">
        <v>798</v>
      </c>
      <c r="J122" s="186">
        <f>'Fixed inputs'!J142</f>
        <v>0</v>
      </c>
      <c r="K122" s="186">
        <f>'Fixed inputs'!K142</f>
        <v>0</v>
      </c>
      <c r="L122" s="186">
        <f>'Fixed inputs'!L142</f>
        <v>0</v>
      </c>
      <c r="M122" s="186">
        <f>'Fixed inputs'!M142</f>
        <v>0</v>
      </c>
      <c r="N122" s="186">
        <f>'Fixed inputs'!N142</f>
        <v>0</v>
      </c>
      <c r="O122" s="186">
        <f>'Fixed inputs'!O142</f>
        <v>0</v>
      </c>
      <c r="P122" s="186">
        <f>'Fixed inputs'!P142</f>
        <v>0</v>
      </c>
      <c r="Q122" s="186">
        <f>'Fixed inputs'!Q142</f>
        <v>0</v>
      </c>
      <c r="R122" s="186">
        <f>'Fixed inputs'!R142</f>
        <v>0</v>
      </c>
      <c r="S122" s="186">
        <f>'Fixed inputs'!S142</f>
        <v>0</v>
      </c>
      <c r="T122" s="186">
        <f>'Fixed inputs'!T142</f>
        <v>0</v>
      </c>
      <c r="U122" s="186">
        <f>'Fixed inputs'!U142</f>
        <v>1</v>
      </c>
      <c r="V122" s="186">
        <f>'Fixed inputs'!V142</f>
        <v>1</v>
      </c>
      <c r="W122" s="186">
        <f>'Fixed inputs'!W142</f>
        <v>1</v>
      </c>
      <c r="X122" s="186">
        <f>'Fixed inputs'!X142</f>
        <v>0</v>
      </c>
      <c r="Y122" s="186">
        <f>'Fixed inputs'!Y142</f>
        <v>0</v>
      </c>
      <c r="Z122" s="186">
        <f>'Fixed inputs'!Z142</f>
        <v>0</v>
      </c>
      <c r="AA122" s="186">
        <f>'Fixed inputs'!AA142</f>
        <v>0</v>
      </c>
      <c r="AB122" s="186">
        <f>'Fixed inputs'!AB142</f>
        <v>0</v>
      </c>
      <c r="AC122" s="186">
        <f>'Fixed inputs'!AC142</f>
        <v>0</v>
      </c>
      <c r="AD122" s="186">
        <f>'Fixed inputs'!AD142</f>
        <v>0</v>
      </c>
      <c r="AE122" s="186">
        <f>'Fixed inputs'!AE142</f>
        <v>0</v>
      </c>
      <c r="AF122" s="186">
        <f>'Fixed inputs'!AF142</f>
        <v>0</v>
      </c>
      <c r="AG122" s="186">
        <f>'Fixed inputs'!AG142</f>
        <v>0</v>
      </c>
      <c r="AH122" s="186">
        <f>'Fixed inputs'!AH142</f>
        <v>0</v>
      </c>
      <c r="AI122" s="186">
        <f>'Fixed inputs'!AI142</f>
        <v>0</v>
      </c>
      <c r="AJ122" s="186">
        <f>'Fixed inputs'!AJ142</f>
        <v>0</v>
      </c>
      <c r="AK122" s="186">
        <f>'Fixed inputs'!AK142</f>
        <v>0</v>
      </c>
      <c r="AL122" s="186">
        <f>'Fixed inputs'!AL142</f>
        <v>0</v>
      </c>
      <c r="AM122" s="186">
        <f>'Fixed inputs'!AM142</f>
        <v>0</v>
      </c>
      <c r="AN122" s="186">
        <f>'Fixed inputs'!AN142</f>
        <v>0</v>
      </c>
      <c r="AO122" s="186">
        <f>'Fixed inputs'!AO142</f>
        <v>0</v>
      </c>
      <c r="AP122" s="186">
        <f>'Fixed inputs'!AP142</f>
        <v>0</v>
      </c>
    </row>
    <row r="123" spans="2:44" x14ac:dyDescent="0.25">
      <c r="D123"/>
      <c r="F123" s="37" t="s">
        <v>266</v>
      </c>
      <c r="G123" s="37" t="s">
        <v>798</v>
      </c>
      <c r="H123" s="37"/>
      <c r="I123" s="37"/>
      <c r="J123" s="152">
        <f>'Fixed inputs'!J144</f>
        <v>1</v>
      </c>
      <c r="K123" s="152">
        <f>'Fixed inputs'!K144</f>
        <v>1</v>
      </c>
      <c r="L123" s="152">
        <f>'Fixed inputs'!L144</f>
        <v>0</v>
      </c>
      <c r="M123" s="152">
        <f>'Fixed inputs'!M144</f>
        <v>1</v>
      </c>
      <c r="N123" s="152">
        <f>'Fixed inputs'!N144</f>
        <v>1</v>
      </c>
      <c r="O123" s="152">
        <f>'Fixed inputs'!O144</f>
        <v>0</v>
      </c>
      <c r="P123" s="152">
        <f>'Fixed inputs'!P144</f>
        <v>1</v>
      </c>
      <c r="Q123" s="152">
        <f>'Fixed inputs'!Q144</f>
        <v>1</v>
      </c>
      <c r="R123" s="152">
        <f>'Fixed inputs'!R144</f>
        <v>1</v>
      </c>
      <c r="S123" s="152">
        <f>'Fixed inputs'!S144</f>
        <v>1</v>
      </c>
      <c r="T123" s="152">
        <f>'Fixed inputs'!T144</f>
        <v>1</v>
      </c>
      <c r="U123" s="152">
        <f>'Fixed inputs'!U144</f>
        <v>0</v>
      </c>
      <c r="V123" s="152">
        <f>'Fixed inputs'!V144</f>
        <v>0</v>
      </c>
      <c r="W123" s="152">
        <f>'Fixed inputs'!W144</f>
        <v>0</v>
      </c>
      <c r="X123" s="152">
        <f>'Fixed inputs'!X144</f>
        <v>0</v>
      </c>
      <c r="Y123" s="152">
        <f>'Fixed inputs'!Y144</f>
        <v>0</v>
      </c>
      <c r="Z123" s="152">
        <f>'Fixed inputs'!Z144</f>
        <v>0</v>
      </c>
      <c r="AA123" s="152">
        <f>'Fixed inputs'!AA144</f>
        <v>0</v>
      </c>
      <c r="AB123" s="152">
        <f>'Fixed inputs'!AB144</f>
        <v>0</v>
      </c>
      <c r="AC123" s="152">
        <f>'Fixed inputs'!AC144</f>
        <v>0</v>
      </c>
      <c r="AD123" s="152">
        <f>'Fixed inputs'!AD144</f>
        <v>0</v>
      </c>
      <c r="AE123" s="152">
        <f>'Fixed inputs'!AE144</f>
        <v>0</v>
      </c>
      <c r="AF123" s="152">
        <f>'Fixed inputs'!AF144</f>
        <v>0</v>
      </c>
      <c r="AG123" s="152">
        <f>'Fixed inputs'!AG144</f>
        <v>0</v>
      </c>
      <c r="AH123" s="152">
        <f>'Fixed inputs'!AH144</f>
        <v>0</v>
      </c>
      <c r="AI123" s="152">
        <f>'Fixed inputs'!AI144</f>
        <v>0</v>
      </c>
      <c r="AJ123" s="152">
        <f>'Fixed inputs'!AJ144</f>
        <v>0</v>
      </c>
      <c r="AK123" s="152">
        <f>'Fixed inputs'!AK144</f>
        <v>0</v>
      </c>
      <c r="AL123" s="152">
        <f>'Fixed inputs'!AL144</f>
        <v>0</v>
      </c>
      <c r="AM123" s="152">
        <f>'Fixed inputs'!AM144</f>
        <v>0</v>
      </c>
      <c r="AN123" s="152">
        <f>'Fixed inputs'!AN144</f>
        <v>0</v>
      </c>
      <c r="AO123" s="152">
        <f>'Fixed inputs'!AO144</f>
        <v>0</v>
      </c>
      <c r="AP123" s="152">
        <f>'Fixed inputs'!AP144</f>
        <v>0</v>
      </c>
    </row>
    <row r="124" spans="2:44" x14ac:dyDescent="0.25">
      <c r="C124" s="91"/>
    </row>
    <row r="125" spans="2:44" x14ac:dyDescent="0.25">
      <c r="B125" s="30" t="s">
        <v>827</v>
      </c>
      <c r="C125" s="30"/>
      <c r="D125" s="30"/>
      <c r="E125" s="30"/>
      <c r="F125" s="30"/>
      <c r="G125" s="30"/>
      <c r="H125" s="30"/>
      <c r="I125" s="30"/>
      <c r="J125" s="30"/>
      <c r="K125" s="30"/>
      <c r="L125" s="30"/>
      <c r="M125" s="30"/>
      <c r="N125" s="30"/>
      <c r="O125" s="30"/>
      <c r="P125" s="30"/>
      <c r="Q125" s="30"/>
      <c r="R125" s="30"/>
      <c r="S125" s="30"/>
      <c r="T125" s="30"/>
      <c r="U125" s="30"/>
      <c r="V125" s="30"/>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row>
    <row r="126" spans="2:44" x14ac:dyDescent="0.25">
      <c r="C126" s="91"/>
    </row>
    <row r="127" spans="2:44" x14ac:dyDescent="0.25">
      <c r="B127" s="228"/>
      <c r="C127" s="29" t="s">
        <v>828</v>
      </c>
      <c r="D127"/>
      <c r="E127"/>
    </row>
    <row r="128" spans="2:44" x14ac:dyDescent="0.25">
      <c r="C128" s="91"/>
    </row>
    <row r="129" spans="3:44" x14ac:dyDescent="0.25">
      <c r="C129" s="31" t="str">
        <f ca="1">INDEX('Version control'!$H$34:$H$56,MATCH($A$1,'Version control'!$F$34:$F$56,0),1)&amp;"-B: Capacity-based charge elements (to be split between capacity &amp; fixed charges)"</f>
        <v>Section 113-B: Capacity-based charge elements (to be split between capacity &amp; fixed charges)</v>
      </c>
      <c r="D129" s="31"/>
      <c r="E129" s="31"/>
      <c r="F129" s="31"/>
      <c r="G129" s="31"/>
      <c r="H129" s="31"/>
      <c r="I129" s="31"/>
      <c r="J129" s="31"/>
      <c r="K129" s="31"/>
      <c r="L129" s="31"/>
      <c r="M129" s="31"/>
      <c r="N129" s="31"/>
      <c r="O129" s="31"/>
      <c r="P129" s="31"/>
      <c r="Q129" s="31"/>
      <c r="R129" s="31"/>
      <c r="S129" s="31"/>
      <c r="T129" s="31"/>
      <c r="U129" s="31"/>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row>
    <row r="131" spans="3:44" x14ac:dyDescent="0.25">
      <c r="C131" s="91"/>
      <c r="E131" s="32" t="s">
        <v>733</v>
      </c>
      <c r="I131" t="s">
        <v>190</v>
      </c>
      <c r="AR131" t="s">
        <v>829</v>
      </c>
    </row>
    <row r="132" spans="3:44" x14ac:dyDescent="0.25">
      <c r="C132" s="91"/>
      <c r="F132" s="23" t="s">
        <v>225</v>
      </c>
      <c r="G132" s="23" t="s">
        <v>329</v>
      </c>
      <c r="H132" s="23"/>
      <c r="I132" s="23"/>
      <c r="J132" s="83"/>
      <c r="K132" s="83"/>
      <c r="L132" s="83"/>
      <c r="M132" s="83"/>
      <c r="N132" s="83"/>
      <c r="O132" s="83"/>
      <c r="P132" s="83"/>
      <c r="Q132" s="83"/>
      <c r="R132" s="83"/>
      <c r="S132" s="83"/>
      <c r="T132" s="83"/>
      <c r="U132" s="83"/>
      <c r="V132" s="83"/>
      <c r="W132" s="83"/>
      <c r="X132" s="83"/>
      <c r="Y132" s="83"/>
      <c r="Z132" s="83"/>
      <c r="AA132" s="83"/>
      <c r="AB132" s="83"/>
      <c r="AC132" s="83"/>
      <c r="AD132" s="83"/>
      <c r="AE132" s="83"/>
      <c r="AF132" s="83"/>
      <c r="AG132" s="83"/>
      <c r="AH132" s="83"/>
      <c r="AI132" s="83"/>
      <c r="AJ132" s="83"/>
      <c r="AK132" s="83"/>
      <c r="AL132" s="83"/>
      <c r="AM132" s="83"/>
      <c r="AN132" s="83"/>
      <c r="AO132" s="83"/>
      <c r="AP132" s="83"/>
    </row>
    <row r="133" spans="3:44" x14ac:dyDescent="0.25">
      <c r="C133" s="91"/>
      <c r="F133" t="s">
        <v>227</v>
      </c>
      <c r="G133" t="s">
        <v>329</v>
      </c>
      <c r="J133" s="79"/>
      <c r="K133" s="79"/>
      <c r="L133" s="79"/>
      <c r="M133" s="79"/>
      <c r="N133" s="79"/>
      <c r="O133" s="79"/>
      <c r="P133" s="79"/>
      <c r="Q133" s="79"/>
      <c r="R133" s="79"/>
      <c r="S133" s="79"/>
      <c r="T133" s="79"/>
      <c r="U133" s="79"/>
      <c r="V133" s="79"/>
      <c r="W133" s="79"/>
      <c r="X133" s="79"/>
      <c r="Y133" s="79"/>
      <c r="Z133" s="79"/>
      <c r="AA133" s="79"/>
      <c r="AB133" s="79"/>
      <c r="AC133" s="79"/>
      <c r="AD133" s="79"/>
      <c r="AE133" s="79"/>
      <c r="AF133" s="79"/>
      <c r="AG133" s="79"/>
      <c r="AH133" s="79"/>
      <c r="AI133" s="79"/>
      <c r="AJ133" s="79"/>
      <c r="AK133" s="79"/>
      <c r="AL133" s="79"/>
      <c r="AM133" s="79"/>
      <c r="AN133" s="79"/>
      <c r="AO133" s="79"/>
      <c r="AP133" s="79"/>
    </row>
    <row r="134" spans="3:44" x14ac:dyDescent="0.25">
      <c r="C134" s="91"/>
      <c r="F134" t="s">
        <v>228</v>
      </c>
      <c r="G134" t="s">
        <v>329</v>
      </c>
      <c r="J134" s="101">
        <f t="shared" ref="J134:AB134" si="0">hundred*J95*$H53*J82/$H39*(1-J107)/days_in_year/(1+$H25)*PowerFactor</f>
        <v>0</v>
      </c>
      <c r="K134" s="101">
        <f t="shared" si="0"/>
        <v>0</v>
      </c>
      <c r="L134" s="101">
        <f t="shared" si="0"/>
        <v>0</v>
      </c>
      <c r="M134" s="101">
        <f t="shared" si="0"/>
        <v>0</v>
      </c>
      <c r="N134" s="101">
        <f t="shared" si="0"/>
        <v>0</v>
      </c>
      <c r="O134" s="101">
        <f t="shared" si="0"/>
        <v>0</v>
      </c>
      <c r="P134" s="101">
        <f t="shared" si="0"/>
        <v>0</v>
      </c>
      <c r="Q134" s="101">
        <f t="shared" si="0"/>
        <v>0</v>
      </c>
      <c r="R134" s="101">
        <f t="shared" si="0"/>
        <v>0</v>
      </c>
      <c r="S134" s="101">
        <f t="shared" si="0"/>
        <v>0</v>
      </c>
      <c r="T134" s="101">
        <f t="shared" si="0"/>
        <v>0</v>
      </c>
      <c r="U134" s="101">
        <f t="shared" si="0"/>
        <v>0</v>
      </c>
      <c r="V134" s="101">
        <f t="shared" si="0"/>
        <v>0</v>
      </c>
      <c r="W134" s="101">
        <f t="shared" si="0"/>
        <v>0</v>
      </c>
      <c r="X134" s="101">
        <f t="shared" si="0"/>
        <v>0</v>
      </c>
      <c r="Y134" s="101">
        <f t="shared" si="0"/>
        <v>0</v>
      </c>
      <c r="Z134" s="101">
        <f t="shared" si="0"/>
        <v>0</v>
      </c>
      <c r="AA134" s="101">
        <f t="shared" si="0"/>
        <v>0</v>
      </c>
      <c r="AB134" s="101">
        <f t="shared" si="0"/>
        <v>0</v>
      </c>
      <c r="AC134" s="79"/>
      <c r="AD134" s="79"/>
      <c r="AE134" s="79"/>
      <c r="AF134" s="79"/>
      <c r="AG134" s="79"/>
      <c r="AH134" s="79"/>
      <c r="AI134" s="79"/>
      <c r="AJ134" s="79"/>
      <c r="AK134" s="79"/>
      <c r="AL134" s="79"/>
      <c r="AM134" s="79"/>
      <c r="AN134" s="79"/>
      <c r="AO134" s="79"/>
      <c r="AP134" s="79"/>
    </row>
    <row r="135" spans="3:44" x14ac:dyDescent="0.25">
      <c r="C135" s="91"/>
      <c r="F135" t="s">
        <v>229</v>
      </c>
      <c r="G135" t="s">
        <v>329</v>
      </c>
      <c r="J135" s="101">
        <f t="shared" ref="J135:AB135" si="1">hundred*J96*$H54*J83/$H40*(1-J108)/days_in_year/(1+$H26)*PowerFactor</f>
        <v>0</v>
      </c>
      <c r="K135" s="101">
        <f t="shared" si="1"/>
        <v>0</v>
      </c>
      <c r="L135" s="101">
        <f t="shared" si="1"/>
        <v>0</v>
      </c>
      <c r="M135" s="101">
        <f t="shared" si="1"/>
        <v>0</v>
      </c>
      <c r="N135" s="101">
        <f t="shared" si="1"/>
        <v>0</v>
      </c>
      <c r="O135" s="101">
        <f t="shared" si="1"/>
        <v>0</v>
      </c>
      <c r="P135" s="101">
        <f t="shared" si="1"/>
        <v>0</v>
      </c>
      <c r="Q135" s="101">
        <f t="shared" si="1"/>
        <v>0</v>
      </c>
      <c r="R135" s="101">
        <f t="shared" si="1"/>
        <v>0</v>
      </c>
      <c r="S135" s="101">
        <f t="shared" si="1"/>
        <v>0</v>
      </c>
      <c r="T135" s="101">
        <f t="shared" si="1"/>
        <v>0</v>
      </c>
      <c r="U135" s="101">
        <f t="shared" si="1"/>
        <v>0</v>
      </c>
      <c r="V135" s="101">
        <f t="shared" si="1"/>
        <v>0</v>
      </c>
      <c r="W135" s="101">
        <f t="shared" si="1"/>
        <v>0</v>
      </c>
      <c r="X135" s="101">
        <f t="shared" si="1"/>
        <v>0</v>
      </c>
      <c r="Y135" s="101">
        <f t="shared" si="1"/>
        <v>0</v>
      </c>
      <c r="Z135" s="101">
        <f t="shared" si="1"/>
        <v>0</v>
      </c>
      <c r="AA135" s="101">
        <f t="shared" si="1"/>
        <v>0</v>
      </c>
      <c r="AB135" s="101">
        <f t="shared" si="1"/>
        <v>0</v>
      </c>
      <c r="AC135" s="79"/>
      <c r="AD135" s="79"/>
      <c r="AE135" s="79"/>
      <c r="AF135" s="79"/>
      <c r="AG135" s="79"/>
      <c r="AH135" s="79"/>
      <c r="AI135" s="79"/>
      <c r="AJ135" s="79"/>
      <c r="AK135" s="79"/>
      <c r="AL135" s="79"/>
      <c r="AM135" s="79"/>
      <c r="AN135" s="79"/>
      <c r="AO135" s="79"/>
      <c r="AP135" s="79"/>
    </row>
    <row r="136" spans="3:44" x14ac:dyDescent="0.25">
      <c r="C136" s="91"/>
      <c r="F136" t="s">
        <v>230</v>
      </c>
      <c r="G136" t="s">
        <v>329</v>
      </c>
      <c r="J136" s="101">
        <f t="shared" ref="J136:AB136" si="2">hundred*J97*$H55*J84/$H41*(1-J109)/days_in_year/(1+$H27)*PowerFactor</f>
        <v>0</v>
      </c>
      <c r="K136" s="101">
        <f t="shared" si="2"/>
        <v>0</v>
      </c>
      <c r="L136" s="101">
        <f t="shared" si="2"/>
        <v>0</v>
      </c>
      <c r="M136" s="101">
        <f t="shared" si="2"/>
        <v>0</v>
      </c>
      <c r="N136" s="101">
        <f t="shared" si="2"/>
        <v>0</v>
      </c>
      <c r="O136" s="101">
        <f t="shared" si="2"/>
        <v>0</v>
      </c>
      <c r="P136" s="101">
        <f t="shared" si="2"/>
        <v>0</v>
      </c>
      <c r="Q136" s="101">
        <f t="shared" si="2"/>
        <v>0</v>
      </c>
      <c r="R136" s="101">
        <f t="shared" si="2"/>
        <v>0.38865278552474813</v>
      </c>
      <c r="S136" s="101">
        <f t="shared" si="2"/>
        <v>0</v>
      </c>
      <c r="T136" s="101">
        <f t="shared" si="2"/>
        <v>0</v>
      </c>
      <c r="U136" s="101">
        <f t="shared" si="2"/>
        <v>0</v>
      </c>
      <c r="V136" s="101">
        <f t="shared" si="2"/>
        <v>0</v>
      </c>
      <c r="W136" s="101">
        <f t="shared" si="2"/>
        <v>0.38865278552474813</v>
      </c>
      <c r="X136" s="101">
        <f t="shared" si="2"/>
        <v>0</v>
      </c>
      <c r="Y136" s="101">
        <f t="shared" si="2"/>
        <v>0</v>
      </c>
      <c r="Z136" s="101">
        <f t="shared" si="2"/>
        <v>0</v>
      </c>
      <c r="AA136" s="101">
        <f t="shared" si="2"/>
        <v>0</v>
      </c>
      <c r="AB136" s="101">
        <f t="shared" si="2"/>
        <v>0</v>
      </c>
      <c r="AC136" s="79"/>
      <c r="AD136" s="79"/>
      <c r="AE136" s="79"/>
      <c r="AF136" s="79"/>
      <c r="AG136" s="79"/>
      <c r="AH136" s="79"/>
      <c r="AI136" s="79"/>
      <c r="AJ136" s="79"/>
      <c r="AK136" s="79"/>
      <c r="AL136" s="79"/>
      <c r="AM136" s="79"/>
      <c r="AN136" s="79"/>
      <c r="AO136" s="79"/>
      <c r="AP136" s="79"/>
    </row>
    <row r="137" spans="3:44" x14ac:dyDescent="0.25">
      <c r="C137" s="91"/>
      <c r="F137" t="s">
        <v>231</v>
      </c>
      <c r="G137" t="s">
        <v>329</v>
      </c>
      <c r="J137" s="101">
        <f t="shared" ref="J137:AB137" si="3">hundred*J98*$H56*J85/$H42*(1-J110)/days_in_year/(1+$H28)*PowerFactor</f>
        <v>0</v>
      </c>
      <c r="K137" s="101">
        <f t="shared" si="3"/>
        <v>0</v>
      </c>
      <c r="L137" s="101">
        <f t="shared" si="3"/>
        <v>0</v>
      </c>
      <c r="M137" s="101">
        <f t="shared" si="3"/>
        <v>0</v>
      </c>
      <c r="N137" s="101">
        <f t="shared" si="3"/>
        <v>0</v>
      </c>
      <c r="O137" s="101">
        <f t="shared" si="3"/>
        <v>0</v>
      </c>
      <c r="P137" s="101">
        <f t="shared" si="3"/>
        <v>0</v>
      </c>
      <c r="Q137" s="101">
        <f t="shared" si="3"/>
        <v>0</v>
      </c>
      <c r="R137" s="101">
        <f t="shared" si="3"/>
        <v>1.7656075555708008</v>
      </c>
      <c r="S137" s="101">
        <f t="shared" si="3"/>
        <v>0</v>
      </c>
      <c r="T137" s="101">
        <f t="shared" si="3"/>
        <v>0</v>
      </c>
      <c r="U137" s="101">
        <f t="shared" si="3"/>
        <v>0</v>
      </c>
      <c r="V137" s="101">
        <f t="shared" si="3"/>
        <v>0</v>
      </c>
      <c r="W137" s="101">
        <f t="shared" si="3"/>
        <v>1.7656075555708008</v>
      </c>
      <c r="X137" s="101">
        <f t="shared" si="3"/>
        <v>0</v>
      </c>
      <c r="Y137" s="101">
        <f t="shared" si="3"/>
        <v>0</v>
      </c>
      <c r="Z137" s="101">
        <f t="shared" si="3"/>
        <v>0</v>
      </c>
      <c r="AA137" s="101">
        <f t="shared" si="3"/>
        <v>0</v>
      </c>
      <c r="AB137" s="101">
        <f t="shared" si="3"/>
        <v>0</v>
      </c>
      <c r="AC137" s="79"/>
      <c r="AD137" s="79"/>
      <c r="AE137" s="79"/>
      <c r="AF137" s="79"/>
      <c r="AG137" s="79"/>
      <c r="AH137" s="79"/>
      <c r="AI137" s="79"/>
      <c r="AJ137" s="79"/>
      <c r="AK137" s="79"/>
      <c r="AL137" s="79"/>
      <c r="AM137" s="79"/>
      <c r="AN137" s="79"/>
      <c r="AO137" s="79"/>
      <c r="AP137" s="79"/>
    </row>
    <row r="138" spans="3:44" x14ac:dyDescent="0.25">
      <c r="C138" s="91"/>
      <c r="F138" t="s">
        <v>232</v>
      </c>
      <c r="G138" t="s">
        <v>329</v>
      </c>
      <c r="J138" s="101">
        <f t="shared" ref="J138:AB138" si="4">hundred*J99*$H57*J86/$H43*(1-J111)/days_in_year/(1+$H29)*PowerFactor</f>
        <v>0</v>
      </c>
      <c r="K138" s="101">
        <f t="shared" si="4"/>
        <v>0</v>
      </c>
      <c r="L138" s="101">
        <f t="shared" si="4"/>
        <v>0</v>
      </c>
      <c r="M138" s="101">
        <f t="shared" si="4"/>
        <v>0</v>
      </c>
      <c r="N138" s="101">
        <f t="shared" si="4"/>
        <v>0</v>
      </c>
      <c r="O138" s="101">
        <f t="shared" si="4"/>
        <v>0</v>
      </c>
      <c r="P138" s="101">
        <f t="shared" si="4"/>
        <v>0</v>
      </c>
      <c r="Q138" s="101">
        <f t="shared" si="4"/>
        <v>0</v>
      </c>
      <c r="R138" s="101">
        <f t="shared" si="4"/>
        <v>0</v>
      </c>
      <c r="S138" s="101">
        <f t="shared" si="4"/>
        <v>0</v>
      </c>
      <c r="T138" s="101">
        <f t="shared" si="4"/>
        <v>0</v>
      </c>
      <c r="U138" s="101">
        <f t="shared" si="4"/>
        <v>0</v>
      </c>
      <c r="V138" s="101">
        <f t="shared" si="4"/>
        <v>0</v>
      </c>
      <c r="W138" s="101">
        <f t="shared" si="4"/>
        <v>0</v>
      </c>
      <c r="X138" s="101">
        <f t="shared" si="4"/>
        <v>0</v>
      </c>
      <c r="Y138" s="101">
        <f t="shared" si="4"/>
        <v>0</v>
      </c>
      <c r="Z138" s="101">
        <f t="shared" si="4"/>
        <v>0</v>
      </c>
      <c r="AA138" s="101">
        <f t="shared" si="4"/>
        <v>0</v>
      </c>
      <c r="AB138" s="101">
        <f t="shared" si="4"/>
        <v>0</v>
      </c>
      <c r="AC138" s="79"/>
      <c r="AD138" s="79"/>
      <c r="AE138" s="79"/>
      <c r="AF138" s="79"/>
      <c r="AG138" s="79"/>
      <c r="AH138" s="79"/>
      <c r="AI138" s="79"/>
      <c r="AJ138" s="79"/>
      <c r="AK138" s="79"/>
      <c r="AL138" s="79"/>
      <c r="AM138" s="79"/>
      <c r="AN138" s="79"/>
      <c r="AO138" s="79"/>
      <c r="AP138" s="79"/>
    </row>
    <row r="139" spans="3:44" x14ac:dyDescent="0.25">
      <c r="C139" s="91"/>
      <c r="F139" t="s">
        <v>233</v>
      </c>
      <c r="G139" t="s">
        <v>329</v>
      </c>
      <c r="J139" s="101">
        <f t="shared" ref="J139:AB139" si="5">hundred*J100*$H58*J87/$H44*(1-J112)/days_in_year/(1+$H30)*PowerFactor</f>
        <v>0</v>
      </c>
      <c r="K139" s="101">
        <f t="shared" si="5"/>
        <v>0</v>
      </c>
      <c r="L139" s="101">
        <f t="shared" si="5"/>
        <v>0</v>
      </c>
      <c r="M139" s="101">
        <f t="shared" si="5"/>
        <v>0</v>
      </c>
      <c r="N139" s="101">
        <f t="shared" si="5"/>
        <v>0</v>
      </c>
      <c r="O139" s="101">
        <f t="shared" si="5"/>
        <v>0</v>
      </c>
      <c r="P139" s="101">
        <f t="shared" si="5"/>
        <v>0</v>
      </c>
      <c r="Q139" s="101">
        <f t="shared" si="5"/>
        <v>0</v>
      </c>
      <c r="R139" s="101">
        <f t="shared" si="5"/>
        <v>2.9235512151241809</v>
      </c>
      <c r="S139" s="101">
        <f t="shared" si="5"/>
        <v>0</v>
      </c>
      <c r="T139" s="101">
        <f t="shared" si="5"/>
        <v>0</v>
      </c>
      <c r="U139" s="101">
        <f t="shared" si="5"/>
        <v>0.57924496564016736</v>
      </c>
      <c r="V139" s="101">
        <f t="shared" si="5"/>
        <v>2.8085409572553055</v>
      </c>
      <c r="W139" s="101">
        <f t="shared" si="5"/>
        <v>2.9235512151241809</v>
      </c>
      <c r="X139" s="101">
        <f t="shared" si="5"/>
        <v>0</v>
      </c>
      <c r="Y139" s="101">
        <f t="shared" si="5"/>
        <v>0</v>
      </c>
      <c r="Z139" s="101">
        <f t="shared" si="5"/>
        <v>0</v>
      </c>
      <c r="AA139" s="101">
        <f t="shared" si="5"/>
        <v>0</v>
      </c>
      <c r="AB139" s="101">
        <f t="shared" si="5"/>
        <v>0</v>
      </c>
      <c r="AC139" s="79"/>
      <c r="AD139" s="79"/>
      <c r="AE139" s="79"/>
      <c r="AF139" s="79"/>
      <c r="AG139" s="79"/>
      <c r="AH139" s="79"/>
      <c r="AI139" s="79"/>
      <c r="AJ139" s="79"/>
      <c r="AK139" s="79"/>
      <c r="AL139" s="79"/>
      <c r="AM139" s="79"/>
      <c r="AN139" s="79"/>
      <c r="AO139" s="79"/>
      <c r="AP139" s="79"/>
    </row>
    <row r="140" spans="3:44" x14ac:dyDescent="0.25">
      <c r="C140" s="91"/>
      <c r="F140" t="s">
        <v>234</v>
      </c>
      <c r="G140" t="s">
        <v>329</v>
      </c>
      <c r="J140" s="101">
        <f t="shared" ref="J140:AB140" si="6">hundred*J101*$H59*J88/$H45*(1-J113)/days_in_year/(1+$H31)*PowerFactor</f>
        <v>0</v>
      </c>
      <c r="K140" s="101">
        <f t="shared" si="6"/>
        <v>0</v>
      </c>
      <c r="L140" s="101">
        <f t="shared" si="6"/>
        <v>0</v>
      </c>
      <c r="M140" s="101">
        <f t="shared" si="6"/>
        <v>0</v>
      </c>
      <c r="N140" s="101">
        <f t="shared" si="6"/>
        <v>0</v>
      </c>
      <c r="O140" s="101">
        <f t="shared" si="6"/>
        <v>0</v>
      </c>
      <c r="P140" s="101">
        <f t="shared" si="6"/>
        <v>0</v>
      </c>
      <c r="Q140" s="101">
        <f t="shared" si="6"/>
        <v>0.2572239707261566</v>
      </c>
      <c r="R140" s="101">
        <f t="shared" si="6"/>
        <v>0</v>
      </c>
      <c r="S140" s="101">
        <f t="shared" si="6"/>
        <v>0</v>
      </c>
      <c r="T140" s="101">
        <f t="shared" si="6"/>
        <v>0</v>
      </c>
      <c r="U140" s="101">
        <f t="shared" si="6"/>
        <v>0.26525461503454184</v>
      </c>
      <c r="V140" s="101">
        <f t="shared" si="6"/>
        <v>0.2572239707261566</v>
      </c>
      <c r="W140" s="101">
        <f t="shared" si="6"/>
        <v>0</v>
      </c>
      <c r="X140" s="101">
        <f t="shared" si="6"/>
        <v>0</v>
      </c>
      <c r="Y140" s="101">
        <f t="shared" si="6"/>
        <v>0</v>
      </c>
      <c r="Z140" s="101">
        <f t="shared" si="6"/>
        <v>0</v>
      </c>
      <c r="AA140" s="101">
        <f t="shared" si="6"/>
        <v>0</v>
      </c>
      <c r="AB140" s="101">
        <f t="shared" si="6"/>
        <v>0</v>
      </c>
      <c r="AC140" s="79"/>
      <c r="AD140" s="79"/>
      <c r="AE140" s="79"/>
      <c r="AF140" s="79"/>
      <c r="AG140" s="79"/>
      <c r="AH140" s="79"/>
      <c r="AI140" s="79"/>
      <c r="AJ140" s="79"/>
      <c r="AK140" s="79"/>
      <c r="AL140" s="79"/>
      <c r="AM140" s="79"/>
      <c r="AN140" s="79"/>
      <c r="AO140" s="79"/>
      <c r="AP140" s="79"/>
    </row>
    <row r="141" spans="3:44" x14ac:dyDescent="0.25">
      <c r="C141" s="91"/>
      <c r="F141" t="s">
        <v>235</v>
      </c>
      <c r="G141" t="s">
        <v>329</v>
      </c>
      <c r="J141" s="101">
        <f t="shared" ref="J141:AB141" si="7">hundred*J102*$H60*J89/$H46*(1-J114)/days_in_year/(1+$H32)*PowerFactor</f>
        <v>8.9469823783937572E-2</v>
      </c>
      <c r="K141" s="101">
        <f t="shared" si="7"/>
        <v>8.9469823783937572E-2</v>
      </c>
      <c r="L141" s="101">
        <f t="shared" si="7"/>
        <v>8.9469823783937572E-2</v>
      </c>
      <c r="M141" s="101">
        <f t="shared" si="7"/>
        <v>8.9469823783937572E-2</v>
      </c>
      <c r="N141" s="101">
        <f t="shared" si="7"/>
        <v>8.9469823783937572E-2</v>
      </c>
      <c r="O141" s="101">
        <f t="shared" si="7"/>
        <v>8.9469823783937572E-2</v>
      </c>
      <c r="P141" s="101">
        <f t="shared" si="7"/>
        <v>8.9469823783937572E-2</v>
      </c>
      <c r="Q141" s="101">
        <f t="shared" si="7"/>
        <v>0</v>
      </c>
      <c r="R141" s="101">
        <f t="shared" si="7"/>
        <v>0</v>
      </c>
      <c r="S141" s="101">
        <f t="shared" si="7"/>
        <v>8.9469823783937572E-2</v>
      </c>
      <c r="T141" s="101">
        <f t="shared" si="7"/>
        <v>8.9469823783937572E-2</v>
      </c>
      <c r="U141" s="101">
        <f t="shared" si="7"/>
        <v>8.9469823783937572E-2</v>
      </c>
      <c r="V141" s="101">
        <f t="shared" si="7"/>
        <v>0</v>
      </c>
      <c r="W141" s="101">
        <f t="shared" si="7"/>
        <v>0</v>
      </c>
      <c r="X141" s="101">
        <f t="shared" si="7"/>
        <v>0</v>
      </c>
      <c r="Y141" s="101">
        <f t="shared" si="7"/>
        <v>0</v>
      </c>
      <c r="Z141" s="101">
        <f t="shared" si="7"/>
        <v>0</v>
      </c>
      <c r="AA141" s="101">
        <f t="shared" si="7"/>
        <v>0</v>
      </c>
      <c r="AB141" s="101">
        <f t="shared" si="7"/>
        <v>0</v>
      </c>
      <c r="AC141" s="79"/>
      <c r="AD141" s="79"/>
      <c r="AE141" s="79"/>
      <c r="AF141" s="79"/>
      <c r="AG141" s="79"/>
      <c r="AH141" s="79"/>
      <c r="AI141" s="79"/>
      <c r="AJ141" s="79"/>
      <c r="AK141" s="79"/>
      <c r="AL141" s="79"/>
      <c r="AM141" s="79"/>
      <c r="AN141" s="79"/>
      <c r="AO141" s="79"/>
      <c r="AP141" s="79"/>
    </row>
    <row r="142" spans="3:44" x14ac:dyDescent="0.25">
      <c r="C142" s="91"/>
      <c r="D142"/>
      <c r="F142" t="s">
        <v>436</v>
      </c>
      <c r="G142" t="s">
        <v>329</v>
      </c>
      <c r="J142" s="79"/>
      <c r="K142" s="79"/>
      <c r="L142" s="79"/>
      <c r="M142" s="79"/>
      <c r="N142" s="79"/>
      <c r="O142" s="79"/>
      <c r="P142" s="79"/>
      <c r="Q142" s="79"/>
      <c r="R142" s="79"/>
      <c r="S142" s="79"/>
      <c r="T142" s="79"/>
      <c r="U142" s="79"/>
      <c r="V142" s="79"/>
      <c r="W142" s="79"/>
      <c r="X142" s="79"/>
      <c r="Y142" s="79"/>
      <c r="Z142" s="79"/>
      <c r="AA142" s="79"/>
      <c r="AB142" s="79"/>
      <c r="AC142" s="79"/>
      <c r="AD142" s="79"/>
      <c r="AE142" s="79"/>
      <c r="AF142" s="79"/>
      <c r="AG142" s="79"/>
      <c r="AH142" s="79"/>
      <c r="AI142" s="79"/>
      <c r="AJ142" s="79"/>
      <c r="AK142" s="79"/>
      <c r="AL142" s="79"/>
      <c r="AM142" s="79"/>
      <c r="AN142" s="79"/>
      <c r="AO142" s="79"/>
      <c r="AP142" s="79"/>
    </row>
    <row r="143" spans="3:44" x14ac:dyDescent="0.25">
      <c r="C143" s="91"/>
      <c r="D143"/>
      <c r="F143" s="37" t="s">
        <v>437</v>
      </c>
      <c r="G143" s="37" t="s">
        <v>329</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J144" s="101"/>
      <c r="K144" s="101"/>
      <c r="L144" s="101"/>
      <c r="M144" s="101"/>
      <c r="N144" s="101"/>
      <c r="O144" s="101"/>
      <c r="P144" s="101"/>
      <c r="Q144" s="101"/>
      <c r="R144" s="101"/>
      <c r="S144" s="101"/>
      <c r="T144" s="101"/>
      <c r="U144" s="101"/>
      <c r="V144" s="101"/>
      <c r="W144" s="101"/>
      <c r="X144" s="101"/>
      <c r="Y144" s="101"/>
      <c r="Z144" s="101"/>
      <c r="AA144" s="101"/>
      <c r="AB144" s="101"/>
      <c r="AC144" s="101"/>
      <c r="AD144" s="101"/>
      <c r="AE144" s="101"/>
      <c r="AF144" s="101"/>
      <c r="AG144" s="101"/>
      <c r="AH144" s="101"/>
      <c r="AI144" s="101"/>
      <c r="AJ144" s="101"/>
      <c r="AK144" s="101"/>
      <c r="AL144" s="101"/>
      <c r="AM144" s="101"/>
      <c r="AN144" s="101"/>
      <c r="AO144" s="101"/>
      <c r="AP144" s="101"/>
    </row>
    <row r="145" spans="3:44" x14ac:dyDescent="0.25">
      <c r="C145" s="91"/>
      <c r="E145" s="32" t="s">
        <v>734</v>
      </c>
      <c r="J145" s="101"/>
      <c r="K145" s="101"/>
      <c r="L145" s="101"/>
      <c r="M145" s="101"/>
      <c r="N145" s="101"/>
      <c r="O145" s="101"/>
      <c r="P145" s="101"/>
      <c r="Q145" s="101"/>
      <c r="R145" s="101"/>
      <c r="S145" s="101"/>
      <c r="T145" s="101"/>
      <c r="U145" s="101"/>
      <c r="V145" s="101"/>
      <c r="W145" s="101"/>
      <c r="X145" s="101"/>
      <c r="Y145" s="101"/>
      <c r="Z145" s="101"/>
      <c r="AA145" s="101"/>
      <c r="AB145" s="101"/>
      <c r="AC145" s="101"/>
      <c r="AD145" s="101"/>
      <c r="AE145" s="101"/>
      <c r="AF145" s="101"/>
      <c r="AG145" s="101"/>
      <c r="AH145" s="101"/>
      <c r="AI145" s="101"/>
      <c r="AJ145" s="101"/>
      <c r="AK145" s="101"/>
      <c r="AL145" s="101"/>
      <c r="AM145" s="101"/>
      <c r="AN145" s="101"/>
      <c r="AO145" s="101"/>
      <c r="AP145" s="101"/>
    </row>
    <row r="146" spans="3:44" x14ac:dyDescent="0.25">
      <c r="C146" s="91"/>
      <c r="F146" s="23" t="s">
        <v>225</v>
      </c>
      <c r="G146" s="23" t="s">
        <v>329</v>
      </c>
      <c r="H146" s="23"/>
      <c r="I146" s="23"/>
      <c r="J146" s="129">
        <f t="shared" ref="J146:AB146" si="8">hundred*J94*$H65*J80/$H37/days_in_year/(1+$H23)*PowerFactor</f>
        <v>0</v>
      </c>
      <c r="K146" s="129">
        <f t="shared" si="8"/>
        <v>0</v>
      </c>
      <c r="L146" s="129">
        <f t="shared" si="8"/>
        <v>0</v>
      </c>
      <c r="M146" s="129">
        <f t="shared" si="8"/>
        <v>0</v>
      </c>
      <c r="N146" s="129">
        <f t="shared" si="8"/>
        <v>0</v>
      </c>
      <c r="O146" s="129">
        <f t="shared" si="8"/>
        <v>0</v>
      </c>
      <c r="P146" s="129">
        <f t="shared" si="8"/>
        <v>0</v>
      </c>
      <c r="Q146" s="129">
        <f t="shared" si="8"/>
        <v>0</v>
      </c>
      <c r="R146" s="129">
        <f t="shared" si="8"/>
        <v>0</v>
      </c>
      <c r="S146" s="129">
        <f t="shared" si="8"/>
        <v>0</v>
      </c>
      <c r="T146" s="129">
        <f t="shared" si="8"/>
        <v>0</v>
      </c>
      <c r="U146" s="129">
        <f t="shared" si="8"/>
        <v>0</v>
      </c>
      <c r="V146" s="129">
        <f t="shared" si="8"/>
        <v>0</v>
      </c>
      <c r="W146" s="129">
        <f t="shared" si="8"/>
        <v>0</v>
      </c>
      <c r="X146" s="129">
        <f t="shared" si="8"/>
        <v>0</v>
      </c>
      <c r="Y146" s="129">
        <f t="shared" si="8"/>
        <v>0</v>
      </c>
      <c r="Z146" s="129">
        <f t="shared" si="8"/>
        <v>0</v>
      </c>
      <c r="AA146" s="129">
        <f t="shared" si="8"/>
        <v>0</v>
      </c>
      <c r="AB146" s="129">
        <f t="shared" si="8"/>
        <v>0</v>
      </c>
      <c r="AC146" s="83"/>
      <c r="AD146" s="83"/>
      <c r="AE146" s="83"/>
      <c r="AF146" s="83"/>
      <c r="AG146" s="83"/>
      <c r="AH146" s="83"/>
      <c r="AI146" s="83"/>
      <c r="AJ146" s="83"/>
      <c r="AK146" s="83"/>
      <c r="AL146" s="83"/>
      <c r="AM146" s="83"/>
      <c r="AN146" s="83"/>
      <c r="AO146" s="83"/>
      <c r="AP146" s="83"/>
    </row>
    <row r="147" spans="3:44" x14ac:dyDescent="0.25">
      <c r="C147" s="91"/>
      <c r="F147" t="s">
        <v>227</v>
      </c>
      <c r="G147" t="s">
        <v>329</v>
      </c>
      <c r="J147" s="101">
        <f t="shared" ref="J147:AB147" si="9">hundred*J94*$H66*J81/$H38/days_in_year/(1+$H24)*PowerFactor</f>
        <v>0</v>
      </c>
      <c r="K147" s="101">
        <f t="shared" si="9"/>
        <v>0</v>
      </c>
      <c r="L147" s="101">
        <f t="shared" si="9"/>
        <v>0</v>
      </c>
      <c r="M147" s="101">
        <f t="shared" si="9"/>
        <v>0</v>
      </c>
      <c r="N147" s="101">
        <f t="shared" si="9"/>
        <v>0</v>
      </c>
      <c r="O147" s="101">
        <f t="shared" si="9"/>
        <v>0</v>
      </c>
      <c r="P147" s="101">
        <f t="shared" si="9"/>
        <v>0</v>
      </c>
      <c r="Q147" s="101">
        <f t="shared" si="9"/>
        <v>0</v>
      </c>
      <c r="R147" s="101">
        <f t="shared" si="9"/>
        <v>0</v>
      </c>
      <c r="S147" s="101">
        <f t="shared" si="9"/>
        <v>0</v>
      </c>
      <c r="T147" s="101">
        <f t="shared" si="9"/>
        <v>0</v>
      </c>
      <c r="U147" s="101">
        <f t="shared" si="9"/>
        <v>0</v>
      </c>
      <c r="V147" s="101">
        <f t="shared" si="9"/>
        <v>0</v>
      </c>
      <c r="W147" s="101">
        <f t="shared" si="9"/>
        <v>0</v>
      </c>
      <c r="X147" s="101">
        <f t="shared" si="9"/>
        <v>0</v>
      </c>
      <c r="Y147" s="101">
        <f t="shared" si="9"/>
        <v>0</v>
      </c>
      <c r="Z147" s="101">
        <f t="shared" si="9"/>
        <v>0</v>
      </c>
      <c r="AA147" s="101">
        <f t="shared" si="9"/>
        <v>0</v>
      </c>
      <c r="AB147" s="101">
        <f t="shared" si="9"/>
        <v>0</v>
      </c>
      <c r="AC147" s="79"/>
      <c r="AD147" s="79"/>
      <c r="AE147" s="79"/>
      <c r="AF147" s="79"/>
      <c r="AG147" s="79"/>
      <c r="AH147" s="79"/>
      <c r="AI147" s="79"/>
      <c r="AJ147" s="79"/>
      <c r="AK147" s="79"/>
      <c r="AL147" s="79"/>
      <c r="AM147" s="79"/>
      <c r="AN147" s="79"/>
      <c r="AO147" s="79"/>
      <c r="AP147" s="79"/>
    </row>
    <row r="148" spans="3:44" x14ac:dyDescent="0.25">
      <c r="C148" s="91"/>
      <c r="F148" t="s">
        <v>228</v>
      </c>
      <c r="G148" t="s">
        <v>329</v>
      </c>
      <c r="J148" s="101">
        <f t="shared" ref="J148:AB148" si="10">hundred*J95*$H67*J82/$H39/days_in_year/(1+$H25)*PowerFactor</f>
        <v>0</v>
      </c>
      <c r="K148" s="101">
        <f t="shared" si="10"/>
        <v>0</v>
      </c>
      <c r="L148" s="101">
        <f t="shared" si="10"/>
        <v>0</v>
      </c>
      <c r="M148" s="101">
        <f t="shared" si="10"/>
        <v>0</v>
      </c>
      <c r="N148" s="101">
        <f t="shared" si="10"/>
        <v>0</v>
      </c>
      <c r="O148" s="101">
        <f t="shared" si="10"/>
        <v>0</v>
      </c>
      <c r="P148" s="101">
        <f t="shared" si="10"/>
        <v>0</v>
      </c>
      <c r="Q148" s="101">
        <f t="shared" si="10"/>
        <v>0</v>
      </c>
      <c r="R148" s="101">
        <f t="shared" si="10"/>
        <v>0</v>
      </c>
      <c r="S148" s="101">
        <f t="shared" si="10"/>
        <v>0</v>
      </c>
      <c r="T148" s="101">
        <f t="shared" si="10"/>
        <v>0</v>
      </c>
      <c r="U148" s="101">
        <f t="shared" si="10"/>
        <v>0</v>
      </c>
      <c r="V148" s="101">
        <f t="shared" si="10"/>
        <v>0</v>
      </c>
      <c r="W148" s="101">
        <f t="shared" si="10"/>
        <v>0</v>
      </c>
      <c r="X148" s="101">
        <f t="shared" si="10"/>
        <v>0</v>
      </c>
      <c r="Y148" s="101">
        <f t="shared" si="10"/>
        <v>0</v>
      </c>
      <c r="Z148" s="101">
        <f t="shared" si="10"/>
        <v>0</v>
      </c>
      <c r="AA148" s="101">
        <f t="shared" si="10"/>
        <v>0</v>
      </c>
      <c r="AB148" s="101">
        <f t="shared" si="10"/>
        <v>0</v>
      </c>
      <c r="AC148" s="79"/>
      <c r="AD148" s="79"/>
      <c r="AE148" s="79"/>
      <c r="AF148" s="79"/>
      <c r="AG148" s="79"/>
      <c r="AH148" s="79"/>
      <c r="AI148" s="79"/>
      <c r="AJ148" s="79"/>
      <c r="AK148" s="79"/>
      <c r="AL148" s="79"/>
      <c r="AM148" s="79"/>
      <c r="AN148" s="79"/>
      <c r="AO148" s="79"/>
      <c r="AP148" s="79"/>
    </row>
    <row r="149" spans="3:44" x14ac:dyDescent="0.25">
      <c r="C149" s="91"/>
      <c r="F149" t="s">
        <v>229</v>
      </c>
      <c r="G149" t="s">
        <v>329</v>
      </c>
      <c r="J149" s="101">
        <f t="shared" ref="J149:AB149" si="11">hundred*J96*$H68*J83/$H40/days_in_year/(1+$H26)*PowerFactor</f>
        <v>0</v>
      </c>
      <c r="K149" s="101">
        <f t="shared" si="11"/>
        <v>0</v>
      </c>
      <c r="L149" s="101">
        <f t="shared" si="11"/>
        <v>0</v>
      </c>
      <c r="M149" s="101">
        <f t="shared" si="11"/>
        <v>0</v>
      </c>
      <c r="N149" s="101">
        <f t="shared" si="11"/>
        <v>0</v>
      </c>
      <c r="O149" s="101">
        <f t="shared" si="11"/>
        <v>0</v>
      </c>
      <c r="P149" s="101">
        <f t="shared" si="11"/>
        <v>0</v>
      </c>
      <c r="Q149" s="101">
        <f t="shared" si="11"/>
        <v>0</v>
      </c>
      <c r="R149" s="101">
        <f t="shared" si="11"/>
        <v>0</v>
      </c>
      <c r="S149" s="101">
        <f t="shared" si="11"/>
        <v>0</v>
      </c>
      <c r="T149" s="101">
        <f t="shared" si="11"/>
        <v>0</v>
      </c>
      <c r="U149" s="101">
        <f t="shared" si="11"/>
        <v>0</v>
      </c>
      <c r="V149" s="101">
        <f t="shared" si="11"/>
        <v>0</v>
      </c>
      <c r="W149" s="101">
        <f t="shared" si="11"/>
        <v>0</v>
      </c>
      <c r="X149" s="101">
        <f t="shared" si="11"/>
        <v>0</v>
      </c>
      <c r="Y149" s="101">
        <f t="shared" si="11"/>
        <v>0</v>
      </c>
      <c r="Z149" s="101">
        <f t="shared" si="11"/>
        <v>0</v>
      </c>
      <c r="AA149" s="101">
        <f t="shared" si="11"/>
        <v>0</v>
      </c>
      <c r="AB149" s="101">
        <f t="shared" si="11"/>
        <v>0</v>
      </c>
      <c r="AC149" s="79"/>
      <c r="AD149" s="79"/>
      <c r="AE149" s="79"/>
      <c r="AF149" s="79"/>
      <c r="AG149" s="79"/>
      <c r="AH149" s="79"/>
      <c r="AI149" s="79"/>
      <c r="AJ149" s="79"/>
      <c r="AK149" s="79"/>
      <c r="AL149" s="79"/>
      <c r="AM149" s="79"/>
      <c r="AN149" s="79"/>
      <c r="AO149" s="79"/>
      <c r="AP149" s="79"/>
    </row>
    <row r="150" spans="3:44" x14ac:dyDescent="0.25">
      <c r="C150" s="91"/>
      <c r="F150" t="s">
        <v>230</v>
      </c>
      <c r="G150" t="s">
        <v>329</v>
      </c>
      <c r="J150" s="101">
        <f t="shared" ref="J150:AB150" si="12">hundred*J97*$H69*J84/$H41/days_in_year/(1+$H27)*PowerFactor</f>
        <v>0</v>
      </c>
      <c r="K150" s="101">
        <f t="shared" si="12"/>
        <v>0</v>
      </c>
      <c r="L150" s="101">
        <f t="shared" si="12"/>
        <v>0</v>
      </c>
      <c r="M150" s="101">
        <f t="shared" si="12"/>
        <v>0</v>
      </c>
      <c r="N150" s="101">
        <f t="shared" si="12"/>
        <v>0</v>
      </c>
      <c r="O150" s="101">
        <f t="shared" si="12"/>
        <v>0</v>
      </c>
      <c r="P150" s="101">
        <f t="shared" si="12"/>
        <v>0</v>
      </c>
      <c r="Q150" s="101">
        <f t="shared" si="12"/>
        <v>0</v>
      </c>
      <c r="R150" s="101">
        <f t="shared" si="12"/>
        <v>0.30596205351779326</v>
      </c>
      <c r="S150" s="101">
        <f t="shared" si="12"/>
        <v>0</v>
      </c>
      <c r="T150" s="101">
        <f t="shared" si="12"/>
        <v>0</v>
      </c>
      <c r="U150" s="101">
        <f t="shared" si="12"/>
        <v>0</v>
      </c>
      <c r="V150" s="101">
        <f t="shared" si="12"/>
        <v>0</v>
      </c>
      <c r="W150" s="101">
        <f t="shared" si="12"/>
        <v>0.30596205351779326</v>
      </c>
      <c r="X150" s="101">
        <f t="shared" si="12"/>
        <v>0</v>
      </c>
      <c r="Y150" s="101">
        <f t="shared" si="12"/>
        <v>0</v>
      </c>
      <c r="Z150" s="101">
        <f t="shared" si="12"/>
        <v>0</v>
      </c>
      <c r="AA150" s="101">
        <f t="shared" si="12"/>
        <v>0</v>
      </c>
      <c r="AB150" s="101">
        <f t="shared" si="12"/>
        <v>0</v>
      </c>
      <c r="AC150" s="79"/>
      <c r="AD150" s="79"/>
      <c r="AE150" s="79"/>
      <c r="AF150" s="79"/>
      <c r="AG150" s="79"/>
      <c r="AH150" s="79"/>
      <c r="AI150" s="79"/>
      <c r="AJ150" s="79"/>
      <c r="AK150" s="79"/>
      <c r="AL150" s="79"/>
      <c r="AM150" s="79"/>
      <c r="AN150" s="79"/>
      <c r="AO150" s="79"/>
      <c r="AP150" s="79"/>
    </row>
    <row r="151" spans="3:44" x14ac:dyDescent="0.25">
      <c r="C151" s="91"/>
      <c r="F151" t="s">
        <v>231</v>
      </c>
      <c r="G151" t="s">
        <v>329</v>
      </c>
      <c r="J151" s="101">
        <f t="shared" ref="J151:AB151" si="13">hundred*J98*$H70*J85/$H42/days_in_year/(1+$H28)*PowerFactor</f>
        <v>0</v>
      </c>
      <c r="K151" s="101">
        <f t="shared" si="13"/>
        <v>0</v>
      </c>
      <c r="L151" s="101">
        <f t="shared" si="13"/>
        <v>0</v>
      </c>
      <c r="M151" s="101">
        <f t="shared" si="13"/>
        <v>0</v>
      </c>
      <c r="N151" s="101">
        <f t="shared" si="13"/>
        <v>0</v>
      </c>
      <c r="O151" s="101">
        <f t="shared" si="13"/>
        <v>0</v>
      </c>
      <c r="P151" s="101">
        <f t="shared" si="13"/>
        <v>0</v>
      </c>
      <c r="Q151" s="101">
        <f t="shared" si="13"/>
        <v>0</v>
      </c>
      <c r="R151" s="101">
        <f t="shared" si="13"/>
        <v>1.3841666779358266</v>
      </c>
      <c r="S151" s="101">
        <f t="shared" si="13"/>
        <v>0</v>
      </c>
      <c r="T151" s="101">
        <f t="shared" si="13"/>
        <v>0</v>
      </c>
      <c r="U151" s="101">
        <f t="shared" si="13"/>
        <v>0</v>
      </c>
      <c r="V151" s="101">
        <f t="shared" si="13"/>
        <v>0</v>
      </c>
      <c r="W151" s="101">
        <f t="shared" si="13"/>
        <v>1.3841666779358266</v>
      </c>
      <c r="X151" s="101">
        <f t="shared" si="13"/>
        <v>0</v>
      </c>
      <c r="Y151" s="101">
        <f t="shared" si="13"/>
        <v>0</v>
      </c>
      <c r="Z151" s="101">
        <f t="shared" si="13"/>
        <v>0</v>
      </c>
      <c r="AA151" s="101">
        <f t="shared" si="13"/>
        <v>0</v>
      </c>
      <c r="AB151" s="101">
        <f t="shared" si="13"/>
        <v>0</v>
      </c>
      <c r="AC151" s="79"/>
      <c r="AD151" s="79"/>
      <c r="AE151" s="79"/>
      <c r="AF151" s="79"/>
      <c r="AG151" s="79"/>
      <c r="AH151" s="79"/>
      <c r="AI151" s="79"/>
      <c r="AJ151" s="79"/>
      <c r="AK151" s="79"/>
      <c r="AL151" s="79"/>
      <c r="AM151" s="79"/>
      <c r="AN151" s="79"/>
      <c r="AO151" s="79"/>
      <c r="AP151" s="79"/>
    </row>
    <row r="152" spans="3:44" x14ac:dyDescent="0.25">
      <c r="C152" s="91"/>
      <c r="F152" t="s">
        <v>232</v>
      </c>
      <c r="G152" t="s">
        <v>329</v>
      </c>
      <c r="J152" s="101">
        <f t="shared" ref="J152:AB152" si="14">hundred*J99*$H71*J86/$H43/days_in_year/(1+$H29)*PowerFactor</f>
        <v>0</v>
      </c>
      <c r="K152" s="101">
        <f t="shared" si="14"/>
        <v>0</v>
      </c>
      <c r="L152" s="101">
        <f t="shared" si="14"/>
        <v>0</v>
      </c>
      <c r="M152" s="101">
        <f t="shared" si="14"/>
        <v>0</v>
      </c>
      <c r="N152" s="101">
        <f t="shared" si="14"/>
        <v>0</v>
      </c>
      <c r="O152" s="101">
        <f t="shared" si="14"/>
        <v>0</v>
      </c>
      <c r="P152" s="101">
        <f t="shared" si="14"/>
        <v>0</v>
      </c>
      <c r="Q152" s="101">
        <f t="shared" si="14"/>
        <v>0</v>
      </c>
      <c r="R152" s="101">
        <f t="shared" si="14"/>
        <v>0</v>
      </c>
      <c r="S152" s="101">
        <f t="shared" si="14"/>
        <v>0</v>
      </c>
      <c r="T152" s="101">
        <f t="shared" si="14"/>
        <v>0</v>
      </c>
      <c r="U152" s="101">
        <f t="shared" si="14"/>
        <v>0</v>
      </c>
      <c r="V152" s="101">
        <f t="shared" si="14"/>
        <v>0</v>
      </c>
      <c r="W152" s="101">
        <f t="shared" si="14"/>
        <v>0</v>
      </c>
      <c r="X152" s="101">
        <f t="shared" si="14"/>
        <v>0</v>
      </c>
      <c r="Y152" s="101">
        <f t="shared" si="14"/>
        <v>0</v>
      </c>
      <c r="Z152" s="101">
        <f t="shared" si="14"/>
        <v>0</v>
      </c>
      <c r="AA152" s="101">
        <f t="shared" si="14"/>
        <v>0</v>
      </c>
      <c r="AB152" s="101">
        <f t="shared" si="14"/>
        <v>0</v>
      </c>
      <c r="AC152" s="79"/>
      <c r="AD152" s="79"/>
      <c r="AE152" s="79"/>
      <c r="AF152" s="79"/>
      <c r="AG152" s="79"/>
      <c r="AH152" s="79"/>
      <c r="AI152" s="79"/>
      <c r="AJ152" s="79"/>
      <c r="AK152" s="79"/>
      <c r="AL152" s="79"/>
      <c r="AM152" s="79"/>
      <c r="AN152" s="79"/>
      <c r="AO152" s="79"/>
      <c r="AP152" s="79"/>
    </row>
    <row r="153" spans="3:44" x14ac:dyDescent="0.25">
      <c r="C153" s="91"/>
      <c r="F153" t="s">
        <v>233</v>
      </c>
      <c r="G153" t="s">
        <v>329</v>
      </c>
      <c r="J153" s="101">
        <f t="shared" ref="J153:AB153" si="15">hundred*J100*$H72*J87/$H44/days_in_year/(1+$H30)*PowerFactor</f>
        <v>0</v>
      </c>
      <c r="K153" s="101">
        <f t="shared" si="15"/>
        <v>0</v>
      </c>
      <c r="L153" s="101">
        <f t="shared" si="15"/>
        <v>0</v>
      </c>
      <c r="M153" s="101">
        <f t="shared" si="15"/>
        <v>0</v>
      </c>
      <c r="N153" s="101">
        <f t="shared" si="15"/>
        <v>0</v>
      </c>
      <c r="O153" s="101">
        <f t="shared" si="15"/>
        <v>0</v>
      </c>
      <c r="P153" s="101">
        <f t="shared" si="15"/>
        <v>0</v>
      </c>
      <c r="Q153" s="101">
        <f t="shared" si="15"/>
        <v>0</v>
      </c>
      <c r="R153" s="101">
        <f t="shared" si="15"/>
        <v>3.7225699529531289</v>
      </c>
      <c r="S153" s="101">
        <f t="shared" si="15"/>
        <v>0</v>
      </c>
      <c r="T153" s="101">
        <f t="shared" si="15"/>
        <v>0</v>
      </c>
      <c r="U153" s="101">
        <f t="shared" si="15"/>
        <v>0.78407753598433061</v>
      </c>
      <c r="V153" s="101">
        <f t="shared" si="15"/>
        <v>3.8016970437405382</v>
      </c>
      <c r="W153" s="101">
        <f t="shared" si="15"/>
        <v>3.7225699529531289</v>
      </c>
      <c r="X153" s="101">
        <f t="shared" si="15"/>
        <v>0</v>
      </c>
      <c r="Y153" s="101">
        <f t="shared" si="15"/>
        <v>0</v>
      </c>
      <c r="Z153" s="101">
        <f t="shared" si="15"/>
        <v>0</v>
      </c>
      <c r="AA153" s="101">
        <f t="shared" si="15"/>
        <v>0</v>
      </c>
      <c r="AB153" s="101">
        <f t="shared" si="15"/>
        <v>0</v>
      </c>
      <c r="AC153" s="79"/>
      <c r="AD153" s="79"/>
      <c r="AE153" s="79"/>
      <c r="AF153" s="79"/>
      <c r="AG153" s="79"/>
      <c r="AH153" s="79"/>
      <c r="AI153" s="79"/>
      <c r="AJ153" s="79"/>
      <c r="AK153" s="79"/>
      <c r="AL153" s="79"/>
      <c r="AM153" s="79"/>
      <c r="AN153" s="79"/>
      <c r="AO153" s="79"/>
      <c r="AP153" s="79"/>
    </row>
    <row r="154" spans="3:44" x14ac:dyDescent="0.25">
      <c r="C154" s="91"/>
      <c r="F154" t="s">
        <v>234</v>
      </c>
      <c r="G154" t="s">
        <v>329</v>
      </c>
      <c r="J154" s="101">
        <f t="shared" ref="J154:AB154" si="16">hundred*J101*$H73*J88/$H45/days_in_year/(1+$H31)*PowerFactor</f>
        <v>0</v>
      </c>
      <c r="K154" s="101">
        <f t="shared" si="16"/>
        <v>0</v>
      </c>
      <c r="L154" s="101">
        <f t="shared" si="16"/>
        <v>0</v>
      </c>
      <c r="M154" s="101">
        <f t="shared" si="16"/>
        <v>0</v>
      </c>
      <c r="N154" s="101">
        <f t="shared" si="16"/>
        <v>0</v>
      </c>
      <c r="O154" s="101">
        <f t="shared" si="16"/>
        <v>0</v>
      </c>
      <c r="P154" s="101">
        <f t="shared" si="16"/>
        <v>0</v>
      </c>
      <c r="Q154" s="101">
        <f t="shared" si="16"/>
        <v>0.92058689350217082</v>
      </c>
      <c r="R154" s="101">
        <f t="shared" si="16"/>
        <v>0</v>
      </c>
      <c r="S154" s="101">
        <f t="shared" si="16"/>
        <v>0</v>
      </c>
      <c r="T154" s="101">
        <f t="shared" si="16"/>
        <v>0</v>
      </c>
      <c r="U154" s="101">
        <f t="shared" si="16"/>
        <v>0.94932801695115077</v>
      </c>
      <c r="V154" s="101">
        <f t="shared" si="16"/>
        <v>0.92058689350217082</v>
      </c>
      <c r="W154" s="101">
        <f t="shared" si="16"/>
        <v>0</v>
      </c>
      <c r="X154" s="101">
        <f t="shared" si="16"/>
        <v>0</v>
      </c>
      <c r="Y154" s="101">
        <f t="shared" si="16"/>
        <v>0</v>
      </c>
      <c r="Z154" s="101">
        <f t="shared" si="16"/>
        <v>0</v>
      </c>
      <c r="AA154" s="101">
        <f t="shared" si="16"/>
        <v>0</v>
      </c>
      <c r="AB154" s="101">
        <f t="shared" si="16"/>
        <v>0</v>
      </c>
      <c r="AC154" s="79"/>
      <c r="AD154" s="79"/>
      <c r="AE154" s="79"/>
      <c r="AF154" s="79"/>
      <c r="AG154" s="79"/>
      <c r="AH154" s="79"/>
      <c r="AI154" s="79"/>
      <c r="AJ154" s="79"/>
      <c r="AK154" s="79"/>
      <c r="AL154" s="79"/>
      <c r="AM154" s="79"/>
      <c r="AN154" s="79"/>
      <c r="AO154" s="79"/>
      <c r="AP154" s="79"/>
    </row>
    <row r="155" spans="3:44" x14ac:dyDescent="0.25">
      <c r="C155" s="91"/>
      <c r="F155" t="s">
        <v>235</v>
      </c>
      <c r="G155" t="s">
        <v>329</v>
      </c>
      <c r="J155" s="101">
        <f t="shared" ref="J155:AB155" si="17">hundred*J102*$H74*J89/$H46/days_in_year/(1+$H32)*PowerFactor</f>
        <v>2.0930483819943402</v>
      </c>
      <c r="K155" s="101">
        <f t="shared" si="17"/>
        <v>2.0930483819943402</v>
      </c>
      <c r="L155" s="101">
        <f t="shared" si="17"/>
        <v>2.0930483819943402</v>
      </c>
      <c r="M155" s="101">
        <f t="shared" si="17"/>
        <v>2.0930483819943402</v>
      </c>
      <c r="N155" s="101">
        <f t="shared" si="17"/>
        <v>2.0930483819943402</v>
      </c>
      <c r="O155" s="101">
        <f t="shared" si="17"/>
        <v>2.0930483819943402</v>
      </c>
      <c r="P155" s="101">
        <f t="shared" si="17"/>
        <v>2.0930483819943402</v>
      </c>
      <c r="Q155" s="101">
        <f t="shared" si="17"/>
        <v>0</v>
      </c>
      <c r="R155" s="101">
        <f t="shared" si="17"/>
        <v>0</v>
      </c>
      <c r="S155" s="101">
        <f t="shared" si="17"/>
        <v>2.0930483819943402</v>
      </c>
      <c r="T155" s="101">
        <f t="shared" si="17"/>
        <v>2.0930483819943402</v>
      </c>
      <c r="U155" s="101">
        <f t="shared" si="17"/>
        <v>2.0930483819943402</v>
      </c>
      <c r="V155" s="101">
        <f t="shared" si="17"/>
        <v>0</v>
      </c>
      <c r="W155" s="101">
        <f t="shared" si="17"/>
        <v>0</v>
      </c>
      <c r="X155" s="101">
        <f t="shared" si="17"/>
        <v>0</v>
      </c>
      <c r="Y155" s="101">
        <f t="shared" si="17"/>
        <v>0</v>
      </c>
      <c r="Z155" s="101">
        <f t="shared" si="17"/>
        <v>0</v>
      </c>
      <c r="AA155" s="101">
        <f t="shared" si="17"/>
        <v>0</v>
      </c>
      <c r="AB155" s="101">
        <f t="shared" si="17"/>
        <v>0</v>
      </c>
      <c r="AC155" s="79"/>
      <c r="AD155" s="79"/>
      <c r="AE155" s="79"/>
      <c r="AF155" s="79"/>
      <c r="AG155" s="79"/>
      <c r="AH155" s="79"/>
      <c r="AI155" s="79"/>
      <c r="AJ155" s="79"/>
      <c r="AK155" s="79"/>
      <c r="AL155" s="79"/>
      <c r="AM155" s="79"/>
      <c r="AN155" s="79"/>
      <c r="AO155" s="79"/>
      <c r="AP155" s="79"/>
    </row>
    <row r="156" spans="3:44" x14ac:dyDescent="0.25">
      <c r="C156" s="91"/>
      <c r="D156"/>
      <c r="F156" t="s">
        <v>436</v>
      </c>
      <c r="G156" t="s">
        <v>329</v>
      </c>
      <c r="J156" s="79"/>
      <c r="K156" s="79"/>
      <c r="L156" s="79"/>
      <c r="M156" s="79"/>
      <c r="N156" s="79"/>
      <c r="O156" s="79"/>
      <c r="P156" s="79"/>
      <c r="Q156" s="79"/>
      <c r="R156" s="79"/>
      <c r="S156" s="79"/>
      <c r="T156" s="79"/>
      <c r="U156" s="79"/>
      <c r="V156" s="79"/>
      <c r="W156" s="79"/>
      <c r="X156" s="79"/>
      <c r="Y156" s="79"/>
      <c r="Z156" s="79"/>
      <c r="AA156" s="79"/>
      <c r="AB156" s="79"/>
      <c r="AC156" s="79"/>
      <c r="AD156" s="79"/>
      <c r="AE156" s="79"/>
      <c r="AF156" s="79"/>
      <c r="AG156" s="79"/>
      <c r="AH156" s="79"/>
      <c r="AI156" s="79"/>
      <c r="AJ156" s="79"/>
      <c r="AK156" s="79"/>
      <c r="AL156" s="79"/>
      <c r="AM156" s="79"/>
      <c r="AN156" s="79"/>
      <c r="AO156" s="79"/>
      <c r="AP156" s="79"/>
    </row>
    <row r="157" spans="3:44" x14ac:dyDescent="0.25">
      <c r="C157" s="91"/>
      <c r="D157"/>
      <c r="F157" s="37" t="s">
        <v>437</v>
      </c>
      <c r="G157" s="37" t="s">
        <v>329</v>
      </c>
      <c r="H157" s="37"/>
      <c r="I157" s="37"/>
      <c r="J157" s="81"/>
      <c r="K157" s="81"/>
      <c r="L157" s="81"/>
      <c r="M157" s="81"/>
      <c r="N157" s="81"/>
      <c r="O157" s="81"/>
      <c r="P157" s="81"/>
      <c r="Q157" s="81"/>
      <c r="R157" s="81"/>
      <c r="S157" s="81"/>
      <c r="T157" s="81"/>
      <c r="U157" s="81"/>
      <c r="V157" s="81"/>
      <c r="W157" s="81"/>
      <c r="X157" s="81"/>
      <c r="Y157" s="81"/>
      <c r="Z157" s="81"/>
      <c r="AA157" s="81"/>
      <c r="AB157" s="81"/>
      <c r="AC157" s="81"/>
      <c r="AD157" s="81"/>
      <c r="AE157" s="81"/>
      <c r="AF157" s="81"/>
      <c r="AG157" s="81"/>
      <c r="AH157" s="81"/>
      <c r="AI157" s="81"/>
      <c r="AJ157" s="81"/>
      <c r="AK157" s="81"/>
      <c r="AL157" s="81"/>
      <c r="AM157" s="81"/>
      <c r="AN157" s="81"/>
      <c r="AO157" s="81"/>
      <c r="AP157" s="81"/>
    </row>
    <row r="158" spans="3:44" x14ac:dyDescent="0.25">
      <c r="C158" s="91"/>
      <c r="J158" s="101"/>
      <c r="K158" s="101"/>
      <c r="L158" s="101"/>
      <c r="M158" s="101"/>
      <c r="N158" s="101"/>
      <c r="O158" s="101"/>
      <c r="P158" s="101"/>
      <c r="Q158" s="101"/>
      <c r="R158" s="101"/>
      <c r="S158" s="101"/>
      <c r="T158" s="101"/>
      <c r="U158" s="101"/>
      <c r="V158" s="101"/>
      <c r="W158" s="101"/>
      <c r="X158" s="101"/>
      <c r="Y158" s="101"/>
      <c r="Z158" s="101"/>
      <c r="AA158" s="101"/>
      <c r="AB158" s="101"/>
      <c r="AC158" s="101"/>
      <c r="AD158" s="101"/>
      <c r="AE158" s="101"/>
      <c r="AF158" s="101"/>
      <c r="AG158" s="101"/>
      <c r="AH158" s="101"/>
      <c r="AI158" s="101"/>
      <c r="AJ158" s="101"/>
      <c r="AK158" s="101"/>
      <c r="AL158" s="101"/>
      <c r="AM158" s="101"/>
      <c r="AN158" s="101"/>
      <c r="AO158" s="101"/>
      <c r="AP158" s="101"/>
    </row>
    <row r="159" spans="3:44" x14ac:dyDescent="0.25">
      <c r="C159" s="31" t="str">
        <f ca="1">INDEX('Version control'!$H$34:$H$56,MATCH($A$1,'Version control'!$F$34:$F$56,0),1)&amp;"-C: Exceeded capacity-based charge elements"</f>
        <v>Section 113-C: Exceeded capacity-based charge elements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3:42" x14ac:dyDescent="0.25">
      <c r="C161" s="91"/>
      <c r="E161" s="32" t="s">
        <v>733</v>
      </c>
      <c r="J161" s="92"/>
      <c r="K161" s="92"/>
      <c r="L161" s="92"/>
      <c r="M161" s="92"/>
      <c r="N161" s="92"/>
      <c r="O161" s="92"/>
      <c r="P161" s="92"/>
      <c r="Q161" s="92"/>
      <c r="R161" s="92"/>
      <c r="S161" s="92"/>
      <c r="T161" s="92"/>
      <c r="U161" s="92"/>
      <c r="V161" s="92"/>
      <c r="W161" s="92"/>
      <c r="X161" s="92"/>
      <c r="Y161" s="92"/>
      <c r="Z161" s="92"/>
      <c r="AA161" s="92"/>
      <c r="AB161" s="92"/>
      <c r="AC161" s="92"/>
      <c r="AD161" s="92"/>
      <c r="AE161" s="92"/>
      <c r="AF161" s="92"/>
      <c r="AG161" s="92"/>
      <c r="AH161" s="92"/>
      <c r="AI161" s="92"/>
      <c r="AJ161" s="92"/>
      <c r="AK161" s="92"/>
      <c r="AL161" s="92"/>
      <c r="AM161" s="92"/>
      <c r="AN161" s="92"/>
      <c r="AO161" s="92"/>
      <c r="AP161" s="92"/>
    </row>
    <row r="162" spans="3:42" x14ac:dyDescent="0.25">
      <c r="C162" s="91"/>
      <c r="F162" s="23" t="s">
        <v>225</v>
      </c>
      <c r="G162" s="23" t="s">
        <v>329</v>
      </c>
      <c r="H162" s="23"/>
      <c r="I162" s="23"/>
      <c r="J162" s="83"/>
      <c r="K162" s="83"/>
      <c r="L162" s="83"/>
      <c r="M162" s="83"/>
      <c r="N162" s="83"/>
      <c r="O162" s="83"/>
      <c r="P162" s="83"/>
      <c r="Q162" s="83"/>
      <c r="R162" s="83"/>
      <c r="S162" s="83"/>
      <c r="T162" s="83"/>
      <c r="U162" s="83"/>
      <c r="V162" s="83"/>
      <c r="W162" s="83"/>
      <c r="X162" s="83"/>
      <c r="Y162" s="83"/>
      <c r="Z162" s="83"/>
      <c r="AA162" s="83"/>
      <c r="AB162" s="83"/>
      <c r="AC162" s="83"/>
      <c r="AD162" s="83"/>
      <c r="AE162" s="83"/>
      <c r="AF162" s="83"/>
      <c r="AG162" s="83"/>
      <c r="AH162" s="83"/>
      <c r="AI162" s="83"/>
      <c r="AJ162" s="83"/>
      <c r="AK162" s="83"/>
      <c r="AL162" s="83"/>
      <c r="AM162" s="83"/>
      <c r="AN162" s="83"/>
      <c r="AO162" s="83"/>
      <c r="AP162" s="83"/>
    </row>
    <row r="163" spans="3:42" x14ac:dyDescent="0.25">
      <c r="C163" s="91"/>
      <c r="F163" t="s">
        <v>227</v>
      </c>
      <c r="G163" t="s">
        <v>329</v>
      </c>
      <c r="J163" s="79"/>
      <c r="K163" s="79"/>
      <c r="L163" s="79"/>
      <c r="M163" s="79"/>
      <c r="N163" s="79"/>
      <c r="O163" s="79"/>
      <c r="P163" s="79"/>
      <c r="Q163" s="79"/>
      <c r="R163" s="79"/>
      <c r="S163" s="79"/>
      <c r="T163" s="79"/>
      <c r="U163" s="79"/>
      <c r="V163" s="79"/>
      <c r="W163" s="79"/>
      <c r="X163" s="79"/>
      <c r="Y163" s="79"/>
      <c r="Z163" s="79"/>
      <c r="AA163" s="79"/>
      <c r="AB163" s="79"/>
      <c r="AC163" s="79"/>
      <c r="AD163" s="79"/>
      <c r="AE163" s="79"/>
      <c r="AF163" s="79"/>
      <c r="AG163" s="79"/>
      <c r="AH163" s="79"/>
      <c r="AI163" s="79"/>
      <c r="AJ163" s="79"/>
      <c r="AK163" s="79"/>
      <c r="AL163" s="79"/>
      <c r="AM163" s="79"/>
      <c r="AN163" s="79"/>
      <c r="AO163" s="79"/>
      <c r="AP163" s="79"/>
    </row>
    <row r="164" spans="3:42" x14ac:dyDescent="0.25">
      <c r="C164" s="91"/>
      <c r="F164" t="s">
        <v>228</v>
      </c>
      <c r="G164" t="s">
        <v>329</v>
      </c>
      <c r="J164" s="101">
        <f t="shared" ref="J164:AB164" si="18">hundred*J95*$H53*J82/$H39/days_in_year/(1+$H25)*PowerFactor</f>
        <v>0</v>
      </c>
      <c r="K164" s="101">
        <f t="shared" si="18"/>
        <v>0</v>
      </c>
      <c r="L164" s="101">
        <f t="shared" si="18"/>
        <v>0</v>
      </c>
      <c r="M164" s="101">
        <f t="shared" si="18"/>
        <v>0</v>
      </c>
      <c r="N164" s="101">
        <f t="shared" si="18"/>
        <v>0</v>
      </c>
      <c r="O164" s="101">
        <f t="shared" si="18"/>
        <v>0</v>
      </c>
      <c r="P164" s="101">
        <f t="shared" si="18"/>
        <v>0</v>
      </c>
      <c r="Q164" s="101">
        <f t="shared" si="18"/>
        <v>0</v>
      </c>
      <c r="R164" s="101">
        <f t="shared" si="18"/>
        <v>0</v>
      </c>
      <c r="S164" s="101">
        <f t="shared" si="18"/>
        <v>0</v>
      </c>
      <c r="T164" s="101">
        <f t="shared" si="18"/>
        <v>0</v>
      </c>
      <c r="U164" s="101">
        <f t="shared" si="18"/>
        <v>0</v>
      </c>
      <c r="V164" s="101">
        <f t="shared" si="18"/>
        <v>0</v>
      </c>
      <c r="W164" s="101">
        <f t="shared" si="18"/>
        <v>0</v>
      </c>
      <c r="X164" s="101">
        <f t="shared" si="18"/>
        <v>0</v>
      </c>
      <c r="Y164" s="101">
        <f t="shared" si="18"/>
        <v>0</v>
      </c>
      <c r="Z164" s="101">
        <f t="shared" si="18"/>
        <v>0</v>
      </c>
      <c r="AA164" s="101">
        <f t="shared" si="18"/>
        <v>0</v>
      </c>
      <c r="AB164" s="101">
        <f t="shared" si="18"/>
        <v>0</v>
      </c>
      <c r="AC164" s="79"/>
      <c r="AD164" s="79"/>
      <c r="AE164" s="79"/>
      <c r="AF164" s="79"/>
      <c r="AG164" s="79"/>
      <c r="AH164" s="79"/>
      <c r="AI164" s="79"/>
      <c r="AJ164" s="79"/>
      <c r="AK164" s="79"/>
      <c r="AL164" s="79"/>
      <c r="AM164" s="79"/>
      <c r="AN164" s="79"/>
      <c r="AO164" s="79"/>
      <c r="AP164" s="79"/>
    </row>
    <row r="165" spans="3:42" x14ac:dyDescent="0.25">
      <c r="C165" s="91"/>
      <c r="F165" t="s">
        <v>229</v>
      </c>
      <c r="G165" t="s">
        <v>329</v>
      </c>
      <c r="J165" s="101">
        <f t="shared" ref="J165:AB165" si="19">hundred*J96*$H54*J83/$H40/days_in_year/(1+$H26)*PowerFactor</f>
        <v>0</v>
      </c>
      <c r="K165" s="101">
        <f t="shared" si="19"/>
        <v>0</v>
      </c>
      <c r="L165" s="101">
        <f t="shared" si="19"/>
        <v>0</v>
      </c>
      <c r="M165" s="101">
        <f t="shared" si="19"/>
        <v>0</v>
      </c>
      <c r="N165" s="101">
        <f t="shared" si="19"/>
        <v>0</v>
      </c>
      <c r="O165" s="101">
        <f t="shared" si="19"/>
        <v>0</v>
      </c>
      <c r="P165" s="101">
        <f t="shared" si="19"/>
        <v>0</v>
      </c>
      <c r="Q165" s="101">
        <f t="shared" si="19"/>
        <v>0</v>
      </c>
      <c r="R165" s="101">
        <f t="shared" si="19"/>
        <v>0</v>
      </c>
      <c r="S165" s="101">
        <f t="shared" si="19"/>
        <v>0</v>
      </c>
      <c r="T165" s="101">
        <f t="shared" si="19"/>
        <v>0</v>
      </c>
      <c r="U165" s="101">
        <f t="shared" si="19"/>
        <v>0</v>
      </c>
      <c r="V165" s="101">
        <f t="shared" si="19"/>
        <v>0</v>
      </c>
      <c r="W165" s="101">
        <f t="shared" si="19"/>
        <v>0</v>
      </c>
      <c r="X165" s="101">
        <f t="shared" si="19"/>
        <v>0</v>
      </c>
      <c r="Y165" s="101">
        <f t="shared" si="19"/>
        <v>0</v>
      </c>
      <c r="Z165" s="101">
        <f t="shared" si="19"/>
        <v>0</v>
      </c>
      <c r="AA165" s="101">
        <f t="shared" si="19"/>
        <v>0</v>
      </c>
      <c r="AB165" s="101">
        <f t="shared" si="19"/>
        <v>0</v>
      </c>
      <c r="AC165" s="79"/>
      <c r="AD165" s="79"/>
      <c r="AE165" s="79"/>
      <c r="AF165" s="79"/>
      <c r="AG165" s="79"/>
      <c r="AH165" s="79"/>
      <c r="AI165" s="79"/>
      <c r="AJ165" s="79"/>
      <c r="AK165" s="79"/>
      <c r="AL165" s="79"/>
      <c r="AM165" s="79"/>
      <c r="AN165" s="79"/>
      <c r="AO165" s="79"/>
      <c r="AP165" s="79"/>
    </row>
    <row r="166" spans="3:42" x14ac:dyDescent="0.25">
      <c r="C166" s="91"/>
      <c r="F166" t="s">
        <v>230</v>
      </c>
      <c r="G166" t="s">
        <v>329</v>
      </c>
      <c r="J166" s="101">
        <f t="shared" ref="J166:AB166" si="20">hundred*J97*$H55*J84/$H41/days_in_year/(1+$H27)*PowerFactor</f>
        <v>0</v>
      </c>
      <c r="K166" s="101">
        <f t="shared" si="20"/>
        <v>0</v>
      </c>
      <c r="L166" s="101">
        <f t="shared" si="20"/>
        <v>0</v>
      </c>
      <c r="M166" s="101">
        <f t="shared" si="20"/>
        <v>0</v>
      </c>
      <c r="N166" s="101">
        <f t="shared" si="20"/>
        <v>0</v>
      </c>
      <c r="O166" s="101">
        <f t="shared" si="20"/>
        <v>0</v>
      </c>
      <c r="P166" s="101">
        <f t="shared" si="20"/>
        <v>0</v>
      </c>
      <c r="Q166" s="101">
        <f t="shared" si="20"/>
        <v>0</v>
      </c>
      <c r="R166" s="101">
        <f t="shared" si="20"/>
        <v>0.39325300449443573</v>
      </c>
      <c r="S166" s="101">
        <f t="shared" si="20"/>
        <v>0</v>
      </c>
      <c r="T166" s="101">
        <f t="shared" si="20"/>
        <v>0</v>
      </c>
      <c r="U166" s="101">
        <f t="shared" si="20"/>
        <v>0</v>
      </c>
      <c r="V166" s="101">
        <f t="shared" si="20"/>
        <v>0</v>
      </c>
      <c r="W166" s="101">
        <f t="shared" si="20"/>
        <v>0.39325300449443573</v>
      </c>
      <c r="X166" s="101">
        <f t="shared" si="20"/>
        <v>0</v>
      </c>
      <c r="Y166" s="101">
        <f t="shared" si="20"/>
        <v>0</v>
      </c>
      <c r="Z166" s="101">
        <f t="shared" si="20"/>
        <v>0</v>
      </c>
      <c r="AA166" s="101">
        <f t="shared" si="20"/>
        <v>0</v>
      </c>
      <c r="AB166" s="101">
        <f t="shared" si="20"/>
        <v>0</v>
      </c>
      <c r="AC166" s="79"/>
      <c r="AD166" s="79"/>
      <c r="AE166" s="79"/>
      <c r="AF166" s="79"/>
      <c r="AG166" s="79"/>
      <c r="AH166" s="79"/>
      <c r="AI166" s="79"/>
      <c r="AJ166" s="79"/>
      <c r="AK166" s="79"/>
      <c r="AL166" s="79"/>
      <c r="AM166" s="79"/>
      <c r="AN166" s="79"/>
      <c r="AO166" s="79"/>
      <c r="AP166" s="79"/>
    </row>
    <row r="167" spans="3:42" x14ac:dyDescent="0.25">
      <c r="C167" s="91"/>
      <c r="F167" t="s">
        <v>231</v>
      </c>
      <c r="G167" t="s">
        <v>329</v>
      </c>
      <c r="J167" s="101">
        <f t="shared" ref="J167:AB167" si="21">hundred*J98*$H56*J85/$H42/days_in_year/(1+$H28)*PowerFactor</f>
        <v>0</v>
      </c>
      <c r="K167" s="101">
        <f t="shared" si="21"/>
        <v>0</v>
      </c>
      <c r="L167" s="101">
        <f t="shared" si="21"/>
        <v>0</v>
      </c>
      <c r="M167" s="101">
        <f t="shared" si="21"/>
        <v>0</v>
      </c>
      <c r="N167" s="101">
        <f t="shared" si="21"/>
        <v>0</v>
      </c>
      <c r="O167" s="101">
        <f t="shared" si="21"/>
        <v>0</v>
      </c>
      <c r="P167" s="101">
        <f t="shared" si="21"/>
        <v>0</v>
      </c>
      <c r="Q167" s="101">
        <f t="shared" si="21"/>
        <v>0</v>
      </c>
      <c r="R167" s="101">
        <f t="shared" si="21"/>
        <v>1.7790693275880054</v>
      </c>
      <c r="S167" s="101">
        <f t="shared" si="21"/>
        <v>0</v>
      </c>
      <c r="T167" s="101">
        <f t="shared" si="21"/>
        <v>0</v>
      </c>
      <c r="U167" s="101">
        <f t="shared" si="21"/>
        <v>0</v>
      </c>
      <c r="V167" s="101">
        <f t="shared" si="21"/>
        <v>0</v>
      </c>
      <c r="W167" s="101">
        <f t="shared" si="21"/>
        <v>1.7790693275880054</v>
      </c>
      <c r="X167" s="101">
        <f t="shared" si="21"/>
        <v>0</v>
      </c>
      <c r="Y167" s="101">
        <f t="shared" si="21"/>
        <v>0</v>
      </c>
      <c r="Z167" s="101">
        <f t="shared" si="21"/>
        <v>0</v>
      </c>
      <c r="AA167" s="101">
        <f t="shared" si="21"/>
        <v>0</v>
      </c>
      <c r="AB167" s="101">
        <f t="shared" si="21"/>
        <v>0</v>
      </c>
      <c r="AC167" s="79"/>
      <c r="AD167" s="79"/>
      <c r="AE167" s="79"/>
      <c r="AF167" s="79"/>
      <c r="AG167" s="79"/>
      <c r="AH167" s="79"/>
      <c r="AI167" s="79"/>
      <c r="AJ167" s="79"/>
      <c r="AK167" s="79"/>
      <c r="AL167" s="79"/>
      <c r="AM167" s="79"/>
      <c r="AN167" s="79"/>
      <c r="AO167" s="79"/>
      <c r="AP167" s="79"/>
    </row>
    <row r="168" spans="3:42" x14ac:dyDescent="0.25">
      <c r="C168" s="91"/>
      <c r="F168" t="s">
        <v>232</v>
      </c>
      <c r="G168" t="s">
        <v>329</v>
      </c>
      <c r="J168" s="101">
        <f t="shared" ref="J168:AB168" si="22">hundred*J99*$H57*J86/$H43/days_in_year/(1+$H29)*PowerFactor</f>
        <v>0</v>
      </c>
      <c r="K168" s="101">
        <f t="shared" si="22"/>
        <v>0</v>
      </c>
      <c r="L168" s="101">
        <f t="shared" si="22"/>
        <v>0</v>
      </c>
      <c r="M168" s="101">
        <f t="shared" si="22"/>
        <v>0</v>
      </c>
      <c r="N168" s="101">
        <f t="shared" si="22"/>
        <v>0</v>
      </c>
      <c r="O168" s="101">
        <f t="shared" si="22"/>
        <v>0</v>
      </c>
      <c r="P168" s="101">
        <f t="shared" si="22"/>
        <v>0</v>
      </c>
      <c r="Q168" s="101">
        <f t="shared" si="22"/>
        <v>0</v>
      </c>
      <c r="R168" s="101">
        <f t="shared" si="22"/>
        <v>0</v>
      </c>
      <c r="S168" s="101">
        <f t="shared" si="22"/>
        <v>0</v>
      </c>
      <c r="T168" s="101">
        <f t="shared" si="22"/>
        <v>0</v>
      </c>
      <c r="U168" s="101">
        <f t="shared" si="22"/>
        <v>0</v>
      </c>
      <c r="V168" s="101">
        <f t="shared" si="22"/>
        <v>0</v>
      </c>
      <c r="W168" s="101">
        <f t="shared" si="22"/>
        <v>0</v>
      </c>
      <c r="X168" s="101">
        <f t="shared" si="22"/>
        <v>0</v>
      </c>
      <c r="Y168" s="101">
        <f t="shared" si="22"/>
        <v>0</v>
      </c>
      <c r="Z168" s="101">
        <f t="shared" si="22"/>
        <v>0</v>
      </c>
      <c r="AA168" s="101">
        <f t="shared" si="22"/>
        <v>0</v>
      </c>
      <c r="AB168" s="101">
        <f t="shared" si="22"/>
        <v>0</v>
      </c>
      <c r="AC168" s="79"/>
      <c r="AD168" s="79"/>
      <c r="AE168" s="79"/>
      <c r="AF168" s="79"/>
      <c r="AG168" s="79"/>
      <c r="AH168" s="79"/>
      <c r="AI168" s="79"/>
      <c r="AJ168" s="79"/>
      <c r="AK168" s="79"/>
      <c r="AL168" s="79"/>
      <c r="AM168" s="79"/>
      <c r="AN168" s="79"/>
      <c r="AO168" s="79"/>
      <c r="AP168" s="79"/>
    </row>
    <row r="169" spans="3:42" x14ac:dyDescent="0.25">
      <c r="C169" s="91"/>
      <c r="F169" t="s">
        <v>233</v>
      </c>
      <c r="G169" t="s">
        <v>329</v>
      </c>
      <c r="J169" s="101">
        <f t="shared" ref="J169:AB169" si="23">hundred*J100*$H58*J87/$H44/days_in_year/(1+$H30)*PowerFactor</f>
        <v>0</v>
      </c>
      <c r="K169" s="101">
        <f t="shared" si="23"/>
        <v>0</v>
      </c>
      <c r="L169" s="101">
        <f t="shared" si="23"/>
        <v>0</v>
      </c>
      <c r="M169" s="101">
        <f t="shared" si="23"/>
        <v>0</v>
      </c>
      <c r="N169" s="101">
        <f t="shared" si="23"/>
        <v>0</v>
      </c>
      <c r="O169" s="101">
        <f t="shared" si="23"/>
        <v>0</v>
      </c>
      <c r="P169" s="101">
        <f t="shared" si="23"/>
        <v>0</v>
      </c>
      <c r="Q169" s="101">
        <f t="shared" si="23"/>
        <v>0</v>
      </c>
      <c r="R169" s="101">
        <f t="shared" si="23"/>
        <v>4.7846188820091511</v>
      </c>
      <c r="S169" s="101">
        <f t="shared" si="23"/>
        <v>0</v>
      </c>
      <c r="T169" s="101">
        <f t="shared" si="23"/>
        <v>0</v>
      </c>
      <c r="U169" s="101">
        <f t="shared" si="23"/>
        <v>1.0077747983362273</v>
      </c>
      <c r="V169" s="101">
        <f t="shared" si="23"/>
        <v>4.8863209258779454</v>
      </c>
      <c r="W169" s="101">
        <f t="shared" si="23"/>
        <v>4.7846188820091511</v>
      </c>
      <c r="X169" s="101">
        <f t="shared" si="23"/>
        <v>0</v>
      </c>
      <c r="Y169" s="101">
        <f t="shared" si="23"/>
        <v>0</v>
      </c>
      <c r="Z169" s="101">
        <f t="shared" si="23"/>
        <v>0</v>
      </c>
      <c r="AA169" s="101">
        <f t="shared" si="23"/>
        <v>0</v>
      </c>
      <c r="AB169" s="101">
        <f t="shared" si="23"/>
        <v>0</v>
      </c>
      <c r="AC169" s="79"/>
      <c r="AD169" s="79"/>
      <c r="AE169" s="79"/>
      <c r="AF169" s="79"/>
      <c r="AG169" s="79"/>
      <c r="AH169" s="79"/>
      <c r="AI169" s="79"/>
      <c r="AJ169" s="79"/>
      <c r="AK169" s="79"/>
      <c r="AL169" s="79"/>
      <c r="AM169" s="79"/>
      <c r="AN169" s="79"/>
      <c r="AO169" s="79"/>
      <c r="AP169" s="79"/>
    </row>
    <row r="170" spans="3:42" x14ac:dyDescent="0.25">
      <c r="C170" s="91"/>
      <c r="F170" t="s">
        <v>234</v>
      </c>
      <c r="G170" t="s">
        <v>329</v>
      </c>
      <c r="J170" s="101">
        <f t="shared" ref="J170:AB170" si="24">hundred*J101*$H59*J88/$H45/days_in_year/(1+$H31)*PowerFactor</f>
        <v>0</v>
      </c>
      <c r="K170" s="101">
        <f t="shared" si="24"/>
        <v>0</v>
      </c>
      <c r="L170" s="101">
        <f t="shared" si="24"/>
        <v>0</v>
      </c>
      <c r="M170" s="101">
        <f t="shared" si="24"/>
        <v>0</v>
      </c>
      <c r="N170" s="101">
        <f t="shared" si="24"/>
        <v>0</v>
      </c>
      <c r="O170" s="101">
        <f t="shared" si="24"/>
        <v>0</v>
      </c>
      <c r="P170" s="101">
        <f t="shared" si="24"/>
        <v>0</v>
      </c>
      <c r="Q170" s="101">
        <f t="shared" si="24"/>
        <v>1.1832302653403206</v>
      </c>
      <c r="R170" s="101">
        <f t="shared" si="24"/>
        <v>0</v>
      </c>
      <c r="S170" s="101">
        <f t="shared" si="24"/>
        <v>0</v>
      </c>
      <c r="T170" s="101">
        <f t="shared" si="24"/>
        <v>0</v>
      </c>
      <c r="U170" s="101">
        <f t="shared" si="24"/>
        <v>1.2201712291588931</v>
      </c>
      <c r="V170" s="101">
        <f t="shared" si="24"/>
        <v>1.1832302653403206</v>
      </c>
      <c r="W170" s="101">
        <f t="shared" si="24"/>
        <v>0</v>
      </c>
      <c r="X170" s="101">
        <f t="shared" si="24"/>
        <v>0</v>
      </c>
      <c r="Y170" s="101">
        <f t="shared" si="24"/>
        <v>0</v>
      </c>
      <c r="Z170" s="101">
        <f t="shared" si="24"/>
        <v>0</v>
      </c>
      <c r="AA170" s="101">
        <f t="shared" si="24"/>
        <v>0</v>
      </c>
      <c r="AB170" s="101">
        <f t="shared" si="24"/>
        <v>0</v>
      </c>
      <c r="AC170" s="79"/>
      <c r="AD170" s="79"/>
      <c r="AE170" s="79"/>
      <c r="AF170" s="79"/>
      <c r="AG170" s="79"/>
      <c r="AH170" s="79"/>
      <c r="AI170" s="79"/>
      <c r="AJ170" s="79"/>
      <c r="AK170" s="79"/>
      <c r="AL170" s="79"/>
      <c r="AM170" s="79"/>
      <c r="AN170" s="79"/>
      <c r="AO170" s="79"/>
      <c r="AP170" s="79"/>
    </row>
    <row r="171" spans="3:42" x14ac:dyDescent="0.25">
      <c r="C171" s="91"/>
      <c r="F171" t="s">
        <v>235</v>
      </c>
      <c r="G171" t="s">
        <v>329</v>
      </c>
      <c r="J171" s="101">
        <f t="shared" ref="J171:AB171" si="25">hundred*J102*$H60*J89/$H46/days_in_year/(1+$H32)*PowerFactor</f>
        <v>2.6901949287761084</v>
      </c>
      <c r="K171" s="101">
        <f t="shared" si="25"/>
        <v>2.6901949287761084</v>
      </c>
      <c r="L171" s="101">
        <f t="shared" si="25"/>
        <v>2.6901949287761084</v>
      </c>
      <c r="M171" s="101">
        <f t="shared" si="25"/>
        <v>2.6901949287761084</v>
      </c>
      <c r="N171" s="101">
        <f t="shared" si="25"/>
        <v>2.6901949287761084</v>
      </c>
      <c r="O171" s="101">
        <f t="shared" si="25"/>
        <v>2.6901949287761084</v>
      </c>
      <c r="P171" s="101">
        <f t="shared" si="25"/>
        <v>2.6901949287761084</v>
      </c>
      <c r="Q171" s="101">
        <f t="shared" si="25"/>
        <v>0</v>
      </c>
      <c r="R171" s="101">
        <f t="shared" si="25"/>
        <v>0</v>
      </c>
      <c r="S171" s="101">
        <f t="shared" si="25"/>
        <v>2.6901949287761084</v>
      </c>
      <c r="T171" s="101">
        <f t="shared" si="25"/>
        <v>2.6901949287761084</v>
      </c>
      <c r="U171" s="101">
        <f t="shared" si="25"/>
        <v>2.6901949287761084</v>
      </c>
      <c r="V171" s="101">
        <f t="shared" si="25"/>
        <v>0</v>
      </c>
      <c r="W171" s="101">
        <f t="shared" si="25"/>
        <v>0</v>
      </c>
      <c r="X171" s="101">
        <f t="shared" si="25"/>
        <v>0</v>
      </c>
      <c r="Y171" s="101">
        <f t="shared" si="25"/>
        <v>0</v>
      </c>
      <c r="Z171" s="101">
        <f t="shared" si="25"/>
        <v>0</v>
      </c>
      <c r="AA171" s="101">
        <f t="shared" si="25"/>
        <v>0</v>
      </c>
      <c r="AB171" s="101">
        <f t="shared" si="25"/>
        <v>0</v>
      </c>
      <c r="AC171" s="79"/>
      <c r="AD171" s="79"/>
      <c r="AE171" s="79"/>
      <c r="AF171" s="79"/>
      <c r="AG171" s="79"/>
      <c r="AH171" s="79"/>
      <c r="AI171" s="79"/>
      <c r="AJ171" s="79"/>
      <c r="AK171" s="79"/>
      <c r="AL171" s="79"/>
      <c r="AM171" s="79"/>
      <c r="AN171" s="79"/>
      <c r="AO171" s="79"/>
      <c r="AP171" s="79"/>
    </row>
    <row r="172" spans="3:42" x14ac:dyDescent="0.25">
      <c r="C172" s="91"/>
      <c r="F172" t="s">
        <v>436</v>
      </c>
      <c r="G172" t="s">
        <v>329</v>
      </c>
      <c r="J172" s="79"/>
      <c r="K172" s="79"/>
      <c r="L172" s="79"/>
      <c r="M172" s="79"/>
      <c r="N172" s="79"/>
      <c r="O172" s="79"/>
      <c r="P172" s="79"/>
      <c r="Q172" s="79"/>
      <c r="R172" s="79"/>
      <c r="S172" s="79"/>
      <c r="T172" s="79"/>
      <c r="U172" s="79"/>
      <c r="V172" s="79"/>
      <c r="W172" s="79"/>
      <c r="X172" s="79"/>
      <c r="Y172" s="79"/>
      <c r="Z172" s="79"/>
      <c r="AA172" s="79"/>
      <c r="AB172" s="79"/>
      <c r="AC172" s="79"/>
      <c r="AD172" s="79"/>
      <c r="AE172" s="79"/>
      <c r="AF172" s="79"/>
      <c r="AG172" s="79"/>
      <c r="AH172" s="79"/>
      <c r="AI172" s="79"/>
      <c r="AJ172" s="79"/>
      <c r="AK172" s="79"/>
      <c r="AL172" s="79"/>
      <c r="AM172" s="79"/>
      <c r="AN172" s="79"/>
      <c r="AO172" s="79"/>
      <c r="AP172" s="79"/>
    </row>
    <row r="173" spans="3:42" x14ac:dyDescent="0.25">
      <c r="C173" s="91"/>
      <c r="F173" s="37" t="s">
        <v>437</v>
      </c>
      <c r="G173" s="37" t="s">
        <v>329</v>
      </c>
      <c r="H173" s="37"/>
      <c r="I173" s="37"/>
      <c r="J173" s="81"/>
      <c r="K173" s="81"/>
      <c r="L173" s="81"/>
      <c r="M173" s="81"/>
      <c r="N173" s="81"/>
      <c r="O173" s="81"/>
      <c r="P173" s="81"/>
      <c r="Q173" s="81"/>
      <c r="R173" s="81"/>
      <c r="S173" s="81"/>
      <c r="T173" s="81"/>
      <c r="U173" s="81"/>
      <c r="V173" s="81"/>
      <c r="W173" s="81"/>
      <c r="X173" s="81"/>
      <c r="Y173" s="81"/>
      <c r="Z173" s="81"/>
      <c r="AA173" s="81"/>
      <c r="AB173" s="81"/>
      <c r="AC173" s="81"/>
      <c r="AD173" s="81"/>
      <c r="AE173" s="81"/>
      <c r="AF173" s="81"/>
      <c r="AG173" s="81"/>
      <c r="AH173" s="81"/>
      <c r="AI173" s="81"/>
      <c r="AJ173" s="81"/>
      <c r="AK173" s="81"/>
      <c r="AL173" s="81"/>
      <c r="AM173" s="81"/>
      <c r="AN173" s="81"/>
      <c r="AO173" s="81"/>
      <c r="AP173" s="81"/>
    </row>
    <row r="174" spans="3:42" x14ac:dyDescent="0.25">
      <c r="C174" s="91"/>
      <c r="D174"/>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2" x14ac:dyDescent="0.25">
      <c r="C175" s="91"/>
      <c r="E175" s="32" t="s">
        <v>734</v>
      </c>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2" x14ac:dyDescent="0.25">
      <c r="C176" s="91"/>
      <c r="F176" s="23" t="s">
        <v>225</v>
      </c>
      <c r="G176" s="23" t="s">
        <v>329</v>
      </c>
      <c r="H176" s="23"/>
      <c r="I176" s="23"/>
      <c r="J176" s="129">
        <f t="shared" ref="J176:AB176" si="26">hundred*J94*$H65*J80/$H37/days_in_year/(1+$H23)*PowerFactor</f>
        <v>0</v>
      </c>
      <c r="K176" s="129">
        <f t="shared" si="26"/>
        <v>0</v>
      </c>
      <c r="L176" s="129">
        <f t="shared" si="26"/>
        <v>0</v>
      </c>
      <c r="M176" s="129">
        <f t="shared" si="26"/>
        <v>0</v>
      </c>
      <c r="N176" s="129">
        <f t="shared" si="26"/>
        <v>0</v>
      </c>
      <c r="O176" s="129">
        <f t="shared" si="26"/>
        <v>0</v>
      </c>
      <c r="P176" s="129">
        <f t="shared" si="26"/>
        <v>0</v>
      </c>
      <c r="Q176" s="129">
        <f t="shared" si="26"/>
        <v>0</v>
      </c>
      <c r="R176" s="129">
        <f t="shared" si="26"/>
        <v>0</v>
      </c>
      <c r="S176" s="129">
        <f t="shared" si="26"/>
        <v>0</v>
      </c>
      <c r="T176" s="129">
        <f t="shared" si="26"/>
        <v>0</v>
      </c>
      <c r="U176" s="129">
        <f t="shared" si="26"/>
        <v>0</v>
      </c>
      <c r="V176" s="129">
        <f t="shared" si="26"/>
        <v>0</v>
      </c>
      <c r="W176" s="129">
        <f t="shared" si="26"/>
        <v>0</v>
      </c>
      <c r="X176" s="129">
        <f t="shared" si="26"/>
        <v>0</v>
      </c>
      <c r="Y176" s="129">
        <f t="shared" si="26"/>
        <v>0</v>
      </c>
      <c r="Z176" s="129">
        <f t="shared" si="26"/>
        <v>0</v>
      </c>
      <c r="AA176" s="129">
        <f t="shared" si="26"/>
        <v>0</v>
      </c>
      <c r="AB176" s="129">
        <f t="shared" si="26"/>
        <v>0</v>
      </c>
      <c r="AC176" s="83"/>
      <c r="AD176" s="83"/>
      <c r="AE176" s="83"/>
      <c r="AF176" s="83"/>
      <c r="AG176" s="83"/>
      <c r="AH176" s="83"/>
      <c r="AI176" s="83"/>
      <c r="AJ176" s="83"/>
      <c r="AK176" s="83"/>
      <c r="AL176" s="83"/>
      <c r="AM176" s="83"/>
      <c r="AN176" s="83"/>
      <c r="AO176" s="83"/>
      <c r="AP176" s="83"/>
    </row>
    <row r="177" spans="3:44" x14ac:dyDescent="0.25">
      <c r="C177" s="91"/>
      <c r="F177" t="s">
        <v>227</v>
      </c>
      <c r="G177" t="s">
        <v>329</v>
      </c>
      <c r="J177" s="101">
        <f t="shared" ref="J177:AB177" si="27">hundred*J94*$H66*J81/$H38/days_in_year/(1+$H24)*PowerFactor</f>
        <v>0</v>
      </c>
      <c r="K177" s="101">
        <f t="shared" si="27"/>
        <v>0</v>
      </c>
      <c r="L177" s="101">
        <f t="shared" si="27"/>
        <v>0</v>
      </c>
      <c r="M177" s="101">
        <f t="shared" si="27"/>
        <v>0</v>
      </c>
      <c r="N177" s="101">
        <f t="shared" si="27"/>
        <v>0</v>
      </c>
      <c r="O177" s="101">
        <f t="shared" si="27"/>
        <v>0</v>
      </c>
      <c r="P177" s="101">
        <f t="shared" si="27"/>
        <v>0</v>
      </c>
      <c r="Q177" s="101">
        <f t="shared" si="27"/>
        <v>0</v>
      </c>
      <c r="R177" s="101">
        <f t="shared" si="27"/>
        <v>0</v>
      </c>
      <c r="S177" s="101">
        <f t="shared" si="27"/>
        <v>0</v>
      </c>
      <c r="T177" s="101">
        <f t="shared" si="27"/>
        <v>0</v>
      </c>
      <c r="U177" s="101">
        <f t="shared" si="27"/>
        <v>0</v>
      </c>
      <c r="V177" s="101">
        <f t="shared" si="27"/>
        <v>0</v>
      </c>
      <c r="W177" s="101">
        <f t="shared" si="27"/>
        <v>0</v>
      </c>
      <c r="X177" s="101">
        <f t="shared" si="27"/>
        <v>0</v>
      </c>
      <c r="Y177" s="101">
        <f t="shared" si="27"/>
        <v>0</v>
      </c>
      <c r="Z177" s="101">
        <f t="shared" si="27"/>
        <v>0</v>
      </c>
      <c r="AA177" s="101">
        <f t="shared" si="27"/>
        <v>0</v>
      </c>
      <c r="AB177" s="101">
        <f t="shared" si="27"/>
        <v>0</v>
      </c>
      <c r="AC177" s="79"/>
      <c r="AD177" s="79"/>
      <c r="AE177" s="79"/>
      <c r="AF177" s="79"/>
      <c r="AG177" s="79"/>
      <c r="AH177" s="79"/>
      <c r="AI177" s="79"/>
      <c r="AJ177" s="79"/>
      <c r="AK177" s="79"/>
      <c r="AL177" s="79"/>
      <c r="AM177" s="79"/>
      <c r="AN177" s="79"/>
      <c r="AO177" s="79"/>
      <c r="AP177" s="79"/>
    </row>
    <row r="178" spans="3:44" x14ac:dyDescent="0.25">
      <c r="C178" s="91"/>
      <c r="F178" t="s">
        <v>228</v>
      </c>
      <c r="G178" t="s">
        <v>329</v>
      </c>
      <c r="J178" s="101">
        <f t="shared" ref="J178:AB178" si="28">hundred*J95*$H67*J82/$H39/days_in_year/(1+$H25)*PowerFactor</f>
        <v>0</v>
      </c>
      <c r="K178" s="101">
        <f t="shared" si="28"/>
        <v>0</v>
      </c>
      <c r="L178" s="101">
        <f t="shared" si="28"/>
        <v>0</v>
      </c>
      <c r="M178" s="101">
        <f t="shared" si="28"/>
        <v>0</v>
      </c>
      <c r="N178" s="101">
        <f t="shared" si="28"/>
        <v>0</v>
      </c>
      <c r="O178" s="101">
        <f t="shared" si="28"/>
        <v>0</v>
      </c>
      <c r="P178" s="101">
        <f t="shared" si="28"/>
        <v>0</v>
      </c>
      <c r="Q178" s="101">
        <f t="shared" si="28"/>
        <v>0</v>
      </c>
      <c r="R178" s="101">
        <f t="shared" si="28"/>
        <v>0</v>
      </c>
      <c r="S178" s="101">
        <f t="shared" si="28"/>
        <v>0</v>
      </c>
      <c r="T178" s="101">
        <f t="shared" si="28"/>
        <v>0</v>
      </c>
      <c r="U178" s="101">
        <f t="shared" si="28"/>
        <v>0</v>
      </c>
      <c r="V178" s="101">
        <f t="shared" si="28"/>
        <v>0</v>
      </c>
      <c r="W178" s="101">
        <f t="shared" si="28"/>
        <v>0</v>
      </c>
      <c r="X178" s="101">
        <f t="shared" si="28"/>
        <v>0</v>
      </c>
      <c r="Y178" s="101">
        <f t="shared" si="28"/>
        <v>0</v>
      </c>
      <c r="Z178" s="101">
        <f t="shared" si="28"/>
        <v>0</v>
      </c>
      <c r="AA178" s="101">
        <f t="shared" si="28"/>
        <v>0</v>
      </c>
      <c r="AB178" s="101">
        <f t="shared" si="28"/>
        <v>0</v>
      </c>
      <c r="AC178" s="79"/>
      <c r="AD178" s="79"/>
      <c r="AE178" s="79"/>
      <c r="AF178" s="79"/>
      <c r="AG178" s="79"/>
      <c r="AH178" s="79"/>
      <c r="AI178" s="79"/>
      <c r="AJ178" s="79"/>
      <c r="AK178" s="79"/>
      <c r="AL178" s="79"/>
      <c r="AM178" s="79"/>
      <c r="AN178" s="79"/>
      <c r="AO178" s="79"/>
      <c r="AP178" s="79"/>
    </row>
    <row r="179" spans="3:44" x14ac:dyDescent="0.25">
      <c r="C179" s="91"/>
      <c r="F179" t="s">
        <v>229</v>
      </c>
      <c r="G179" t="s">
        <v>329</v>
      </c>
      <c r="J179" s="101">
        <f t="shared" ref="J179:AB179" si="29">hundred*J96*$H68*J83/$H40/days_in_year/(1+$H26)*PowerFactor</f>
        <v>0</v>
      </c>
      <c r="K179" s="101">
        <f t="shared" si="29"/>
        <v>0</v>
      </c>
      <c r="L179" s="101">
        <f t="shared" si="29"/>
        <v>0</v>
      </c>
      <c r="M179" s="101">
        <f t="shared" si="29"/>
        <v>0</v>
      </c>
      <c r="N179" s="101">
        <f t="shared" si="29"/>
        <v>0</v>
      </c>
      <c r="O179" s="101">
        <f t="shared" si="29"/>
        <v>0</v>
      </c>
      <c r="P179" s="101">
        <f t="shared" si="29"/>
        <v>0</v>
      </c>
      <c r="Q179" s="101">
        <f t="shared" si="29"/>
        <v>0</v>
      </c>
      <c r="R179" s="101">
        <f t="shared" si="29"/>
        <v>0</v>
      </c>
      <c r="S179" s="101">
        <f t="shared" si="29"/>
        <v>0</v>
      </c>
      <c r="T179" s="101">
        <f t="shared" si="29"/>
        <v>0</v>
      </c>
      <c r="U179" s="101">
        <f t="shared" si="29"/>
        <v>0</v>
      </c>
      <c r="V179" s="101">
        <f t="shared" si="29"/>
        <v>0</v>
      </c>
      <c r="W179" s="101">
        <f t="shared" si="29"/>
        <v>0</v>
      </c>
      <c r="X179" s="101">
        <f t="shared" si="29"/>
        <v>0</v>
      </c>
      <c r="Y179" s="101">
        <f t="shared" si="29"/>
        <v>0</v>
      </c>
      <c r="Z179" s="101">
        <f t="shared" si="29"/>
        <v>0</v>
      </c>
      <c r="AA179" s="101">
        <f t="shared" si="29"/>
        <v>0</v>
      </c>
      <c r="AB179" s="101">
        <f t="shared" si="29"/>
        <v>0</v>
      </c>
      <c r="AC179" s="79"/>
      <c r="AD179" s="79"/>
      <c r="AE179" s="79"/>
      <c r="AF179" s="79"/>
      <c r="AG179" s="79"/>
      <c r="AH179" s="79"/>
      <c r="AI179" s="79"/>
      <c r="AJ179" s="79"/>
      <c r="AK179" s="79"/>
      <c r="AL179" s="79"/>
      <c r="AM179" s="79"/>
      <c r="AN179" s="79"/>
      <c r="AO179" s="79"/>
      <c r="AP179" s="79"/>
    </row>
    <row r="180" spans="3:44" x14ac:dyDescent="0.25">
      <c r="C180" s="91"/>
      <c r="F180" t="s">
        <v>230</v>
      </c>
      <c r="G180" t="s">
        <v>329</v>
      </c>
      <c r="J180" s="101">
        <f t="shared" ref="J180:AB180" si="30">hundred*J97*$H69*J84/$H41/days_in_year/(1+$H27)*PowerFactor</f>
        <v>0</v>
      </c>
      <c r="K180" s="101">
        <f t="shared" si="30"/>
        <v>0</v>
      </c>
      <c r="L180" s="101">
        <f t="shared" si="30"/>
        <v>0</v>
      </c>
      <c r="M180" s="101">
        <f t="shared" si="30"/>
        <v>0</v>
      </c>
      <c r="N180" s="101">
        <f t="shared" si="30"/>
        <v>0</v>
      </c>
      <c r="O180" s="101">
        <f t="shared" si="30"/>
        <v>0</v>
      </c>
      <c r="P180" s="101">
        <f t="shared" si="30"/>
        <v>0</v>
      </c>
      <c r="Q180" s="101">
        <f t="shared" si="30"/>
        <v>0</v>
      </c>
      <c r="R180" s="101">
        <f t="shared" si="30"/>
        <v>0.30596205351779326</v>
      </c>
      <c r="S180" s="101">
        <f t="shared" si="30"/>
        <v>0</v>
      </c>
      <c r="T180" s="101">
        <f t="shared" si="30"/>
        <v>0</v>
      </c>
      <c r="U180" s="101">
        <f t="shared" si="30"/>
        <v>0</v>
      </c>
      <c r="V180" s="101">
        <f t="shared" si="30"/>
        <v>0</v>
      </c>
      <c r="W180" s="101">
        <f t="shared" si="30"/>
        <v>0.30596205351779326</v>
      </c>
      <c r="X180" s="101">
        <f t="shared" si="30"/>
        <v>0</v>
      </c>
      <c r="Y180" s="101">
        <f t="shared" si="30"/>
        <v>0</v>
      </c>
      <c r="Z180" s="101">
        <f t="shared" si="30"/>
        <v>0</v>
      </c>
      <c r="AA180" s="101">
        <f t="shared" si="30"/>
        <v>0</v>
      </c>
      <c r="AB180" s="101">
        <f t="shared" si="30"/>
        <v>0</v>
      </c>
      <c r="AC180" s="79"/>
      <c r="AD180" s="79"/>
      <c r="AE180" s="79"/>
      <c r="AF180" s="79"/>
      <c r="AG180" s="79"/>
      <c r="AH180" s="79"/>
      <c r="AI180" s="79"/>
      <c r="AJ180" s="79"/>
      <c r="AK180" s="79"/>
      <c r="AL180" s="79"/>
      <c r="AM180" s="79"/>
      <c r="AN180" s="79"/>
      <c r="AO180" s="79"/>
      <c r="AP180" s="79"/>
    </row>
    <row r="181" spans="3:44" x14ac:dyDescent="0.25">
      <c r="C181" s="91"/>
      <c r="F181" t="s">
        <v>231</v>
      </c>
      <c r="G181" t="s">
        <v>329</v>
      </c>
      <c r="J181" s="101">
        <f t="shared" ref="J181:AB181" si="31">hundred*J98*$H70*J85/$H42/days_in_year/(1+$H28)*PowerFactor</f>
        <v>0</v>
      </c>
      <c r="K181" s="101">
        <f t="shared" si="31"/>
        <v>0</v>
      </c>
      <c r="L181" s="101">
        <f t="shared" si="31"/>
        <v>0</v>
      </c>
      <c r="M181" s="101">
        <f t="shared" si="31"/>
        <v>0</v>
      </c>
      <c r="N181" s="101">
        <f t="shared" si="31"/>
        <v>0</v>
      </c>
      <c r="O181" s="101">
        <f t="shared" si="31"/>
        <v>0</v>
      </c>
      <c r="P181" s="101">
        <f t="shared" si="31"/>
        <v>0</v>
      </c>
      <c r="Q181" s="101">
        <f t="shared" si="31"/>
        <v>0</v>
      </c>
      <c r="R181" s="101">
        <f t="shared" si="31"/>
        <v>1.3841666779358266</v>
      </c>
      <c r="S181" s="101">
        <f t="shared" si="31"/>
        <v>0</v>
      </c>
      <c r="T181" s="101">
        <f t="shared" si="31"/>
        <v>0</v>
      </c>
      <c r="U181" s="101">
        <f t="shared" si="31"/>
        <v>0</v>
      </c>
      <c r="V181" s="101">
        <f t="shared" si="31"/>
        <v>0</v>
      </c>
      <c r="W181" s="101">
        <f t="shared" si="31"/>
        <v>1.3841666779358266</v>
      </c>
      <c r="X181" s="101">
        <f t="shared" si="31"/>
        <v>0</v>
      </c>
      <c r="Y181" s="101">
        <f t="shared" si="31"/>
        <v>0</v>
      </c>
      <c r="Z181" s="101">
        <f t="shared" si="31"/>
        <v>0</v>
      </c>
      <c r="AA181" s="101">
        <f t="shared" si="31"/>
        <v>0</v>
      </c>
      <c r="AB181" s="101">
        <f t="shared" si="31"/>
        <v>0</v>
      </c>
      <c r="AC181" s="79"/>
      <c r="AD181" s="79"/>
      <c r="AE181" s="79"/>
      <c r="AF181" s="79"/>
      <c r="AG181" s="79"/>
      <c r="AH181" s="79"/>
      <c r="AI181" s="79"/>
      <c r="AJ181" s="79"/>
      <c r="AK181" s="79"/>
      <c r="AL181" s="79"/>
      <c r="AM181" s="79"/>
      <c r="AN181" s="79"/>
      <c r="AO181" s="79"/>
      <c r="AP181" s="79"/>
    </row>
    <row r="182" spans="3:44" x14ac:dyDescent="0.25">
      <c r="C182" s="91"/>
      <c r="F182" t="s">
        <v>232</v>
      </c>
      <c r="G182" t="s">
        <v>329</v>
      </c>
      <c r="J182" s="101">
        <f t="shared" ref="J182:AB182" si="32">hundred*J99*$H71*J86/$H43/days_in_year/(1+$H29)*PowerFactor</f>
        <v>0</v>
      </c>
      <c r="K182" s="101">
        <f t="shared" si="32"/>
        <v>0</v>
      </c>
      <c r="L182" s="101">
        <f t="shared" si="32"/>
        <v>0</v>
      </c>
      <c r="M182" s="101">
        <f t="shared" si="32"/>
        <v>0</v>
      </c>
      <c r="N182" s="101">
        <f t="shared" si="32"/>
        <v>0</v>
      </c>
      <c r="O182" s="101">
        <f t="shared" si="32"/>
        <v>0</v>
      </c>
      <c r="P182" s="101">
        <f t="shared" si="32"/>
        <v>0</v>
      </c>
      <c r="Q182" s="101">
        <f t="shared" si="32"/>
        <v>0</v>
      </c>
      <c r="R182" s="101">
        <f t="shared" si="32"/>
        <v>0</v>
      </c>
      <c r="S182" s="101">
        <f t="shared" si="32"/>
        <v>0</v>
      </c>
      <c r="T182" s="101">
        <f t="shared" si="32"/>
        <v>0</v>
      </c>
      <c r="U182" s="101">
        <f t="shared" si="32"/>
        <v>0</v>
      </c>
      <c r="V182" s="101">
        <f t="shared" si="32"/>
        <v>0</v>
      </c>
      <c r="W182" s="101">
        <f t="shared" si="32"/>
        <v>0</v>
      </c>
      <c r="X182" s="101">
        <f t="shared" si="32"/>
        <v>0</v>
      </c>
      <c r="Y182" s="101">
        <f t="shared" si="32"/>
        <v>0</v>
      </c>
      <c r="Z182" s="101">
        <f t="shared" si="32"/>
        <v>0</v>
      </c>
      <c r="AA182" s="101">
        <f t="shared" si="32"/>
        <v>0</v>
      </c>
      <c r="AB182" s="101">
        <f t="shared" si="32"/>
        <v>0</v>
      </c>
      <c r="AC182" s="79"/>
      <c r="AD182" s="79"/>
      <c r="AE182" s="79"/>
      <c r="AF182" s="79"/>
      <c r="AG182" s="79"/>
      <c r="AH182" s="79"/>
      <c r="AI182" s="79"/>
      <c r="AJ182" s="79"/>
      <c r="AK182" s="79"/>
      <c r="AL182" s="79"/>
      <c r="AM182" s="79"/>
      <c r="AN182" s="79"/>
      <c r="AO182" s="79"/>
      <c r="AP182" s="79"/>
    </row>
    <row r="183" spans="3:44" x14ac:dyDescent="0.25">
      <c r="C183" s="91"/>
      <c r="F183" t="s">
        <v>233</v>
      </c>
      <c r="G183" t="s">
        <v>329</v>
      </c>
      <c r="J183" s="101">
        <f t="shared" ref="J183:AB183" si="33">hundred*J100*$H72*J87/$H44/days_in_year/(1+$H30)*PowerFactor</f>
        <v>0</v>
      </c>
      <c r="K183" s="101">
        <f t="shared" si="33"/>
        <v>0</v>
      </c>
      <c r="L183" s="101">
        <f t="shared" si="33"/>
        <v>0</v>
      </c>
      <c r="M183" s="101">
        <f t="shared" si="33"/>
        <v>0</v>
      </c>
      <c r="N183" s="101">
        <f t="shared" si="33"/>
        <v>0</v>
      </c>
      <c r="O183" s="101">
        <f t="shared" si="33"/>
        <v>0</v>
      </c>
      <c r="P183" s="101">
        <f t="shared" si="33"/>
        <v>0</v>
      </c>
      <c r="Q183" s="101">
        <f t="shared" si="33"/>
        <v>0</v>
      </c>
      <c r="R183" s="101">
        <f t="shared" si="33"/>
        <v>3.7225699529531289</v>
      </c>
      <c r="S183" s="101">
        <f t="shared" si="33"/>
        <v>0</v>
      </c>
      <c r="T183" s="101">
        <f t="shared" si="33"/>
        <v>0</v>
      </c>
      <c r="U183" s="101">
        <f t="shared" si="33"/>
        <v>0.78407753598433061</v>
      </c>
      <c r="V183" s="101">
        <f t="shared" si="33"/>
        <v>3.8016970437405382</v>
      </c>
      <c r="W183" s="101">
        <f t="shared" si="33"/>
        <v>3.7225699529531289</v>
      </c>
      <c r="X183" s="101">
        <f t="shared" si="33"/>
        <v>0</v>
      </c>
      <c r="Y183" s="101">
        <f t="shared" si="33"/>
        <v>0</v>
      </c>
      <c r="Z183" s="101">
        <f t="shared" si="33"/>
        <v>0</v>
      </c>
      <c r="AA183" s="101">
        <f t="shared" si="33"/>
        <v>0</v>
      </c>
      <c r="AB183" s="101">
        <f t="shared" si="33"/>
        <v>0</v>
      </c>
      <c r="AC183" s="79"/>
      <c r="AD183" s="79"/>
      <c r="AE183" s="79"/>
      <c r="AF183" s="79"/>
      <c r="AG183" s="79"/>
      <c r="AH183" s="79"/>
      <c r="AI183" s="79"/>
      <c r="AJ183" s="79"/>
      <c r="AK183" s="79"/>
      <c r="AL183" s="79"/>
      <c r="AM183" s="79"/>
      <c r="AN183" s="79"/>
      <c r="AO183" s="79"/>
      <c r="AP183" s="79"/>
    </row>
    <row r="184" spans="3:44" x14ac:dyDescent="0.25">
      <c r="C184" s="91"/>
      <c r="F184" t="s">
        <v>234</v>
      </c>
      <c r="G184" t="s">
        <v>329</v>
      </c>
      <c r="J184" s="101">
        <f t="shared" ref="J184:AB184" si="34">hundred*J101*$H73*J88/$H45/days_in_year/(1+$H31)*PowerFactor</f>
        <v>0</v>
      </c>
      <c r="K184" s="101">
        <f t="shared" si="34"/>
        <v>0</v>
      </c>
      <c r="L184" s="101">
        <f t="shared" si="34"/>
        <v>0</v>
      </c>
      <c r="M184" s="101">
        <f t="shared" si="34"/>
        <v>0</v>
      </c>
      <c r="N184" s="101">
        <f t="shared" si="34"/>
        <v>0</v>
      </c>
      <c r="O184" s="101">
        <f t="shared" si="34"/>
        <v>0</v>
      </c>
      <c r="P184" s="101">
        <f t="shared" si="34"/>
        <v>0</v>
      </c>
      <c r="Q184" s="101">
        <f t="shared" si="34"/>
        <v>0.92058689350217082</v>
      </c>
      <c r="R184" s="101">
        <f t="shared" si="34"/>
        <v>0</v>
      </c>
      <c r="S184" s="101">
        <f t="shared" si="34"/>
        <v>0</v>
      </c>
      <c r="T184" s="101">
        <f t="shared" si="34"/>
        <v>0</v>
      </c>
      <c r="U184" s="101">
        <f t="shared" si="34"/>
        <v>0.94932801695115077</v>
      </c>
      <c r="V184" s="101">
        <f t="shared" si="34"/>
        <v>0.92058689350217082</v>
      </c>
      <c r="W184" s="101">
        <f t="shared" si="34"/>
        <v>0</v>
      </c>
      <c r="X184" s="101">
        <f t="shared" si="34"/>
        <v>0</v>
      </c>
      <c r="Y184" s="101">
        <f t="shared" si="34"/>
        <v>0</v>
      </c>
      <c r="Z184" s="101">
        <f t="shared" si="34"/>
        <v>0</v>
      </c>
      <c r="AA184" s="101">
        <f t="shared" si="34"/>
        <v>0</v>
      </c>
      <c r="AB184" s="101">
        <f t="shared" si="34"/>
        <v>0</v>
      </c>
      <c r="AC184" s="79"/>
      <c r="AD184" s="79"/>
      <c r="AE184" s="79"/>
      <c r="AF184" s="79"/>
      <c r="AG184" s="79"/>
      <c r="AH184" s="79"/>
      <c r="AI184" s="79"/>
      <c r="AJ184" s="79"/>
      <c r="AK184" s="79"/>
      <c r="AL184" s="79"/>
      <c r="AM184" s="79"/>
      <c r="AN184" s="79"/>
      <c r="AO184" s="79"/>
      <c r="AP184" s="79"/>
    </row>
    <row r="185" spans="3:44" x14ac:dyDescent="0.25">
      <c r="C185" s="91"/>
      <c r="F185" t="s">
        <v>235</v>
      </c>
      <c r="G185" t="s">
        <v>329</v>
      </c>
      <c r="J185" s="101">
        <f t="shared" ref="J185:AB185" si="35">hundred*J102*$H74*J89/$H46/days_in_year/(1+$H32)*PowerFactor</f>
        <v>2.0930483819943402</v>
      </c>
      <c r="K185" s="101">
        <f t="shared" si="35"/>
        <v>2.0930483819943402</v>
      </c>
      <c r="L185" s="101">
        <f t="shared" si="35"/>
        <v>2.0930483819943402</v>
      </c>
      <c r="M185" s="101">
        <f t="shared" si="35"/>
        <v>2.0930483819943402</v>
      </c>
      <c r="N185" s="101">
        <f t="shared" si="35"/>
        <v>2.0930483819943402</v>
      </c>
      <c r="O185" s="101">
        <f t="shared" si="35"/>
        <v>2.0930483819943402</v>
      </c>
      <c r="P185" s="101">
        <f t="shared" si="35"/>
        <v>2.0930483819943402</v>
      </c>
      <c r="Q185" s="101">
        <f t="shared" si="35"/>
        <v>0</v>
      </c>
      <c r="R185" s="101">
        <f t="shared" si="35"/>
        <v>0</v>
      </c>
      <c r="S185" s="101">
        <f t="shared" si="35"/>
        <v>2.0930483819943402</v>
      </c>
      <c r="T185" s="101">
        <f t="shared" si="35"/>
        <v>2.0930483819943402</v>
      </c>
      <c r="U185" s="101">
        <f t="shared" si="35"/>
        <v>2.0930483819943402</v>
      </c>
      <c r="V185" s="101">
        <f t="shared" si="35"/>
        <v>0</v>
      </c>
      <c r="W185" s="101">
        <f t="shared" si="35"/>
        <v>0</v>
      </c>
      <c r="X185" s="101">
        <f t="shared" si="35"/>
        <v>0</v>
      </c>
      <c r="Y185" s="101">
        <f t="shared" si="35"/>
        <v>0</v>
      </c>
      <c r="Z185" s="101">
        <f t="shared" si="35"/>
        <v>0</v>
      </c>
      <c r="AA185" s="101">
        <f t="shared" si="35"/>
        <v>0</v>
      </c>
      <c r="AB185" s="101">
        <f t="shared" si="35"/>
        <v>0</v>
      </c>
      <c r="AC185" s="79"/>
      <c r="AD185" s="79"/>
      <c r="AE185" s="79"/>
      <c r="AF185" s="79"/>
      <c r="AG185" s="79"/>
      <c r="AH185" s="79"/>
      <c r="AI185" s="79"/>
      <c r="AJ185" s="79"/>
      <c r="AK185" s="79"/>
      <c r="AL185" s="79"/>
      <c r="AM185" s="79"/>
      <c r="AN185" s="79"/>
      <c r="AO185" s="79"/>
      <c r="AP185" s="79"/>
    </row>
    <row r="186" spans="3:44" x14ac:dyDescent="0.25">
      <c r="C186" s="91"/>
      <c r="F186" t="s">
        <v>436</v>
      </c>
      <c r="G186" t="s">
        <v>329</v>
      </c>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row>
    <row r="187" spans="3:44" x14ac:dyDescent="0.25">
      <c r="C187" s="91"/>
      <c r="F187" s="37" t="s">
        <v>437</v>
      </c>
      <c r="G187" s="37" t="s">
        <v>329</v>
      </c>
      <c r="H187" s="37"/>
      <c r="I187" s="37"/>
      <c r="J187" s="81"/>
      <c r="K187" s="81"/>
      <c r="L187" s="81"/>
      <c r="M187" s="81"/>
      <c r="N187" s="81"/>
      <c r="O187" s="81"/>
      <c r="P187" s="81"/>
      <c r="Q187" s="81"/>
      <c r="R187" s="81"/>
      <c r="S187" s="81"/>
      <c r="T187" s="81"/>
      <c r="U187" s="81"/>
      <c r="V187" s="81"/>
      <c r="W187" s="81"/>
      <c r="X187" s="81"/>
      <c r="Y187" s="81"/>
      <c r="Z187" s="81"/>
      <c r="AA187" s="81"/>
      <c r="AB187" s="81"/>
      <c r="AC187" s="81"/>
      <c r="AD187" s="81"/>
      <c r="AE187" s="81"/>
      <c r="AF187" s="81"/>
      <c r="AG187" s="81"/>
      <c r="AH187" s="81"/>
      <c r="AI187" s="81"/>
      <c r="AJ187" s="81"/>
      <c r="AK187" s="81"/>
      <c r="AL187" s="81"/>
      <c r="AM187" s="81"/>
      <c r="AN187" s="81"/>
      <c r="AO187" s="81"/>
      <c r="AP187" s="81"/>
    </row>
    <row r="188" spans="3:44" x14ac:dyDescent="0.25">
      <c r="C188" s="91"/>
      <c r="J188" s="92"/>
      <c r="K188" s="92"/>
      <c r="L188" s="92"/>
      <c r="M188" s="92"/>
      <c r="N188" s="92"/>
      <c r="O188" s="92"/>
      <c r="P188" s="92"/>
      <c r="Q188" s="92"/>
      <c r="R188" s="92"/>
      <c r="S188" s="92"/>
      <c r="T188" s="92"/>
      <c r="U188" s="92"/>
      <c r="V188" s="92"/>
      <c r="W188" s="92"/>
      <c r="X188" s="92"/>
      <c r="Y188" s="92"/>
      <c r="Z188" s="92"/>
      <c r="AA188" s="92"/>
      <c r="AB188" s="92"/>
      <c r="AC188" s="92"/>
      <c r="AD188" s="92"/>
      <c r="AE188" s="92"/>
      <c r="AF188" s="92"/>
      <c r="AG188" s="92"/>
      <c r="AH188" s="92"/>
      <c r="AI188" s="92"/>
      <c r="AJ188" s="92"/>
      <c r="AK188" s="92"/>
      <c r="AL188" s="92"/>
      <c r="AM188" s="92"/>
      <c r="AN188" s="92"/>
      <c r="AO188" s="92"/>
      <c r="AP188" s="92"/>
    </row>
    <row r="189" spans="3:44" x14ac:dyDescent="0.25">
      <c r="C189" s="31" t="str">
        <f ca="1">INDEX('Version control'!$H$34:$H$56,MATCH($A$1,'Version control'!$F$34:$F$56,0),1)&amp;"-D: Capacity charges for eligible customers, by network level"</f>
        <v>Section 113-D: Capacity charges for eligible customers, by network level</v>
      </c>
      <c r="D189" s="31"/>
      <c r="E189" s="31"/>
      <c r="F189" s="31"/>
      <c r="G189" s="31"/>
      <c r="H189" s="31"/>
      <c r="I189" s="31"/>
      <c r="J189" s="93"/>
      <c r="K189" s="93"/>
      <c r="L189" s="93"/>
      <c r="M189" s="93"/>
      <c r="N189" s="93"/>
      <c r="O189" s="93"/>
      <c r="P189" s="93"/>
      <c r="Q189" s="93"/>
      <c r="R189" s="93"/>
      <c r="S189" s="93"/>
      <c r="T189" s="93"/>
      <c r="U189" s="93"/>
      <c r="V189" s="93"/>
      <c r="W189" s="93"/>
      <c r="X189" s="93"/>
      <c r="Y189" s="93"/>
      <c r="Z189" s="93"/>
      <c r="AA189" s="93"/>
      <c r="AB189" s="93"/>
      <c r="AC189" s="93"/>
      <c r="AD189" s="93"/>
      <c r="AE189" s="93"/>
      <c r="AF189" s="93"/>
      <c r="AG189" s="93"/>
      <c r="AH189" s="93"/>
      <c r="AI189" s="93"/>
      <c r="AJ189" s="93"/>
      <c r="AK189" s="93"/>
      <c r="AL189" s="93"/>
      <c r="AM189" s="93"/>
      <c r="AN189" s="93"/>
      <c r="AO189" s="93"/>
      <c r="AP189" s="93"/>
      <c r="AQ189" s="31"/>
      <c r="AR189" s="31"/>
    </row>
    <row r="190" spans="3:44" x14ac:dyDescent="0.25">
      <c r="D190" s="32"/>
      <c r="E190" s="32"/>
      <c r="I190" t="s">
        <v>190</v>
      </c>
      <c r="J190" s="92"/>
      <c r="K190" s="92"/>
      <c r="L190" s="92"/>
      <c r="M190" s="92"/>
      <c r="N190" s="92"/>
      <c r="O190" s="92"/>
      <c r="P190" s="92"/>
      <c r="Q190" s="92"/>
      <c r="R190" s="92"/>
      <c r="S190" s="92"/>
      <c r="T190" s="92"/>
      <c r="U190" s="92"/>
      <c r="V190" s="92"/>
      <c r="W190" s="92"/>
      <c r="X190" s="92"/>
      <c r="Y190" s="92"/>
      <c r="Z190" s="92"/>
      <c r="AA190" s="92"/>
      <c r="AB190" s="92"/>
      <c r="AC190" s="92"/>
      <c r="AD190" s="92"/>
      <c r="AE190" s="92"/>
      <c r="AF190" s="92"/>
      <c r="AG190" s="92"/>
      <c r="AH190" s="92"/>
      <c r="AI190" s="92"/>
      <c r="AJ190" s="92"/>
      <c r="AK190" s="92"/>
      <c r="AL190" s="92"/>
      <c r="AM190" s="92"/>
      <c r="AN190" s="92"/>
      <c r="AO190" s="92"/>
      <c r="AP190" s="92"/>
      <c r="AR190" t="s">
        <v>830</v>
      </c>
    </row>
    <row r="191" spans="3:44" x14ac:dyDescent="0.25">
      <c r="C191" s="91"/>
      <c r="D191"/>
      <c r="E191" s="32" t="s">
        <v>733</v>
      </c>
      <c r="J191" s="92"/>
      <c r="K191" s="92"/>
      <c r="L191" s="92"/>
      <c r="M191" s="92"/>
      <c r="N191" s="92"/>
      <c r="O191" s="92"/>
      <c r="P191" s="92"/>
      <c r="Q191" s="92"/>
      <c r="R191" s="92"/>
      <c r="S191" s="92"/>
      <c r="T191" s="92"/>
      <c r="U191" s="92"/>
      <c r="V191" s="92"/>
      <c r="W191" s="92"/>
      <c r="X191" s="92"/>
      <c r="Y191" s="92"/>
      <c r="Z191" s="92"/>
      <c r="AA191" s="92"/>
      <c r="AB191" s="92"/>
      <c r="AC191" s="92"/>
      <c r="AD191" s="92"/>
      <c r="AE191" s="92"/>
      <c r="AF191" s="92"/>
      <c r="AG191" s="92"/>
      <c r="AH191" s="92"/>
      <c r="AI191" s="92"/>
      <c r="AJ191" s="92"/>
      <c r="AK191" s="92"/>
      <c r="AL191" s="92"/>
      <c r="AM191" s="92"/>
      <c r="AN191" s="92"/>
      <c r="AO191" s="92"/>
      <c r="AP191" s="92"/>
    </row>
    <row r="192" spans="3:44" x14ac:dyDescent="0.25">
      <c r="C192" s="91"/>
      <c r="D192"/>
      <c r="F192" s="23" t="s">
        <v>225</v>
      </c>
      <c r="G192" s="23" t="s">
        <v>329</v>
      </c>
      <c r="H192" s="23"/>
      <c r="I192" s="23"/>
      <c r="J192" s="83"/>
      <c r="K192" s="83"/>
      <c r="L192" s="83"/>
      <c r="M192" s="83"/>
      <c r="N192" s="83"/>
      <c r="O192" s="83"/>
      <c r="P192" s="83"/>
      <c r="Q192" s="83"/>
      <c r="R192" s="83"/>
      <c r="S192" s="83"/>
      <c r="T192" s="83"/>
      <c r="U192" s="83"/>
      <c r="V192" s="83"/>
      <c r="W192" s="83"/>
      <c r="X192" s="83"/>
      <c r="Y192" s="83"/>
      <c r="Z192" s="83"/>
      <c r="AA192" s="83"/>
      <c r="AB192" s="83"/>
      <c r="AC192" s="83"/>
      <c r="AD192" s="83"/>
      <c r="AE192" s="83"/>
      <c r="AF192" s="83"/>
      <c r="AG192" s="83"/>
      <c r="AH192" s="83"/>
      <c r="AI192" s="83"/>
      <c r="AJ192" s="83"/>
      <c r="AK192" s="83"/>
      <c r="AL192" s="83"/>
      <c r="AM192" s="83"/>
      <c r="AN192" s="83"/>
      <c r="AO192" s="83"/>
      <c r="AP192" s="83"/>
    </row>
    <row r="193" spans="3:42" x14ac:dyDescent="0.25">
      <c r="C193" s="91"/>
      <c r="D193"/>
      <c r="F193" t="s">
        <v>227</v>
      </c>
      <c r="G193" t="s">
        <v>329</v>
      </c>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c r="AP193" s="79"/>
    </row>
    <row r="194" spans="3:42" x14ac:dyDescent="0.25">
      <c r="C194" s="91"/>
      <c r="D194"/>
      <c r="F194" t="s">
        <v>228</v>
      </c>
      <c r="G194" t="s">
        <v>329</v>
      </c>
      <c r="J194" s="101">
        <f>J$121 * J134</f>
        <v>0</v>
      </c>
      <c r="K194" s="101">
        <f t="shared" ref="K194:AB194" si="36">K$121 * K134</f>
        <v>0</v>
      </c>
      <c r="L194" s="101">
        <f t="shared" si="36"/>
        <v>0</v>
      </c>
      <c r="M194" s="101">
        <f t="shared" si="36"/>
        <v>0</v>
      </c>
      <c r="N194" s="101">
        <f t="shared" si="36"/>
        <v>0</v>
      </c>
      <c r="O194" s="101">
        <f t="shared" si="36"/>
        <v>0</v>
      </c>
      <c r="P194" s="101">
        <f t="shared" si="36"/>
        <v>0</v>
      </c>
      <c r="Q194" s="101">
        <f t="shared" si="36"/>
        <v>0</v>
      </c>
      <c r="R194" s="101">
        <f t="shared" si="36"/>
        <v>0</v>
      </c>
      <c r="S194" s="101">
        <f t="shared" si="36"/>
        <v>0</v>
      </c>
      <c r="T194" s="101">
        <f t="shared" si="36"/>
        <v>0</v>
      </c>
      <c r="U194" s="101">
        <f t="shared" si="36"/>
        <v>0</v>
      </c>
      <c r="V194" s="101">
        <f t="shared" si="36"/>
        <v>0</v>
      </c>
      <c r="W194" s="101">
        <f t="shared" si="36"/>
        <v>0</v>
      </c>
      <c r="X194" s="101">
        <f t="shared" si="36"/>
        <v>0</v>
      </c>
      <c r="Y194" s="101">
        <f t="shared" si="36"/>
        <v>0</v>
      </c>
      <c r="Z194" s="101">
        <f t="shared" si="36"/>
        <v>0</v>
      </c>
      <c r="AA194" s="101">
        <f t="shared" si="36"/>
        <v>0</v>
      </c>
      <c r="AB194" s="101">
        <f t="shared" si="36"/>
        <v>0</v>
      </c>
      <c r="AC194" s="79"/>
      <c r="AD194" s="79"/>
      <c r="AE194" s="79"/>
      <c r="AF194" s="79"/>
      <c r="AG194" s="79"/>
      <c r="AH194" s="79"/>
      <c r="AI194" s="79"/>
      <c r="AJ194" s="79"/>
      <c r="AK194" s="79"/>
      <c r="AL194" s="79"/>
      <c r="AM194" s="79"/>
      <c r="AN194" s="79"/>
      <c r="AO194" s="79"/>
      <c r="AP194" s="79"/>
    </row>
    <row r="195" spans="3:42" x14ac:dyDescent="0.25">
      <c r="C195" s="91"/>
      <c r="D195"/>
      <c r="F195" t="s">
        <v>229</v>
      </c>
      <c r="G195" t="s">
        <v>329</v>
      </c>
      <c r="J195" s="101">
        <f t="shared" ref="J195:AB195" si="37">J$121 * J135</f>
        <v>0</v>
      </c>
      <c r="K195" s="101">
        <f t="shared" si="37"/>
        <v>0</v>
      </c>
      <c r="L195" s="101">
        <f t="shared" si="37"/>
        <v>0</v>
      </c>
      <c r="M195" s="101">
        <f t="shared" si="37"/>
        <v>0</v>
      </c>
      <c r="N195" s="101">
        <f t="shared" si="37"/>
        <v>0</v>
      </c>
      <c r="O195" s="101">
        <f t="shared" si="37"/>
        <v>0</v>
      </c>
      <c r="P195" s="101">
        <f t="shared" si="37"/>
        <v>0</v>
      </c>
      <c r="Q195" s="101">
        <f t="shared" si="37"/>
        <v>0</v>
      </c>
      <c r="R195" s="101">
        <f t="shared" si="37"/>
        <v>0</v>
      </c>
      <c r="S195" s="101">
        <f t="shared" si="37"/>
        <v>0</v>
      </c>
      <c r="T195" s="101">
        <f t="shared" si="37"/>
        <v>0</v>
      </c>
      <c r="U195" s="101">
        <f t="shared" si="37"/>
        <v>0</v>
      </c>
      <c r="V195" s="101">
        <f t="shared" si="37"/>
        <v>0</v>
      </c>
      <c r="W195" s="101">
        <f t="shared" si="37"/>
        <v>0</v>
      </c>
      <c r="X195" s="101">
        <f t="shared" si="37"/>
        <v>0</v>
      </c>
      <c r="Y195" s="101">
        <f t="shared" si="37"/>
        <v>0</v>
      </c>
      <c r="Z195" s="101">
        <f t="shared" si="37"/>
        <v>0</v>
      </c>
      <c r="AA195" s="101">
        <f t="shared" si="37"/>
        <v>0</v>
      </c>
      <c r="AB195" s="101">
        <f t="shared" si="37"/>
        <v>0</v>
      </c>
      <c r="AC195" s="79"/>
      <c r="AD195" s="79"/>
      <c r="AE195" s="79"/>
      <c r="AF195" s="79"/>
      <c r="AG195" s="79"/>
      <c r="AH195" s="79"/>
      <c r="AI195" s="79"/>
      <c r="AJ195" s="79"/>
      <c r="AK195" s="79"/>
      <c r="AL195" s="79"/>
      <c r="AM195" s="79"/>
      <c r="AN195" s="79"/>
      <c r="AO195" s="79"/>
      <c r="AP195" s="79"/>
    </row>
    <row r="196" spans="3:42" x14ac:dyDescent="0.25">
      <c r="C196" s="91"/>
      <c r="D196"/>
      <c r="F196" t="s">
        <v>230</v>
      </c>
      <c r="G196" t="s">
        <v>329</v>
      </c>
      <c r="J196" s="101">
        <f t="shared" ref="J196:AB196" si="38">J$121 * J136</f>
        <v>0</v>
      </c>
      <c r="K196" s="101">
        <f t="shared" si="38"/>
        <v>0</v>
      </c>
      <c r="L196" s="101">
        <f t="shared" si="38"/>
        <v>0</v>
      </c>
      <c r="M196" s="101">
        <f t="shared" si="38"/>
        <v>0</v>
      </c>
      <c r="N196" s="101">
        <f t="shared" si="38"/>
        <v>0</v>
      </c>
      <c r="O196" s="101">
        <f t="shared" si="38"/>
        <v>0</v>
      </c>
      <c r="P196" s="101">
        <f t="shared" si="38"/>
        <v>0</v>
      </c>
      <c r="Q196" s="101">
        <f t="shared" si="38"/>
        <v>0</v>
      </c>
      <c r="R196" s="101">
        <f t="shared" si="38"/>
        <v>0</v>
      </c>
      <c r="S196" s="101">
        <f t="shared" si="38"/>
        <v>0</v>
      </c>
      <c r="T196" s="101">
        <f t="shared" si="38"/>
        <v>0</v>
      </c>
      <c r="U196" s="101">
        <f t="shared" si="38"/>
        <v>0</v>
      </c>
      <c r="V196" s="101">
        <f t="shared" si="38"/>
        <v>0</v>
      </c>
      <c r="W196" s="101">
        <f t="shared" si="38"/>
        <v>0.38865278552474813</v>
      </c>
      <c r="X196" s="101">
        <f t="shared" si="38"/>
        <v>0</v>
      </c>
      <c r="Y196" s="101">
        <f t="shared" si="38"/>
        <v>0</v>
      </c>
      <c r="Z196" s="101">
        <f t="shared" si="38"/>
        <v>0</v>
      </c>
      <c r="AA196" s="101">
        <f t="shared" si="38"/>
        <v>0</v>
      </c>
      <c r="AB196" s="101">
        <f t="shared" si="38"/>
        <v>0</v>
      </c>
      <c r="AC196" s="79"/>
      <c r="AD196" s="79"/>
      <c r="AE196" s="79"/>
      <c r="AF196" s="79"/>
      <c r="AG196" s="79"/>
      <c r="AH196" s="79"/>
      <c r="AI196" s="79"/>
      <c r="AJ196" s="79"/>
      <c r="AK196" s="79"/>
      <c r="AL196" s="79"/>
      <c r="AM196" s="79"/>
      <c r="AN196" s="79"/>
      <c r="AO196" s="79"/>
      <c r="AP196" s="79"/>
    </row>
    <row r="197" spans="3:42" x14ac:dyDescent="0.25">
      <c r="C197" s="91"/>
      <c r="D197"/>
      <c r="F197" t="s">
        <v>231</v>
      </c>
      <c r="G197" t="s">
        <v>329</v>
      </c>
      <c r="J197" s="101">
        <f t="shared" ref="J197:AB197" si="39">J$121 * J137</f>
        <v>0</v>
      </c>
      <c r="K197" s="101">
        <f t="shared" si="39"/>
        <v>0</v>
      </c>
      <c r="L197" s="101">
        <f t="shared" si="39"/>
        <v>0</v>
      </c>
      <c r="M197" s="101">
        <f t="shared" si="39"/>
        <v>0</v>
      </c>
      <c r="N197" s="101">
        <f t="shared" si="39"/>
        <v>0</v>
      </c>
      <c r="O197" s="101">
        <f t="shared" si="39"/>
        <v>0</v>
      </c>
      <c r="P197" s="101">
        <f t="shared" si="39"/>
        <v>0</v>
      </c>
      <c r="Q197" s="101">
        <f t="shared" si="39"/>
        <v>0</v>
      </c>
      <c r="R197" s="101">
        <f t="shared" si="39"/>
        <v>0</v>
      </c>
      <c r="S197" s="101">
        <f t="shared" si="39"/>
        <v>0</v>
      </c>
      <c r="T197" s="101">
        <f t="shared" si="39"/>
        <v>0</v>
      </c>
      <c r="U197" s="101">
        <f t="shared" si="39"/>
        <v>0</v>
      </c>
      <c r="V197" s="101">
        <f t="shared" si="39"/>
        <v>0</v>
      </c>
      <c r="W197" s="101">
        <f t="shared" si="39"/>
        <v>1.7656075555708008</v>
      </c>
      <c r="X197" s="101">
        <f t="shared" si="39"/>
        <v>0</v>
      </c>
      <c r="Y197" s="101">
        <f t="shared" si="39"/>
        <v>0</v>
      </c>
      <c r="Z197" s="101">
        <f t="shared" si="39"/>
        <v>0</v>
      </c>
      <c r="AA197" s="101">
        <f t="shared" si="39"/>
        <v>0</v>
      </c>
      <c r="AB197" s="101">
        <f t="shared" si="39"/>
        <v>0</v>
      </c>
      <c r="AC197" s="79"/>
      <c r="AD197" s="79"/>
      <c r="AE197" s="79"/>
      <c r="AF197" s="79"/>
      <c r="AG197" s="79"/>
      <c r="AH197" s="79"/>
      <c r="AI197" s="79"/>
      <c r="AJ197" s="79"/>
      <c r="AK197" s="79"/>
      <c r="AL197" s="79"/>
      <c r="AM197" s="79"/>
      <c r="AN197" s="79"/>
      <c r="AO197" s="79"/>
      <c r="AP197" s="79"/>
    </row>
    <row r="198" spans="3:42" x14ac:dyDescent="0.25">
      <c r="C198" s="91"/>
      <c r="D198"/>
      <c r="F198" t="s">
        <v>232</v>
      </c>
      <c r="G198" t="s">
        <v>329</v>
      </c>
      <c r="J198" s="101">
        <f t="shared" ref="J198:AB198" si="40">J$121 * J138</f>
        <v>0</v>
      </c>
      <c r="K198" s="101">
        <f t="shared" si="40"/>
        <v>0</v>
      </c>
      <c r="L198" s="101">
        <f t="shared" si="40"/>
        <v>0</v>
      </c>
      <c r="M198" s="101">
        <f t="shared" si="40"/>
        <v>0</v>
      </c>
      <c r="N198" s="101">
        <f t="shared" si="40"/>
        <v>0</v>
      </c>
      <c r="O198" s="101">
        <f t="shared" si="40"/>
        <v>0</v>
      </c>
      <c r="P198" s="101">
        <f t="shared" si="40"/>
        <v>0</v>
      </c>
      <c r="Q198" s="101">
        <f t="shared" si="40"/>
        <v>0</v>
      </c>
      <c r="R198" s="101">
        <f t="shared" si="40"/>
        <v>0</v>
      </c>
      <c r="S198" s="101">
        <f t="shared" si="40"/>
        <v>0</v>
      </c>
      <c r="T198" s="101">
        <f t="shared" si="40"/>
        <v>0</v>
      </c>
      <c r="U198" s="101">
        <f t="shared" si="40"/>
        <v>0</v>
      </c>
      <c r="V198" s="101">
        <f t="shared" si="40"/>
        <v>0</v>
      </c>
      <c r="W198" s="101">
        <f t="shared" si="40"/>
        <v>0</v>
      </c>
      <c r="X198" s="101">
        <f t="shared" si="40"/>
        <v>0</v>
      </c>
      <c r="Y198" s="101">
        <f t="shared" si="40"/>
        <v>0</v>
      </c>
      <c r="Z198" s="101">
        <f t="shared" si="40"/>
        <v>0</v>
      </c>
      <c r="AA198" s="101">
        <f t="shared" si="40"/>
        <v>0</v>
      </c>
      <c r="AB198" s="101">
        <f t="shared" si="40"/>
        <v>0</v>
      </c>
      <c r="AC198" s="79"/>
      <c r="AD198" s="79"/>
      <c r="AE198" s="79"/>
      <c r="AF198" s="79"/>
      <c r="AG198" s="79"/>
      <c r="AH198" s="79"/>
      <c r="AI198" s="79"/>
      <c r="AJ198" s="79"/>
      <c r="AK198" s="79"/>
      <c r="AL198" s="79"/>
      <c r="AM198" s="79"/>
      <c r="AN198" s="79"/>
      <c r="AO198" s="79"/>
      <c r="AP198" s="79"/>
    </row>
    <row r="199" spans="3:42" x14ac:dyDescent="0.25">
      <c r="C199" s="91"/>
      <c r="D199"/>
      <c r="F199" t="s">
        <v>233</v>
      </c>
      <c r="G199" t="s">
        <v>329</v>
      </c>
      <c r="J199" s="101">
        <f t="shared" ref="J199:AB199" si="41">J$121 * J139</f>
        <v>0</v>
      </c>
      <c r="K199" s="101">
        <f t="shared" si="41"/>
        <v>0</v>
      </c>
      <c r="L199" s="101">
        <f t="shared" si="41"/>
        <v>0</v>
      </c>
      <c r="M199" s="101">
        <f t="shared" si="41"/>
        <v>0</v>
      </c>
      <c r="N199" s="101">
        <f t="shared" si="41"/>
        <v>0</v>
      </c>
      <c r="O199" s="101">
        <f t="shared" si="41"/>
        <v>0</v>
      </c>
      <c r="P199" s="101">
        <f t="shared" si="41"/>
        <v>0</v>
      </c>
      <c r="Q199" s="101">
        <f t="shared" si="41"/>
        <v>0</v>
      </c>
      <c r="R199" s="101">
        <f t="shared" si="41"/>
        <v>0</v>
      </c>
      <c r="S199" s="101">
        <f t="shared" si="41"/>
        <v>0</v>
      </c>
      <c r="T199" s="101">
        <f t="shared" si="41"/>
        <v>0</v>
      </c>
      <c r="U199" s="101">
        <f t="shared" si="41"/>
        <v>0.57924496564016736</v>
      </c>
      <c r="V199" s="101">
        <f t="shared" si="41"/>
        <v>2.8085409572553055</v>
      </c>
      <c r="W199" s="101">
        <f t="shared" si="41"/>
        <v>2.9235512151241809</v>
      </c>
      <c r="X199" s="101">
        <f t="shared" si="41"/>
        <v>0</v>
      </c>
      <c r="Y199" s="101">
        <f t="shared" si="41"/>
        <v>0</v>
      </c>
      <c r="Z199" s="101">
        <f t="shared" si="41"/>
        <v>0</v>
      </c>
      <c r="AA199" s="101">
        <f t="shared" si="41"/>
        <v>0</v>
      </c>
      <c r="AB199" s="101">
        <f t="shared" si="41"/>
        <v>0</v>
      </c>
      <c r="AC199" s="79"/>
      <c r="AD199" s="79"/>
      <c r="AE199" s="79"/>
      <c r="AF199" s="79"/>
      <c r="AG199" s="79"/>
      <c r="AH199" s="79"/>
      <c r="AI199" s="79"/>
      <c r="AJ199" s="79"/>
      <c r="AK199" s="79"/>
      <c r="AL199" s="79"/>
      <c r="AM199" s="79"/>
      <c r="AN199" s="79"/>
      <c r="AO199" s="79"/>
      <c r="AP199" s="79"/>
    </row>
    <row r="200" spans="3:42" x14ac:dyDescent="0.25">
      <c r="C200" s="91"/>
      <c r="D200"/>
      <c r="F200" t="s">
        <v>234</v>
      </c>
      <c r="G200" t="s">
        <v>329</v>
      </c>
      <c r="J200" s="101">
        <f t="shared" ref="J200:AB200" si="42">J$121 * J140</f>
        <v>0</v>
      </c>
      <c r="K200" s="101">
        <f t="shared" si="42"/>
        <v>0</v>
      </c>
      <c r="L200" s="101">
        <f t="shared" si="42"/>
        <v>0</v>
      </c>
      <c r="M200" s="101">
        <f t="shared" si="42"/>
        <v>0</v>
      </c>
      <c r="N200" s="101">
        <f t="shared" si="42"/>
        <v>0</v>
      </c>
      <c r="O200" s="101">
        <f t="shared" si="42"/>
        <v>0</v>
      </c>
      <c r="P200" s="101">
        <f t="shared" si="42"/>
        <v>0</v>
      </c>
      <c r="Q200" s="101">
        <f t="shared" si="42"/>
        <v>0</v>
      </c>
      <c r="R200" s="101">
        <f t="shared" si="42"/>
        <v>0</v>
      </c>
      <c r="S200" s="101">
        <f t="shared" si="42"/>
        <v>0</v>
      </c>
      <c r="T200" s="101">
        <f t="shared" si="42"/>
        <v>0</v>
      </c>
      <c r="U200" s="101">
        <f t="shared" si="42"/>
        <v>0.26525461503454184</v>
      </c>
      <c r="V200" s="101">
        <f t="shared" si="42"/>
        <v>0.2572239707261566</v>
      </c>
      <c r="W200" s="101">
        <f t="shared" si="42"/>
        <v>0</v>
      </c>
      <c r="X200" s="101">
        <f t="shared" si="42"/>
        <v>0</v>
      </c>
      <c r="Y200" s="101">
        <f t="shared" si="42"/>
        <v>0</v>
      </c>
      <c r="Z200" s="101">
        <f t="shared" si="42"/>
        <v>0</v>
      </c>
      <c r="AA200" s="101">
        <f t="shared" si="42"/>
        <v>0</v>
      </c>
      <c r="AB200" s="101">
        <f t="shared" si="42"/>
        <v>0</v>
      </c>
      <c r="AC200" s="79"/>
      <c r="AD200" s="79"/>
      <c r="AE200" s="79"/>
      <c r="AF200" s="79"/>
      <c r="AG200" s="79"/>
      <c r="AH200" s="79"/>
      <c r="AI200" s="79"/>
      <c r="AJ200" s="79"/>
      <c r="AK200" s="79"/>
      <c r="AL200" s="79"/>
      <c r="AM200" s="79"/>
      <c r="AN200" s="79"/>
      <c r="AO200" s="79"/>
      <c r="AP200" s="79"/>
    </row>
    <row r="201" spans="3:42" x14ac:dyDescent="0.25">
      <c r="C201" s="91"/>
      <c r="D201"/>
      <c r="F201" t="s">
        <v>235</v>
      </c>
      <c r="G201" t="s">
        <v>329</v>
      </c>
      <c r="J201" s="101">
        <f t="shared" ref="J201:AB201" si="43">J$121 * J141</f>
        <v>0</v>
      </c>
      <c r="K201" s="101">
        <f t="shared" si="43"/>
        <v>0</v>
      </c>
      <c r="L201" s="101">
        <f t="shared" si="43"/>
        <v>0</v>
      </c>
      <c r="M201" s="101">
        <f t="shared" si="43"/>
        <v>0</v>
      </c>
      <c r="N201" s="101">
        <f t="shared" si="43"/>
        <v>0</v>
      </c>
      <c r="O201" s="101">
        <f t="shared" si="43"/>
        <v>0</v>
      </c>
      <c r="P201" s="101">
        <f t="shared" si="43"/>
        <v>0</v>
      </c>
      <c r="Q201" s="101">
        <f t="shared" si="43"/>
        <v>0</v>
      </c>
      <c r="R201" s="101">
        <f t="shared" si="43"/>
        <v>0</v>
      </c>
      <c r="S201" s="101">
        <f t="shared" si="43"/>
        <v>0</v>
      </c>
      <c r="T201" s="101">
        <f t="shared" si="43"/>
        <v>0</v>
      </c>
      <c r="U201" s="101">
        <f t="shared" si="43"/>
        <v>8.9469823783937572E-2</v>
      </c>
      <c r="V201" s="101">
        <f t="shared" si="43"/>
        <v>0</v>
      </c>
      <c r="W201" s="101">
        <f t="shared" si="43"/>
        <v>0</v>
      </c>
      <c r="X201" s="101">
        <f t="shared" si="43"/>
        <v>0</v>
      </c>
      <c r="Y201" s="101">
        <f t="shared" si="43"/>
        <v>0</v>
      </c>
      <c r="Z201" s="101">
        <f t="shared" si="43"/>
        <v>0</v>
      </c>
      <c r="AA201" s="101">
        <f t="shared" si="43"/>
        <v>0</v>
      </c>
      <c r="AB201" s="101">
        <f t="shared" si="43"/>
        <v>0</v>
      </c>
      <c r="AC201" s="79"/>
      <c r="AD201" s="79"/>
      <c r="AE201" s="79"/>
      <c r="AF201" s="79"/>
      <c r="AG201" s="79"/>
      <c r="AH201" s="79"/>
      <c r="AI201" s="79"/>
      <c r="AJ201" s="79"/>
      <c r="AK201" s="79"/>
      <c r="AL201" s="79"/>
      <c r="AM201" s="79"/>
      <c r="AN201" s="79"/>
      <c r="AO201" s="79"/>
      <c r="AP201" s="79"/>
    </row>
    <row r="202" spans="3:42" x14ac:dyDescent="0.25">
      <c r="C202" s="91"/>
      <c r="D202"/>
      <c r="F202" t="s">
        <v>436</v>
      </c>
      <c r="G202" t="s">
        <v>329</v>
      </c>
      <c r="J202" s="79"/>
      <c r="K202" s="79"/>
      <c r="L202" s="79"/>
      <c r="M202" s="79"/>
      <c r="N202" s="79"/>
      <c r="O202" s="79"/>
      <c r="P202" s="79"/>
      <c r="Q202" s="79"/>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row>
    <row r="203" spans="3:42" x14ac:dyDescent="0.25">
      <c r="C203" s="91"/>
      <c r="D203"/>
      <c r="F203" s="37" t="s">
        <v>437</v>
      </c>
      <c r="G203" s="37" t="s">
        <v>329</v>
      </c>
      <c r="H203" s="37"/>
      <c r="I203" s="37"/>
      <c r="J203" s="81"/>
      <c r="K203" s="81"/>
      <c r="L203" s="81"/>
      <c r="M203" s="81"/>
      <c r="N203" s="81"/>
      <c r="O203" s="81"/>
      <c r="P203" s="81"/>
      <c r="Q203" s="81"/>
      <c r="R203" s="81"/>
      <c r="S203" s="81"/>
      <c r="T203" s="81"/>
      <c r="U203" s="81"/>
      <c r="V203" s="81"/>
      <c r="W203" s="81"/>
      <c r="X203" s="81"/>
      <c r="Y203" s="81"/>
      <c r="Z203" s="81"/>
      <c r="AA203" s="81"/>
      <c r="AB203" s="81"/>
      <c r="AC203" s="81"/>
      <c r="AD203" s="81"/>
      <c r="AE203" s="81"/>
      <c r="AF203" s="81"/>
      <c r="AG203" s="81"/>
      <c r="AH203" s="81"/>
      <c r="AI203" s="81"/>
      <c r="AJ203" s="81"/>
      <c r="AK203" s="81"/>
      <c r="AL203" s="81"/>
      <c r="AM203" s="81"/>
      <c r="AN203" s="81"/>
      <c r="AO203" s="81"/>
      <c r="AP203" s="81"/>
    </row>
    <row r="204" spans="3:42" x14ac:dyDescent="0.25">
      <c r="C204" s="91"/>
      <c r="D204"/>
      <c r="J204" s="92"/>
      <c r="K204" s="92"/>
      <c r="L204" s="92"/>
      <c r="M204" s="92"/>
      <c r="N204" s="92"/>
      <c r="O204" s="92"/>
      <c r="P204" s="92"/>
      <c r="Q204" s="92"/>
      <c r="R204" s="92"/>
      <c r="S204" s="92"/>
      <c r="T204" s="92"/>
      <c r="U204" s="92"/>
      <c r="V204" s="92"/>
      <c r="W204" s="92"/>
      <c r="X204" s="92"/>
      <c r="Y204" s="92"/>
      <c r="Z204" s="92"/>
      <c r="AA204" s="92"/>
      <c r="AB204" s="92"/>
      <c r="AC204" s="92"/>
      <c r="AD204" s="92"/>
      <c r="AE204" s="92"/>
      <c r="AF204" s="92"/>
      <c r="AG204" s="92"/>
      <c r="AH204" s="92"/>
      <c r="AI204" s="92"/>
      <c r="AJ204" s="92"/>
      <c r="AK204" s="92"/>
      <c r="AL204" s="92"/>
      <c r="AM204" s="92"/>
      <c r="AN204" s="92"/>
      <c r="AO204" s="92"/>
      <c r="AP204" s="92"/>
    </row>
    <row r="205" spans="3:42" x14ac:dyDescent="0.25">
      <c r="C205" s="91"/>
      <c r="D205"/>
      <c r="E205" s="32" t="s">
        <v>734</v>
      </c>
      <c r="J205" s="92"/>
      <c r="K205" s="92"/>
      <c r="L205" s="92"/>
      <c r="M205" s="92"/>
      <c r="N205" s="92"/>
      <c r="O205" s="92"/>
      <c r="P205" s="92"/>
      <c r="Q205" s="92"/>
      <c r="R205" s="92"/>
      <c r="S205" s="92"/>
      <c r="T205" s="92"/>
      <c r="U205" s="92"/>
      <c r="V205" s="92"/>
      <c r="W205" s="92"/>
      <c r="X205" s="92"/>
      <c r="Y205" s="92"/>
      <c r="Z205" s="92"/>
      <c r="AA205" s="92"/>
      <c r="AB205" s="92"/>
      <c r="AC205" s="92"/>
      <c r="AD205" s="92"/>
      <c r="AE205" s="92"/>
      <c r="AF205" s="92"/>
      <c r="AG205" s="92"/>
      <c r="AH205" s="92"/>
      <c r="AI205" s="92"/>
      <c r="AJ205" s="92"/>
      <c r="AK205" s="92"/>
      <c r="AL205" s="92"/>
      <c r="AM205" s="92"/>
      <c r="AN205" s="92"/>
      <c r="AO205" s="92"/>
      <c r="AP205" s="92"/>
    </row>
    <row r="206" spans="3:42" x14ac:dyDescent="0.25">
      <c r="C206" s="91"/>
      <c r="D206"/>
      <c r="F206" s="23" t="s">
        <v>225</v>
      </c>
      <c r="G206" s="23" t="s">
        <v>329</v>
      </c>
      <c r="H206" s="23"/>
      <c r="I206" s="23"/>
      <c r="J206" s="129">
        <f>J$121 * J146</f>
        <v>0</v>
      </c>
      <c r="K206" s="129">
        <f t="shared" ref="K206:AB206" si="44">K$121 * K146</f>
        <v>0</v>
      </c>
      <c r="L206" s="129">
        <f t="shared" si="44"/>
        <v>0</v>
      </c>
      <c r="M206" s="129">
        <f t="shared" si="44"/>
        <v>0</v>
      </c>
      <c r="N206" s="129">
        <f t="shared" si="44"/>
        <v>0</v>
      </c>
      <c r="O206" s="129">
        <f t="shared" si="44"/>
        <v>0</v>
      </c>
      <c r="P206" s="129">
        <f t="shared" si="44"/>
        <v>0</v>
      </c>
      <c r="Q206" s="129">
        <f t="shared" si="44"/>
        <v>0</v>
      </c>
      <c r="R206" s="129">
        <f t="shared" si="44"/>
        <v>0</v>
      </c>
      <c r="S206" s="129">
        <f t="shared" si="44"/>
        <v>0</v>
      </c>
      <c r="T206" s="129">
        <f t="shared" si="44"/>
        <v>0</v>
      </c>
      <c r="U206" s="129">
        <f t="shared" si="44"/>
        <v>0</v>
      </c>
      <c r="V206" s="129">
        <f t="shared" si="44"/>
        <v>0</v>
      </c>
      <c r="W206" s="129">
        <f t="shared" si="44"/>
        <v>0</v>
      </c>
      <c r="X206" s="129">
        <f t="shared" si="44"/>
        <v>0</v>
      </c>
      <c r="Y206" s="129">
        <f t="shared" si="44"/>
        <v>0</v>
      </c>
      <c r="Z206" s="129">
        <f t="shared" si="44"/>
        <v>0</v>
      </c>
      <c r="AA206" s="129">
        <f t="shared" si="44"/>
        <v>0</v>
      </c>
      <c r="AB206" s="129">
        <f t="shared" si="44"/>
        <v>0</v>
      </c>
      <c r="AC206" s="83"/>
      <c r="AD206" s="83"/>
      <c r="AE206" s="83"/>
      <c r="AF206" s="83"/>
      <c r="AG206" s="83"/>
      <c r="AH206" s="83"/>
      <c r="AI206" s="83"/>
      <c r="AJ206" s="83"/>
      <c r="AK206" s="83"/>
      <c r="AL206" s="83"/>
      <c r="AM206" s="83"/>
      <c r="AN206" s="83"/>
      <c r="AO206" s="83"/>
      <c r="AP206" s="83"/>
    </row>
    <row r="207" spans="3:42" x14ac:dyDescent="0.25">
      <c r="C207" s="91"/>
      <c r="D207"/>
      <c r="F207" t="s">
        <v>227</v>
      </c>
      <c r="G207" t="s">
        <v>329</v>
      </c>
      <c r="J207" s="101">
        <f t="shared" ref="J207:AB207" si="45">J$121 * J147</f>
        <v>0</v>
      </c>
      <c r="K207" s="101">
        <f t="shared" si="45"/>
        <v>0</v>
      </c>
      <c r="L207" s="101">
        <f t="shared" si="45"/>
        <v>0</v>
      </c>
      <c r="M207" s="101">
        <f t="shared" si="45"/>
        <v>0</v>
      </c>
      <c r="N207" s="101">
        <f t="shared" si="45"/>
        <v>0</v>
      </c>
      <c r="O207" s="101">
        <f t="shared" si="45"/>
        <v>0</v>
      </c>
      <c r="P207" s="101">
        <f t="shared" si="45"/>
        <v>0</v>
      </c>
      <c r="Q207" s="101">
        <f t="shared" si="45"/>
        <v>0</v>
      </c>
      <c r="R207" s="101">
        <f t="shared" si="45"/>
        <v>0</v>
      </c>
      <c r="S207" s="101">
        <f t="shared" si="45"/>
        <v>0</v>
      </c>
      <c r="T207" s="101">
        <f t="shared" si="45"/>
        <v>0</v>
      </c>
      <c r="U207" s="101">
        <f t="shared" si="45"/>
        <v>0</v>
      </c>
      <c r="V207" s="101">
        <f t="shared" si="45"/>
        <v>0</v>
      </c>
      <c r="W207" s="101">
        <f t="shared" si="45"/>
        <v>0</v>
      </c>
      <c r="X207" s="101">
        <f t="shared" si="45"/>
        <v>0</v>
      </c>
      <c r="Y207" s="101">
        <f t="shared" si="45"/>
        <v>0</v>
      </c>
      <c r="Z207" s="101">
        <f t="shared" si="45"/>
        <v>0</v>
      </c>
      <c r="AA207" s="101">
        <f t="shared" si="45"/>
        <v>0</v>
      </c>
      <c r="AB207" s="101">
        <f t="shared" si="45"/>
        <v>0</v>
      </c>
      <c r="AC207" s="79"/>
      <c r="AD207" s="79"/>
      <c r="AE207" s="79"/>
      <c r="AF207" s="79"/>
      <c r="AG207" s="79"/>
      <c r="AH207" s="79"/>
      <c r="AI207" s="79"/>
      <c r="AJ207" s="79"/>
      <c r="AK207" s="79"/>
      <c r="AL207" s="79"/>
      <c r="AM207" s="79"/>
      <c r="AN207" s="79"/>
      <c r="AO207" s="79"/>
      <c r="AP207" s="79"/>
    </row>
    <row r="208" spans="3:42" x14ac:dyDescent="0.25">
      <c r="C208" s="91"/>
      <c r="D208"/>
      <c r="F208" t="s">
        <v>228</v>
      </c>
      <c r="G208" t="s">
        <v>329</v>
      </c>
      <c r="J208" s="101">
        <f t="shared" ref="J208:AB208" si="46">J$121 * J148</f>
        <v>0</v>
      </c>
      <c r="K208" s="101">
        <f t="shared" si="46"/>
        <v>0</v>
      </c>
      <c r="L208" s="101">
        <f t="shared" si="46"/>
        <v>0</v>
      </c>
      <c r="M208" s="101">
        <f t="shared" si="46"/>
        <v>0</v>
      </c>
      <c r="N208" s="101">
        <f t="shared" si="46"/>
        <v>0</v>
      </c>
      <c r="O208" s="101">
        <f t="shared" si="46"/>
        <v>0</v>
      </c>
      <c r="P208" s="101">
        <f t="shared" si="46"/>
        <v>0</v>
      </c>
      <c r="Q208" s="101">
        <f t="shared" si="46"/>
        <v>0</v>
      </c>
      <c r="R208" s="101">
        <f t="shared" si="46"/>
        <v>0</v>
      </c>
      <c r="S208" s="101">
        <f t="shared" si="46"/>
        <v>0</v>
      </c>
      <c r="T208" s="101">
        <f t="shared" si="46"/>
        <v>0</v>
      </c>
      <c r="U208" s="101">
        <f t="shared" si="46"/>
        <v>0</v>
      </c>
      <c r="V208" s="101">
        <f t="shared" si="46"/>
        <v>0</v>
      </c>
      <c r="W208" s="101">
        <f t="shared" si="46"/>
        <v>0</v>
      </c>
      <c r="X208" s="101">
        <f t="shared" si="46"/>
        <v>0</v>
      </c>
      <c r="Y208" s="101">
        <f t="shared" si="46"/>
        <v>0</v>
      </c>
      <c r="Z208" s="101">
        <f t="shared" si="46"/>
        <v>0</v>
      </c>
      <c r="AA208" s="101">
        <f t="shared" si="46"/>
        <v>0</v>
      </c>
      <c r="AB208" s="101">
        <f t="shared" si="46"/>
        <v>0</v>
      </c>
      <c r="AC208" s="79"/>
      <c r="AD208" s="79"/>
      <c r="AE208" s="79"/>
      <c r="AF208" s="79"/>
      <c r="AG208" s="79"/>
      <c r="AH208" s="79"/>
      <c r="AI208" s="79"/>
      <c r="AJ208" s="79"/>
      <c r="AK208" s="79"/>
      <c r="AL208" s="79"/>
      <c r="AM208" s="79"/>
      <c r="AN208" s="79"/>
      <c r="AO208" s="79"/>
      <c r="AP208" s="79"/>
    </row>
    <row r="209" spans="3:44" x14ac:dyDescent="0.25">
      <c r="C209" s="91"/>
      <c r="D209"/>
      <c r="F209" t="s">
        <v>229</v>
      </c>
      <c r="G209" t="s">
        <v>329</v>
      </c>
      <c r="J209" s="101">
        <f t="shared" ref="J209:AB209" si="47">J$121 * J149</f>
        <v>0</v>
      </c>
      <c r="K209" s="101">
        <f t="shared" si="47"/>
        <v>0</v>
      </c>
      <c r="L209" s="101">
        <f t="shared" si="47"/>
        <v>0</v>
      </c>
      <c r="M209" s="101">
        <f t="shared" si="47"/>
        <v>0</v>
      </c>
      <c r="N209" s="101">
        <f t="shared" si="47"/>
        <v>0</v>
      </c>
      <c r="O209" s="101">
        <f t="shared" si="47"/>
        <v>0</v>
      </c>
      <c r="P209" s="101">
        <f t="shared" si="47"/>
        <v>0</v>
      </c>
      <c r="Q209" s="101">
        <f t="shared" si="47"/>
        <v>0</v>
      </c>
      <c r="R209" s="101">
        <f t="shared" si="47"/>
        <v>0</v>
      </c>
      <c r="S209" s="101">
        <f t="shared" si="47"/>
        <v>0</v>
      </c>
      <c r="T209" s="101">
        <f t="shared" si="47"/>
        <v>0</v>
      </c>
      <c r="U209" s="101">
        <f t="shared" si="47"/>
        <v>0</v>
      </c>
      <c r="V209" s="101">
        <f t="shared" si="47"/>
        <v>0</v>
      </c>
      <c r="W209" s="101">
        <f t="shared" si="47"/>
        <v>0</v>
      </c>
      <c r="X209" s="101">
        <f t="shared" si="47"/>
        <v>0</v>
      </c>
      <c r="Y209" s="101">
        <f t="shared" si="47"/>
        <v>0</v>
      </c>
      <c r="Z209" s="101">
        <f t="shared" si="47"/>
        <v>0</v>
      </c>
      <c r="AA209" s="101">
        <f t="shared" si="47"/>
        <v>0</v>
      </c>
      <c r="AB209" s="101">
        <f t="shared" si="47"/>
        <v>0</v>
      </c>
      <c r="AC209" s="79"/>
      <c r="AD209" s="79"/>
      <c r="AE209" s="79"/>
      <c r="AF209" s="79"/>
      <c r="AG209" s="79"/>
      <c r="AH209" s="79"/>
      <c r="AI209" s="79"/>
      <c r="AJ209" s="79"/>
      <c r="AK209" s="79"/>
      <c r="AL209" s="79"/>
      <c r="AM209" s="79"/>
      <c r="AN209" s="79"/>
      <c r="AO209" s="79"/>
      <c r="AP209" s="79"/>
    </row>
    <row r="210" spans="3:44" x14ac:dyDescent="0.25">
      <c r="C210" s="91"/>
      <c r="D210"/>
      <c r="F210" t="s">
        <v>230</v>
      </c>
      <c r="G210" t="s">
        <v>329</v>
      </c>
      <c r="J210" s="101">
        <f t="shared" ref="J210:AB210" si="48">J$121 * J150</f>
        <v>0</v>
      </c>
      <c r="K210" s="101">
        <f t="shared" si="48"/>
        <v>0</v>
      </c>
      <c r="L210" s="101">
        <f t="shared" si="48"/>
        <v>0</v>
      </c>
      <c r="M210" s="101">
        <f t="shared" si="48"/>
        <v>0</v>
      </c>
      <c r="N210" s="101">
        <f t="shared" si="48"/>
        <v>0</v>
      </c>
      <c r="O210" s="101">
        <f t="shared" si="48"/>
        <v>0</v>
      </c>
      <c r="P210" s="101">
        <f t="shared" si="48"/>
        <v>0</v>
      </c>
      <c r="Q210" s="101">
        <f t="shared" si="48"/>
        <v>0</v>
      </c>
      <c r="R210" s="101">
        <f t="shared" si="48"/>
        <v>0</v>
      </c>
      <c r="S210" s="101">
        <f t="shared" si="48"/>
        <v>0</v>
      </c>
      <c r="T210" s="101">
        <f t="shared" si="48"/>
        <v>0</v>
      </c>
      <c r="U210" s="101">
        <f t="shared" si="48"/>
        <v>0</v>
      </c>
      <c r="V210" s="101">
        <f t="shared" si="48"/>
        <v>0</v>
      </c>
      <c r="W210" s="101">
        <f t="shared" si="48"/>
        <v>0.30596205351779326</v>
      </c>
      <c r="X210" s="101">
        <f t="shared" si="48"/>
        <v>0</v>
      </c>
      <c r="Y210" s="101">
        <f t="shared" si="48"/>
        <v>0</v>
      </c>
      <c r="Z210" s="101">
        <f t="shared" si="48"/>
        <v>0</v>
      </c>
      <c r="AA210" s="101">
        <f t="shared" si="48"/>
        <v>0</v>
      </c>
      <c r="AB210" s="101">
        <f t="shared" si="48"/>
        <v>0</v>
      </c>
      <c r="AC210" s="79"/>
      <c r="AD210" s="79"/>
      <c r="AE210" s="79"/>
      <c r="AF210" s="79"/>
      <c r="AG210" s="79"/>
      <c r="AH210" s="79"/>
      <c r="AI210" s="79"/>
      <c r="AJ210" s="79"/>
      <c r="AK210" s="79"/>
      <c r="AL210" s="79"/>
      <c r="AM210" s="79"/>
      <c r="AN210" s="79"/>
      <c r="AO210" s="79"/>
      <c r="AP210" s="79"/>
    </row>
    <row r="211" spans="3:44" x14ac:dyDescent="0.25">
      <c r="C211" s="91"/>
      <c r="D211"/>
      <c r="F211" t="s">
        <v>231</v>
      </c>
      <c r="G211" t="s">
        <v>329</v>
      </c>
      <c r="J211" s="101">
        <f t="shared" ref="J211:AB211" si="49">J$121 * J151</f>
        <v>0</v>
      </c>
      <c r="K211" s="101">
        <f t="shared" si="49"/>
        <v>0</v>
      </c>
      <c r="L211" s="101">
        <f t="shared" si="49"/>
        <v>0</v>
      </c>
      <c r="M211" s="101">
        <f t="shared" si="49"/>
        <v>0</v>
      </c>
      <c r="N211" s="101">
        <f t="shared" si="49"/>
        <v>0</v>
      </c>
      <c r="O211" s="101">
        <f t="shared" si="49"/>
        <v>0</v>
      </c>
      <c r="P211" s="101">
        <f t="shared" si="49"/>
        <v>0</v>
      </c>
      <c r="Q211" s="101">
        <f t="shared" si="49"/>
        <v>0</v>
      </c>
      <c r="R211" s="101">
        <f t="shared" si="49"/>
        <v>0</v>
      </c>
      <c r="S211" s="101">
        <f t="shared" si="49"/>
        <v>0</v>
      </c>
      <c r="T211" s="101">
        <f t="shared" si="49"/>
        <v>0</v>
      </c>
      <c r="U211" s="101">
        <f t="shared" si="49"/>
        <v>0</v>
      </c>
      <c r="V211" s="101">
        <f t="shared" si="49"/>
        <v>0</v>
      </c>
      <c r="W211" s="101">
        <f t="shared" si="49"/>
        <v>1.3841666779358266</v>
      </c>
      <c r="X211" s="101">
        <f t="shared" si="49"/>
        <v>0</v>
      </c>
      <c r="Y211" s="101">
        <f t="shared" si="49"/>
        <v>0</v>
      </c>
      <c r="Z211" s="101">
        <f t="shared" si="49"/>
        <v>0</v>
      </c>
      <c r="AA211" s="101">
        <f t="shared" si="49"/>
        <v>0</v>
      </c>
      <c r="AB211" s="101">
        <f t="shared" si="49"/>
        <v>0</v>
      </c>
      <c r="AC211" s="79"/>
      <c r="AD211" s="79"/>
      <c r="AE211" s="79"/>
      <c r="AF211" s="79"/>
      <c r="AG211" s="79"/>
      <c r="AH211" s="79"/>
      <c r="AI211" s="79"/>
      <c r="AJ211" s="79"/>
      <c r="AK211" s="79"/>
      <c r="AL211" s="79"/>
      <c r="AM211" s="79"/>
      <c r="AN211" s="79"/>
      <c r="AO211" s="79"/>
      <c r="AP211" s="79"/>
    </row>
    <row r="212" spans="3:44" x14ac:dyDescent="0.25">
      <c r="C212" s="91"/>
      <c r="D212"/>
      <c r="F212" t="s">
        <v>232</v>
      </c>
      <c r="G212" t="s">
        <v>329</v>
      </c>
      <c r="J212" s="101">
        <f t="shared" ref="J212:AB212" si="50">J$121 * J152</f>
        <v>0</v>
      </c>
      <c r="K212" s="101">
        <f t="shared" si="50"/>
        <v>0</v>
      </c>
      <c r="L212" s="101">
        <f t="shared" si="50"/>
        <v>0</v>
      </c>
      <c r="M212" s="101">
        <f t="shared" si="50"/>
        <v>0</v>
      </c>
      <c r="N212" s="101">
        <f t="shared" si="50"/>
        <v>0</v>
      </c>
      <c r="O212" s="101">
        <f t="shared" si="50"/>
        <v>0</v>
      </c>
      <c r="P212" s="101">
        <f t="shared" si="50"/>
        <v>0</v>
      </c>
      <c r="Q212" s="101">
        <f t="shared" si="50"/>
        <v>0</v>
      </c>
      <c r="R212" s="101">
        <f t="shared" si="50"/>
        <v>0</v>
      </c>
      <c r="S212" s="101">
        <f t="shared" si="50"/>
        <v>0</v>
      </c>
      <c r="T212" s="101">
        <f t="shared" si="50"/>
        <v>0</v>
      </c>
      <c r="U212" s="101">
        <f t="shared" si="50"/>
        <v>0</v>
      </c>
      <c r="V212" s="101">
        <f t="shared" si="50"/>
        <v>0</v>
      </c>
      <c r="W212" s="101">
        <f t="shared" si="50"/>
        <v>0</v>
      </c>
      <c r="X212" s="101">
        <f t="shared" si="50"/>
        <v>0</v>
      </c>
      <c r="Y212" s="101">
        <f t="shared" si="50"/>
        <v>0</v>
      </c>
      <c r="Z212" s="101">
        <f t="shared" si="50"/>
        <v>0</v>
      </c>
      <c r="AA212" s="101">
        <f t="shared" si="50"/>
        <v>0</v>
      </c>
      <c r="AB212" s="101">
        <f t="shared" si="50"/>
        <v>0</v>
      </c>
      <c r="AC212" s="79"/>
      <c r="AD212" s="79"/>
      <c r="AE212" s="79"/>
      <c r="AF212" s="79"/>
      <c r="AG212" s="79"/>
      <c r="AH212" s="79"/>
      <c r="AI212" s="79"/>
      <c r="AJ212" s="79"/>
      <c r="AK212" s="79"/>
      <c r="AL212" s="79"/>
      <c r="AM212" s="79"/>
      <c r="AN212" s="79"/>
      <c r="AO212" s="79"/>
      <c r="AP212" s="79"/>
    </row>
    <row r="213" spans="3:44" x14ac:dyDescent="0.25">
      <c r="C213" s="91"/>
      <c r="D213"/>
      <c r="F213" t="s">
        <v>233</v>
      </c>
      <c r="G213" t="s">
        <v>329</v>
      </c>
      <c r="J213" s="101">
        <f t="shared" ref="J213:AB213" si="51">J$121 * J153</f>
        <v>0</v>
      </c>
      <c r="K213" s="101">
        <f t="shared" si="51"/>
        <v>0</v>
      </c>
      <c r="L213" s="101">
        <f t="shared" si="51"/>
        <v>0</v>
      </c>
      <c r="M213" s="101">
        <f t="shared" si="51"/>
        <v>0</v>
      </c>
      <c r="N213" s="101">
        <f t="shared" si="51"/>
        <v>0</v>
      </c>
      <c r="O213" s="101">
        <f t="shared" si="51"/>
        <v>0</v>
      </c>
      <c r="P213" s="101">
        <f t="shared" si="51"/>
        <v>0</v>
      </c>
      <c r="Q213" s="101">
        <f t="shared" si="51"/>
        <v>0</v>
      </c>
      <c r="R213" s="101">
        <f t="shared" si="51"/>
        <v>0</v>
      </c>
      <c r="S213" s="101">
        <f t="shared" si="51"/>
        <v>0</v>
      </c>
      <c r="T213" s="101">
        <f t="shared" si="51"/>
        <v>0</v>
      </c>
      <c r="U213" s="101">
        <f t="shared" si="51"/>
        <v>0.78407753598433061</v>
      </c>
      <c r="V213" s="101">
        <f t="shared" si="51"/>
        <v>3.8016970437405382</v>
      </c>
      <c r="W213" s="101">
        <f t="shared" si="51"/>
        <v>3.7225699529531289</v>
      </c>
      <c r="X213" s="101">
        <f t="shared" si="51"/>
        <v>0</v>
      </c>
      <c r="Y213" s="101">
        <f t="shared" si="51"/>
        <v>0</v>
      </c>
      <c r="Z213" s="101">
        <f t="shared" si="51"/>
        <v>0</v>
      </c>
      <c r="AA213" s="101">
        <f t="shared" si="51"/>
        <v>0</v>
      </c>
      <c r="AB213" s="101">
        <f t="shared" si="51"/>
        <v>0</v>
      </c>
      <c r="AC213" s="79"/>
      <c r="AD213" s="79"/>
      <c r="AE213" s="79"/>
      <c r="AF213" s="79"/>
      <c r="AG213" s="79"/>
      <c r="AH213" s="79"/>
      <c r="AI213" s="79"/>
      <c r="AJ213" s="79"/>
      <c r="AK213" s="79"/>
      <c r="AL213" s="79"/>
      <c r="AM213" s="79"/>
      <c r="AN213" s="79"/>
      <c r="AO213" s="79"/>
      <c r="AP213" s="79"/>
    </row>
    <row r="214" spans="3:44" x14ac:dyDescent="0.25">
      <c r="C214" s="91"/>
      <c r="D214"/>
      <c r="F214" t="s">
        <v>234</v>
      </c>
      <c r="G214" t="s">
        <v>329</v>
      </c>
      <c r="J214" s="101">
        <f t="shared" ref="J214:AB214" si="52">J$121 * J154</f>
        <v>0</v>
      </c>
      <c r="K214" s="101">
        <f t="shared" si="52"/>
        <v>0</v>
      </c>
      <c r="L214" s="101">
        <f t="shared" si="52"/>
        <v>0</v>
      </c>
      <c r="M214" s="101">
        <f t="shared" si="52"/>
        <v>0</v>
      </c>
      <c r="N214" s="101">
        <f t="shared" si="52"/>
        <v>0</v>
      </c>
      <c r="O214" s="101">
        <f t="shared" si="52"/>
        <v>0</v>
      </c>
      <c r="P214" s="101">
        <f t="shared" si="52"/>
        <v>0</v>
      </c>
      <c r="Q214" s="101">
        <f t="shared" si="52"/>
        <v>0</v>
      </c>
      <c r="R214" s="101">
        <f t="shared" si="52"/>
        <v>0</v>
      </c>
      <c r="S214" s="101">
        <f t="shared" si="52"/>
        <v>0</v>
      </c>
      <c r="T214" s="101">
        <f t="shared" si="52"/>
        <v>0</v>
      </c>
      <c r="U214" s="101">
        <f t="shared" si="52"/>
        <v>0.94932801695115077</v>
      </c>
      <c r="V214" s="101">
        <f t="shared" si="52"/>
        <v>0.92058689350217082</v>
      </c>
      <c r="W214" s="101">
        <f t="shared" si="52"/>
        <v>0</v>
      </c>
      <c r="X214" s="101">
        <f t="shared" si="52"/>
        <v>0</v>
      </c>
      <c r="Y214" s="101">
        <f t="shared" si="52"/>
        <v>0</v>
      </c>
      <c r="Z214" s="101">
        <f t="shared" si="52"/>
        <v>0</v>
      </c>
      <c r="AA214" s="101">
        <f t="shared" si="52"/>
        <v>0</v>
      </c>
      <c r="AB214" s="101">
        <f t="shared" si="52"/>
        <v>0</v>
      </c>
      <c r="AC214" s="79"/>
      <c r="AD214" s="79"/>
      <c r="AE214" s="79"/>
      <c r="AF214" s="79"/>
      <c r="AG214" s="79"/>
      <c r="AH214" s="79"/>
      <c r="AI214" s="79"/>
      <c r="AJ214" s="79"/>
      <c r="AK214" s="79"/>
      <c r="AL214" s="79"/>
      <c r="AM214" s="79"/>
      <c r="AN214" s="79"/>
      <c r="AO214" s="79"/>
      <c r="AP214" s="79"/>
    </row>
    <row r="215" spans="3:44" x14ac:dyDescent="0.25">
      <c r="C215" s="91"/>
      <c r="D215"/>
      <c r="F215" t="s">
        <v>235</v>
      </c>
      <c r="G215" t="s">
        <v>329</v>
      </c>
      <c r="J215" s="101">
        <f t="shared" ref="J215:AB215" si="53">J$121 * J155</f>
        <v>0</v>
      </c>
      <c r="K215" s="101">
        <f t="shared" si="53"/>
        <v>0</v>
      </c>
      <c r="L215" s="101">
        <f t="shared" si="53"/>
        <v>0</v>
      </c>
      <c r="M215" s="101">
        <f t="shared" si="53"/>
        <v>0</v>
      </c>
      <c r="N215" s="101">
        <f t="shared" si="53"/>
        <v>0</v>
      </c>
      <c r="O215" s="101">
        <f t="shared" si="53"/>
        <v>0</v>
      </c>
      <c r="P215" s="101">
        <f t="shared" si="53"/>
        <v>0</v>
      </c>
      <c r="Q215" s="101">
        <f t="shared" si="53"/>
        <v>0</v>
      </c>
      <c r="R215" s="101">
        <f t="shared" si="53"/>
        <v>0</v>
      </c>
      <c r="S215" s="101">
        <f t="shared" si="53"/>
        <v>0</v>
      </c>
      <c r="T215" s="101">
        <f t="shared" si="53"/>
        <v>0</v>
      </c>
      <c r="U215" s="101">
        <f t="shared" si="53"/>
        <v>2.0930483819943402</v>
      </c>
      <c r="V215" s="101">
        <f t="shared" si="53"/>
        <v>0</v>
      </c>
      <c r="W215" s="101">
        <f t="shared" si="53"/>
        <v>0</v>
      </c>
      <c r="X215" s="101">
        <f t="shared" si="53"/>
        <v>0</v>
      </c>
      <c r="Y215" s="101">
        <f t="shared" si="53"/>
        <v>0</v>
      </c>
      <c r="Z215" s="101">
        <f t="shared" si="53"/>
        <v>0</v>
      </c>
      <c r="AA215" s="101">
        <f t="shared" si="53"/>
        <v>0</v>
      </c>
      <c r="AB215" s="101">
        <f t="shared" si="53"/>
        <v>0</v>
      </c>
      <c r="AC215" s="79"/>
      <c r="AD215" s="79"/>
      <c r="AE215" s="79"/>
      <c r="AF215" s="79"/>
      <c r="AG215" s="79"/>
      <c r="AH215" s="79"/>
      <c r="AI215" s="79"/>
      <c r="AJ215" s="79"/>
      <c r="AK215" s="79"/>
      <c r="AL215" s="79"/>
      <c r="AM215" s="79"/>
      <c r="AN215" s="79"/>
      <c r="AO215" s="79"/>
      <c r="AP215" s="79"/>
    </row>
    <row r="216" spans="3:44" x14ac:dyDescent="0.25">
      <c r="C216" s="91"/>
      <c r="D216"/>
      <c r="F216" t="s">
        <v>436</v>
      </c>
      <c r="G216" t="s">
        <v>329</v>
      </c>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row>
    <row r="217" spans="3:44" x14ac:dyDescent="0.25">
      <c r="C217" s="91"/>
      <c r="D217"/>
      <c r="F217" s="37" t="s">
        <v>437</v>
      </c>
      <c r="G217" s="37" t="s">
        <v>329</v>
      </c>
      <c r="H217" s="37"/>
      <c r="I217" s="37"/>
      <c r="J217" s="81"/>
      <c r="K217" s="81"/>
      <c r="L217" s="81"/>
      <c r="M217" s="81"/>
      <c r="N217" s="81"/>
      <c r="O217" s="81"/>
      <c r="P217" s="81"/>
      <c r="Q217" s="81"/>
      <c r="R217" s="81"/>
      <c r="S217" s="81"/>
      <c r="T217" s="81"/>
      <c r="U217" s="81"/>
      <c r="V217" s="81"/>
      <c r="W217" s="81"/>
      <c r="X217" s="81"/>
      <c r="Y217" s="81"/>
      <c r="Z217" s="81"/>
      <c r="AA217" s="81"/>
      <c r="AB217" s="81"/>
      <c r="AC217" s="81"/>
      <c r="AD217" s="81"/>
      <c r="AE217" s="81"/>
      <c r="AF217" s="81"/>
      <c r="AG217" s="81"/>
      <c r="AH217" s="81"/>
      <c r="AI217" s="81"/>
      <c r="AJ217" s="81"/>
      <c r="AK217" s="81"/>
      <c r="AL217" s="81"/>
      <c r="AM217" s="81"/>
      <c r="AN217" s="81"/>
      <c r="AO217" s="81"/>
      <c r="AP217" s="81"/>
    </row>
    <row r="218" spans="3:44" x14ac:dyDescent="0.25">
      <c r="C218" s="91"/>
      <c r="J218" s="92"/>
      <c r="K218" s="92"/>
      <c r="L218" s="92"/>
      <c r="M218" s="92"/>
      <c r="N218" s="92"/>
      <c r="O218" s="92"/>
      <c r="P218" s="92"/>
      <c r="Q218" s="92"/>
      <c r="R218" s="92"/>
      <c r="S218" s="92"/>
      <c r="T218" s="92"/>
      <c r="U218" s="92"/>
      <c r="V218" s="92"/>
      <c r="W218" s="92"/>
      <c r="X218" s="92"/>
      <c r="Y218" s="92"/>
      <c r="Z218" s="92"/>
      <c r="AA218" s="92"/>
      <c r="AB218" s="92"/>
      <c r="AC218" s="92"/>
      <c r="AD218" s="92"/>
      <c r="AE218" s="92"/>
      <c r="AF218" s="92"/>
      <c r="AG218" s="92"/>
      <c r="AH218" s="92"/>
      <c r="AI218" s="92"/>
      <c r="AJ218" s="92"/>
      <c r="AK218" s="92"/>
      <c r="AL218" s="92"/>
      <c r="AM218" s="92"/>
      <c r="AN218" s="92"/>
      <c r="AO218" s="92"/>
      <c r="AP218" s="92"/>
    </row>
    <row r="219" spans="3:44" x14ac:dyDescent="0.25">
      <c r="C219" s="31" t="str">
        <f ca="1">INDEX('Version control'!$H$34:$H$56,MATCH($A$1,'Version control'!$F$34:$F$56,0),1)&amp;"-E: Exceeded capacity charges for eligible customers, by network level"</f>
        <v>Section 113-E: Exceeded capacity charges for eligible customers, by network level</v>
      </c>
      <c r="D219" s="31"/>
      <c r="E219" s="31"/>
      <c r="F219" s="31"/>
      <c r="G219" s="31"/>
      <c r="H219" s="31"/>
      <c r="I219" s="31"/>
      <c r="J219" s="93"/>
      <c r="K219" s="93"/>
      <c r="L219" s="93"/>
      <c r="M219" s="93"/>
      <c r="N219" s="93"/>
      <c r="O219" s="93"/>
      <c r="P219" s="93"/>
      <c r="Q219" s="93"/>
      <c r="R219" s="93"/>
      <c r="S219" s="93"/>
      <c r="T219" s="93"/>
      <c r="U219" s="93"/>
      <c r="V219" s="93"/>
      <c r="W219" s="93"/>
      <c r="X219" s="93"/>
      <c r="Y219" s="93"/>
      <c r="Z219" s="93"/>
      <c r="AA219" s="93"/>
      <c r="AB219" s="93"/>
      <c r="AC219" s="93"/>
      <c r="AD219" s="93"/>
      <c r="AE219" s="93"/>
      <c r="AF219" s="93"/>
      <c r="AG219" s="93"/>
      <c r="AH219" s="93"/>
      <c r="AI219" s="93"/>
      <c r="AJ219" s="93"/>
      <c r="AK219" s="93"/>
      <c r="AL219" s="93"/>
      <c r="AM219" s="93"/>
      <c r="AN219" s="93"/>
      <c r="AO219" s="93"/>
      <c r="AP219" s="93"/>
      <c r="AQ219" s="31"/>
      <c r="AR219" s="31"/>
    </row>
    <row r="220" spans="3:44" x14ac:dyDescent="0.25">
      <c r="D220" s="32"/>
      <c r="E220" s="32"/>
      <c r="I220" t="s">
        <v>190</v>
      </c>
      <c r="J220" s="92"/>
      <c r="K220" s="92"/>
      <c r="L220" s="92"/>
      <c r="M220" s="92"/>
      <c r="N220" s="92"/>
      <c r="O220" s="92"/>
      <c r="P220" s="92"/>
      <c r="Q220" s="92"/>
      <c r="R220" s="92"/>
      <c r="S220" s="92"/>
      <c r="T220" s="92"/>
      <c r="U220" s="92"/>
      <c r="V220" s="92"/>
      <c r="W220" s="92"/>
      <c r="X220" s="92"/>
      <c r="Y220" s="92"/>
      <c r="Z220" s="92"/>
      <c r="AA220" s="92"/>
      <c r="AB220" s="92"/>
      <c r="AC220" s="92"/>
      <c r="AD220" s="92"/>
      <c r="AE220" s="92"/>
      <c r="AF220" s="92"/>
      <c r="AG220" s="92"/>
      <c r="AH220" s="92"/>
      <c r="AI220" s="92"/>
      <c r="AJ220" s="92"/>
      <c r="AK220" s="92"/>
      <c r="AL220" s="92"/>
      <c r="AM220" s="92"/>
      <c r="AN220" s="92"/>
      <c r="AO220" s="92"/>
      <c r="AP220" s="92"/>
      <c r="AR220" t="s">
        <v>831</v>
      </c>
    </row>
    <row r="221" spans="3:44" x14ac:dyDescent="0.25">
      <c r="C221" s="91"/>
      <c r="D221"/>
      <c r="E221" s="32" t="s">
        <v>733</v>
      </c>
      <c r="J221" s="92"/>
      <c r="K221" s="92"/>
      <c r="L221" s="92"/>
      <c r="M221" s="92"/>
      <c r="N221" s="92"/>
      <c r="O221" s="92"/>
      <c r="P221" s="92"/>
      <c r="Q221" s="92"/>
      <c r="R221" s="92"/>
      <c r="S221" s="92"/>
      <c r="T221" s="92"/>
      <c r="U221" s="92"/>
      <c r="V221" s="92"/>
      <c r="W221" s="92"/>
      <c r="X221" s="92"/>
      <c r="Y221" s="92"/>
      <c r="Z221" s="92"/>
      <c r="AA221" s="92"/>
      <c r="AB221" s="92"/>
      <c r="AC221" s="92"/>
      <c r="AD221" s="92"/>
      <c r="AE221" s="92"/>
      <c r="AF221" s="92"/>
      <c r="AG221" s="92"/>
      <c r="AH221" s="92"/>
      <c r="AI221" s="92"/>
      <c r="AJ221" s="92"/>
      <c r="AK221" s="92"/>
      <c r="AL221" s="92"/>
      <c r="AM221" s="92"/>
      <c r="AN221" s="92"/>
      <c r="AO221" s="92"/>
      <c r="AP221" s="92"/>
    </row>
    <row r="222" spans="3:44" x14ac:dyDescent="0.25">
      <c r="C222" s="91"/>
      <c r="D222"/>
      <c r="F222" s="23" t="s">
        <v>225</v>
      </c>
      <c r="G222" s="23" t="s">
        <v>329</v>
      </c>
      <c r="H222" s="23"/>
      <c r="I222" s="23"/>
      <c r="J222" s="83"/>
      <c r="K222" s="83"/>
      <c r="L222" s="83"/>
      <c r="M222" s="83"/>
      <c r="N222" s="83"/>
      <c r="O222" s="83"/>
      <c r="P222" s="83"/>
      <c r="Q222" s="83"/>
      <c r="R222" s="83"/>
      <c r="S222" s="83"/>
      <c r="T222" s="83"/>
      <c r="U222" s="83"/>
      <c r="V222" s="83"/>
      <c r="W222" s="83"/>
      <c r="X222" s="83"/>
      <c r="Y222" s="83"/>
      <c r="Z222" s="83"/>
      <c r="AA222" s="83"/>
      <c r="AB222" s="83"/>
      <c r="AC222" s="83"/>
      <c r="AD222" s="83"/>
      <c r="AE222" s="83"/>
      <c r="AF222" s="83"/>
      <c r="AG222" s="83"/>
      <c r="AH222" s="83"/>
      <c r="AI222" s="83"/>
      <c r="AJ222" s="83"/>
      <c r="AK222" s="83"/>
      <c r="AL222" s="83"/>
      <c r="AM222" s="83"/>
      <c r="AN222" s="83"/>
      <c r="AO222" s="83"/>
      <c r="AP222" s="83"/>
    </row>
    <row r="223" spans="3:44" x14ac:dyDescent="0.25">
      <c r="C223" s="91"/>
      <c r="D223"/>
      <c r="F223" t="s">
        <v>227</v>
      </c>
      <c r="G223" t="s">
        <v>329</v>
      </c>
      <c r="J223" s="79"/>
      <c r="K223" s="79"/>
      <c r="L223" s="79"/>
      <c r="M223" s="79"/>
      <c r="N223" s="79"/>
      <c r="O223" s="79"/>
      <c r="P223" s="79"/>
      <c r="Q223" s="79"/>
      <c r="R223" s="79"/>
      <c r="S223" s="79"/>
      <c r="T223" s="79"/>
      <c r="U223" s="79"/>
      <c r="V223" s="79"/>
      <c r="W223" s="79"/>
      <c r="X223" s="79"/>
      <c r="Y223" s="79"/>
      <c r="Z223" s="79"/>
      <c r="AA223" s="79"/>
      <c r="AB223" s="79"/>
      <c r="AC223" s="79"/>
      <c r="AD223" s="79"/>
      <c r="AE223" s="79"/>
      <c r="AF223" s="79"/>
      <c r="AG223" s="79"/>
      <c r="AH223" s="79"/>
      <c r="AI223" s="79"/>
      <c r="AJ223" s="79"/>
      <c r="AK223" s="79"/>
      <c r="AL223" s="79"/>
      <c r="AM223" s="79"/>
      <c r="AN223" s="79"/>
      <c r="AO223" s="79"/>
      <c r="AP223" s="79"/>
    </row>
    <row r="224" spans="3:44" x14ac:dyDescent="0.25">
      <c r="C224" s="91"/>
      <c r="D224"/>
      <c r="F224" t="s">
        <v>228</v>
      </c>
      <c r="G224" t="s">
        <v>329</v>
      </c>
      <c r="J224" s="101">
        <f>J$122 * J164</f>
        <v>0</v>
      </c>
      <c r="K224" s="101">
        <f t="shared" ref="K224:AB224" si="54">K$122 * K164</f>
        <v>0</v>
      </c>
      <c r="L224" s="101">
        <f t="shared" si="54"/>
        <v>0</v>
      </c>
      <c r="M224" s="101">
        <f t="shared" si="54"/>
        <v>0</v>
      </c>
      <c r="N224" s="101">
        <f t="shared" si="54"/>
        <v>0</v>
      </c>
      <c r="O224" s="101">
        <f t="shared" si="54"/>
        <v>0</v>
      </c>
      <c r="P224" s="101">
        <f t="shared" si="54"/>
        <v>0</v>
      </c>
      <c r="Q224" s="101">
        <f t="shared" si="54"/>
        <v>0</v>
      </c>
      <c r="R224" s="101">
        <f t="shared" si="54"/>
        <v>0</v>
      </c>
      <c r="S224" s="101">
        <f t="shared" si="54"/>
        <v>0</v>
      </c>
      <c r="T224" s="101">
        <f t="shared" si="54"/>
        <v>0</v>
      </c>
      <c r="U224" s="101">
        <f t="shared" si="54"/>
        <v>0</v>
      </c>
      <c r="V224" s="101">
        <f t="shared" si="54"/>
        <v>0</v>
      </c>
      <c r="W224" s="101">
        <f t="shared" si="54"/>
        <v>0</v>
      </c>
      <c r="X224" s="101">
        <f t="shared" si="54"/>
        <v>0</v>
      </c>
      <c r="Y224" s="101">
        <f t="shared" si="54"/>
        <v>0</v>
      </c>
      <c r="Z224" s="101">
        <f t="shared" si="54"/>
        <v>0</v>
      </c>
      <c r="AA224" s="101">
        <f t="shared" si="54"/>
        <v>0</v>
      </c>
      <c r="AB224" s="101">
        <f t="shared" si="54"/>
        <v>0</v>
      </c>
      <c r="AC224" s="79"/>
      <c r="AD224" s="79"/>
      <c r="AE224" s="79"/>
      <c r="AF224" s="79"/>
      <c r="AG224" s="79"/>
      <c r="AH224" s="79"/>
      <c r="AI224" s="79"/>
      <c r="AJ224" s="79"/>
      <c r="AK224" s="79"/>
      <c r="AL224" s="79"/>
      <c r="AM224" s="79"/>
      <c r="AN224" s="79"/>
      <c r="AO224" s="79"/>
      <c r="AP224" s="79"/>
    </row>
    <row r="225" spans="3:42" x14ac:dyDescent="0.25">
      <c r="C225" s="91"/>
      <c r="D225"/>
      <c r="F225" t="s">
        <v>229</v>
      </c>
      <c r="G225" t="s">
        <v>329</v>
      </c>
      <c r="J225" s="101">
        <f t="shared" ref="J225:AB225" si="55">J$122 * J165</f>
        <v>0</v>
      </c>
      <c r="K225" s="101">
        <f t="shared" si="55"/>
        <v>0</v>
      </c>
      <c r="L225" s="101">
        <f t="shared" si="55"/>
        <v>0</v>
      </c>
      <c r="M225" s="101">
        <f t="shared" si="55"/>
        <v>0</v>
      </c>
      <c r="N225" s="101">
        <f t="shared" si="55"/>
        <v>0</v>
      </c>
      <c r="O225" s="101">
        <f t="shared" si="55"/>
        <v>0</v>
      </c>
      <c r="P225" s="101">
        <f t="shared" si="55"/>
        <v>0</v>
      </c>
      <c r="Q225" s="101">
        <f t="shared" si="55"/>
        <v>0</v>
      </c>
      <c r="R225" s="101">
        <f t="shared" si="55"/>
        <v>0</v>
      </c>
      <c r="S225" s="101">
        <f t="shared" si="55"/>
        <v>0</v>
      </c>
      <c r="T225" s="101">
        <f t="shared" si="55"/>
        <v>0</v>
      </c>
      <c r="U225" s="101">
        <f t="shared" si="55"/>
        <v>0</v>
      </c>
      <c r="V225" s="101">
        <f t="shared" si="55"/>
        <v>0</v>
      </c>
      <c r="W225" s="101">
        <f t="shared" si="55"/>
        <v>0</v>
      </c>
      <c r="X225" s="101">
        <f t="shared" si="55"/>
        <v>0</v>
      </c>
      <c r="Y225" s="101">
        <f t="shared" si="55"/>
        <v>0</v>
      </c>
      <c r="Z225" s="101">
        <f t="shared" si="55"/>
        <v>0</v>
      </c>
      <c r="AA225" s="101">
        <f t="shared" si="55"/>
        <v>0</v>
      </c>
      <c r="AB225" s="101">
        <f t="shared" si="55"/>
        <v>0</v>
      </c>
      <c r="AC225" s="79"/>
      <c r="AD225" s="79"/>
      <c r="AE225" s="79"/>
      <c r="AF225" s="79"/>
      <c r="AG225" s="79"/>
      <c r="AH225" s="79"/>
      <c r="AI225" s="79"/>
      <c r="AJ225" s="79"/>
      <c r="AK225" s="79"/>
      <c r="AL225" s="79"/>
      <c r="AM225" s="79"/>
      <c r="AN225" s="79"/>
      <c r="AO225" s="79"/>
      <c r="AP225" s="79"/>
    </row>
    <row r="226" spans="3:42" x14ac:dyDescent="0.25">
      <c r="C226" s="91"/>
      <c r="D226"/>
      <c r="F226" t="s">
        <v>230</v>
      </c>
      <c r="G226" t="s">
        <v>329</v>
      </c>
      <c r="J226" s="101">
        <f t="shared" ref="J226:AB226" si="56">J$122 * J166</f>
        <v>0</v>
      </c>
      <c r="K226" s="101">
        <f t="shared" si="56"/>
        <v>0</v>
      </c>
      <c r="L226" s="101">
        <f t="shared" si="56"/>
        <v>0</v>
      </c>
      <c r="M226" s="101">
        <f t="shared" si="56"/>
        <v>0</v>
      </c>
      <c r="N226" s="101">
        <f t="shared" si="56"/>
        <v>0</v>
      </c>
      <c r="O226" s="101">
        <f t="shared" si="56"/>
        <v>0</v>
      </c>
      <c r="P226" s="101">
        <f t="shared" si="56"/>
        <v>0</v>
      </c>
      <c r="Q226" s="101">
        <f t="shared" si="56"/>
        <v>0</v>
      </c>
      <c r="R226" s="101">
        <f t="shared" si="56"/>
        <v>0</v>
      </c>
      <c r="S226" s="101">
        <f t="shared" si="56"/>
        <v>0</v>
      </c>
      <c r="T226" s="101">
        <f t="shared" si="56"/>
        <v>0</v>
      </c>
      <c r="U226" s="101">
        <f t="shared" si="56"/>
        <v>0</v>
      </c>
      <c r="V226" s="101">
        <f t="shared" si="56"/>
        <v>0</v>
      </c>
      <c r="W226" s="101">
        <f t="shared" si="56"/>
        <v>0.39325300449443573</v>
      </c>
      <c r="X226" s="101">
        <f t="shared" si="56"/>
        <v>0</v>
      </c>
      <c r="Y226" s="101">
        <f t="shared" si="56"/>
        <v>0</v>
      </c>
      <c r="Z226" s="101">
        <f t="shared" si="56"/>
        <v>0</v>
      </c>
      <c r="AA226" s="101">
        <f t="shared" si="56"/>
        <v>0</v>
      </c>
      <c r="AB226" s="101">
        <f t="shared" si="56"/>
        <v>0</v>
      </c>
      <c r="AC226" s="79"/>
      <c r="AD226" s="79"/>
      <c r="AE226" s="79"/>
      <c r="AF226" s="79"/>
      <c r="AG226" s="79"/>
      <c r="AH226" s="79"/>
      <c r="AI226" s="79"/>
      <c r="AJ226" s="79"/>
      <c r="AK226" s="79"/>
      <c r="AL226" s="79"/>
      <c r="AM226" s="79"/>
      <c r="AN226" s="79"/>
      <c r="AO226" s="79"/>
      <c r="AP226" s="79"/>
    </row>
    <row r="227" spans="3:42" x14ac:dyDescent="0.25">
      <c r="C227" s="91"/>
      <c r="D227"/>
      <c r="F227" t="s">
        <v>231</v>
      </c>
      <c r="G227" t="s">
        <v>329</v>
      </c>
      <c r="J227" s="101">
        <f t="shared" ref="J227:AB227" si="57">J$122 * J167</f>
        <v>0</v>
      </c>
      <c r="K227" s="101">
        <f t="shared" si="57"/>
        <v>0</v>
      </c>
      <c r="L227" s="101">
        <f t="shared" si="57"/>
        <v>0</v>
      </c>
      <c r="M227" s="101">
        <f t="shared" si="57"/>
        <v>0</v>
      </c>
      <c r="N227" s="101">
        <f t="shared" si="57"/>
        <v>0</v>
      </c>
      <c r="O227" s="101">
        <f t="shared" si="57"/>
        <v>0</v>
      </c>
      <c r="P227" s="101">
        <f t="shared" si="57"/>
        <v>0</v>
      </c>
      <c r="Q227" s="101">
        <f t="shared" si="57"/>
        <v>0</v>
      </c>
      <c r="R227" s="101">
        <f t="shared" si="57"/>
        <v>0</v>
      </c>
      <c r="S227" s="101">
        <f t="shared" si="57"/>
        <v>0</v>
      </c>
      <c r="T227" s="101">
        <f t="shared" si="57"/>
        <v>0</v>
      </c>
      <c r="U227" s="101">
        <f t="shared" si="57"/>
        <v>0</v>
      </c>
      <c r="V227" s="101">
        <f t="shared" si="57"/>
        <v>0</v>
      </c>
      <c r="W227" s="101">
        <f t="shared" si="57"/>
        <v>1.7790693275880054</v>
      </c>
      <c r="X227" s="101">
        <f t="shared" si="57"/>
        <v>0</v>
      </c>
      <c r="Y227" s="101">
        <f t="shared" si="57"/>
        <v>0</v>
      </c>
      <c r="Z227" s="101">
        <f t="shared" si="57"/>
        <v>0</v>
      </c>
      <c r="AA227" s="101">
        <f t="shared" si="57"/>
        <v>0</v>
      </c>
      <c r="AB227" s="101">
        <f t="shared" si="57"/>
        <v>0</v>
      </c>
      <c r="AC227" s="79"/>
      <c r="AD227" s="79"/>
      <c r="AE227" s="79"/>
      <c r="AF227" s="79"/>
      <c r="AG227" s="79"/>
      <c r="AH227" s="79"/>
      <c r="AI227" s="79"/>
      <c r="AJ227" s="79"/>
      <c r="AK227" s="79"/>
      <c r="AL227" s="79"/>
      <c r="AM227" s="79"/>
      <c r="AN227" s="79"/>
      <c r="AO227" s="79"/>
      <c r="AP227" s="79"/>
    </row>
    <row r="228" spans="3:42" x14ac:dyDescent="0.25">
      <c r="C228" s="91"/>
      <c r="D228"/>
      <c r="F228" t="s">
        <v>232</v>
      </c>
      <c r="G228" t="s">
        <v>329</v>
      </c>
      <c r="J228" s="101">
        <f t="shared" ref="J228:AB228" si="58">J$122 * J168</f>
        <v>0</v>
      </c>
      <c r="K228" s="101">
        <f t="shared" si="58"/>
        <v>0</v>
      </c>
      <c r="L228" s="101">
        <f t="shared" si="58"/>
        <v>0</v>
      </c>
      <c r="M228" s="101">
        <f t="shared" si="58"/>
        <v>0</v>
      </c>
      <c r="N228" s="101">
        <f t="shared" si="58"/>
        <v>0</v>
      </c>
      <c r="O228" s="101">
        <f t="shared" si="58"/>
        <v>0</v>
      </c>
      <c r="P228" s="101">
        <f t="shared" si="58"/>
        <v>0</v>
      </c>
      <c r="Q228" s="101">
        <f t="shared" si="58"/>
        <v>0</v>
      </c>
      <c r="R228" s="101">
        <f t="shared" si="58"/>
        <v>0</v>
      </c>
      <c r="S228" s="101">
        <f t="shared" si="58"/>
        <v>0</v>
      </c>
      <c r="T228" s="101">
        <f t="shared" si="58"/>
        <v>0</v>
      </c>
      <c r="U228" s="101">
        <f t="shared" si="58"/>
        <v>0</v>
      </c>
      <c r="V228" s="101">
        <f t="shared" si="58"/>
        <v>0</v>
      </c>
      <c r="W228" s="101">
        <f t="shared" si="58"/>
        <v>0</v>
      </c>
      <c r="X228" s="101">
        <f t="shared" si="58"/>
        <v>0</v>
      </c>
      <c r="Y228" s="101">
        <f t="shared" si="58"/>
        <v>0</v>
      </c>
      <c r="Z228" s="101">
        <f t="shared" si="58"/>
        <v>0</v>
      </c>
      <c r="AA228" s="101">
        <f t="shared" si="58"/>
        <v>0</v>
      </c>
      <c r="AB228" s="101">
        <f t="shared" si="58"/>
        <v>0</v>
      </c>
      <c r="AC228" s="79"/>
      <c r="AD228" s="79"/>
      <c r="AE228" s="79"/>
      <c r="AF228" s="79"/>
      <c r="AG228" s="79"/>
      <c r="AH228" s="79"/>
      <c r="AI228" s="79"/>
      <c r="AJ228" s="79"/>
      <c r="AK228" s="79"/>
      <c r="AL228" s="79"/>
      <c r="AM228" s="79"/>
      <c r="AN228" s="79"/>
      <c r="AO228" s="79"/>
      <c r="AP228" s="79"/>
    </row>
    <row r="229" spans="3:42" x14ac:dyDescent="0.25">
      <c r="C229" s="91"/>
      <c r="D229"/>
      <c r="F229" t="s">
        <v>233</v>
      </c>
      <c r="G229" t="s">
        <v>329</v>
      </c>
      <c r="J229" s="101">
        <f t="shared" ref="J229:AB229" si="59">J$122 * J169</f>
        <v>0</v>
      </c>
      <c r="K229" s="101">
        <f t="shared" si="59"/>
        <v>0</v>
      </c>
      <c r="L229" s="101">
        <f t="shared" si="59"/>
        <v>0</v>
      </c>
      <c r="M229" s="101">
        <f t="shared" si="59"/>
        <v>0</v>
      </c>
      <c r="N229" s="101">
        <f t="shared" si="59"/>
        <v>0</v>
      </c>
      <c r="O229" s="101">
        <f t="shared" si="59"/>
        <v>0</v>
      </c>
      <c r="P229" s="101">
        <f t="shared" si="59"/>
        <v>0</v>
      </c>
      <c r="Q229" s="101">
        <f t="shared" si="59"/>
        <v>0</v>
      </c>
      <c r="R229" s="101">
        <f t="shared" si="59"/>
        <v>0</v>
      </c>
      <c r="S229" s="101">
        <f t="shared" si="59"/>
        <v>0</v>
      </c>
      <c r="T229" s="101">
        <f t="shared" si="59"/>
        <v>0</v>
      </c>
      <c r="U229" s="101">
        <f t="shared" si="59"/>
        <v>1.0077747983362273</v>
      </c>
      <c r="V229" s="101">
        <f t="shared" si="59"/>
        <v>4.8863209258779454</v>
      </c>
      <c r="W229" s="101">
        <f t="shared" si="59"/>
        <v>4.7846188820091511</v>
      </c>
      <c r="X229" s="101">
        <f t="shared" si="59"/>
        <v>0</v>
      </c>
      <c r="Y229" s="101">
        <f t="shared" si="59"/>
        <v>0</v>
      </c>
      <c r="Z229" s="101">
        <f t="shared" si="59"/>
        <v>0</v>
      </c>
      <c r="AA229" s="101">
        <f t="shared" si="59"/>
        <v>0</v>
      </c>
      <c r="AB229" s="101">
        <f t="shared" si="59"/>
        <v>0</v>
      </c>
      <c r="AC229" s="79"/>
      <c r="AD229" s="79"/>
      <c r="AE229" s="79"/>
      <c r="AF229" s="79"/>
      <c r="AG229" s="79"/>
      <c r="AH229" s="79"/>
      <c r="AI229" s="79"/>
      <c r="AJ229" s="79"/>
      <c r="AK229" s="79"/>
      <c r="AL229" s="79"/>
      <c r="AM229" s="79"/>
      <c r="AN229" s="79"/>
      <c r="AO229" s="79"/>
      <c r="AP229" s="79"/>
    </row>
    <row r="230" spans="3:42" x14ac:dyDescent="0.25">
      <c r="C230" s="91"/>
      <c r="D230"/>
      <c r="F230" t="s">
        <v>234</v>
      </c>
      <c r="G230" t="s">
        <v>329</v>
      </c>
      <c r="J230" s="101">
        <f t="shared" ref="J230:AB230" si="60">J$122 * J170</f>
        <v>0</v>
      </c>
      <c r="K230" s="101">
        <f t="shared" si="60"/>
        <v>0</v>
      </c>
      <c r="L230" s="101">
        <f t="shared" si="60"/>
        <v>0</v>
      </c>
      <c r="M230" s="101">
        <f t="shared" si="60"/>
        <v>0</v>
      </c>
      <c r="N230" s="101">
        <f t="shared" si="60"/>
        <v>0</v>
      </c>
      <c r="O230" s="101">
        <f t="shared" si="60"/>
        <v>0</v>
      </c>
      <c r="P230" s="101">
        <f t="shared" si="60"/>
        <v>0</v>
      </c>
      <c r="Q230" s="101">
        <f t="shared" si="60"/>
        <v>0</v>
      </c>
      <c r="R230" s="101">
        <f t="shared" si="60"/>
        <v>0</v>
      </c>
      <c r="S230" s="101">
        <f t="shared" si="60"/>
        <v>0</v>
      </c>
      <c r="T230" s="101">
        <f t="shared" si="60"/>
        <v>0</v>
      </c>
      <c r="U230" s="101">
        <f t="shared" si="60"/>
        <v>1.2201712291588931</v>
      </c>
      <c r="V230" s="101">
        <f t="shared" si="60"/>
        <v>1.1832302653403206</v>
      </c>
      <c r="W230" s="101">
        <f t="shared" si="60"/>
        <v>0</v>
      </c>
      <c r="X230" s="101">
        <f t="shared" si="60"/>
        <v>0</v>
      </c>
      <c r="Y230" s="101">
        <f t="shared" si="60"/>
        <v>0</v>
      </c>
      <c r="Z230" s="101">
        <f t="shared" si="60"/>
        <v>0</v>
      </c>
      <c r="AA230" s="101">
        <f t="shared" si="60"/>
        <v>0</v>
      </c>
      <c r="AB230" s="101">
        <f t="shared" si="60"/>
        <v>0</v>
      </c>
      <c r="AC230" s="79"/>
      <c r="AD230" s="79"/>
      <c r="AE230" s="79"/>
      <c r="AF230" s="79"/>
      <c r="AG230" s="79"/>
      <c r="AH230" s="79"/>
      <c r="AI230" s="79"/>
      <c r="AJ230" s="79"/>
      <c r="AK230" s="79"/>
      <c r="AL230" s="79"/>
      <c r="AM230" s="79"/>
      <c r="AN230" s="79"/>
      <c r="AO230" s="79"/>
      <c r="AP230" s="79"/>
    </row>
    <row r="231" spans="3:42" x14ac:dyDescent="0.25">
      <c r="C231" s="91"/>
      <c r="D231"/>
      <c r="F231" t="s">
        <v>235</v>
      </c>
      <c r="G231" t="s">
        <v>329</v>
      </c>
      <c r="J231" s="101">
        <f t="shared" ref="J231:AB231" si="61">J$122 * J171</f>
        <v>0</v>
      </c>
      <c r="K231" s="101">
        <f t="shared" si="61"/>
        <v>0</v>
      </c>
      <c r="L231" s="101">
        <f t="shared" si="61"/>
        <v>0</v>
      </c>
      <c r="M231" s="101">
        <f t="shared" si="61"/>
        <v>0</v>
      </c>
      <c r="N231" s="101">
        <f t="shared" si="61"/>
        <v>0</v>
      </c>
      <c r="O231" s="101">
        <f t="shared" si="61"/>
        <v>0</v>
      </c>
      <c r="P231" s="101">
        <f t="shared" si="61"/>
        <v>0</v>
      </c>
      <c r="Q231" s="101">
        <f t="shared" si="61"/>
        <v>0</v>
      </c>
      <c r="R231" s="101">
        <f t="shared" si="61"/>
        <v>0</v>
      </c>
      <c r="S231" s="101">
        <f t="shared" si="61"/>
        <v>0</v>
      </c>
      <c r="T231" s="101">
        <f t="shared" si="61"/>
        <v>0</v>
      </c>
      <c r="U231" s="101">
        <f t="shared" si="61"/>
        <v>2.6901949287761084</v>
      </c>
      <c r="V231" s="101">
        <f t="shared" si="61"/>
        <v>0</v>
      </c>
      <c r="W231" s="101">
        <f t="shared" si="61"/>
        <v>0</v>
      </c>
      <c r="X231" s="101">
        <f t="shared" si="61"/>
        <v>0</v>
      </c>
      <c r="Y231" s="101">
        <f t="shared" si="61"/>
        <v>0</v>
      </c>
      <c r="Z231" s="101">
        <f t="shared" si="61"/>
        <v>0</v>
      </c>
      <c r="AA231" s="101">
        <f t="shared" si="61"/>
        <v>0</v>
      </c>
      <c r="AB231" s="101">
        <f t="shared" si="61"/>
        <v>0</v>
      </c>
      <c r="AC231" s="79"/>
      <c r="AD231" s="79"/>
      <c r="AE231" s="79"/>
      <c r="AF231" s="79"/>
      <c r="AG231" s="79"/>
      <c r="AH231" s="79"/>
      <c r="AI231" s="79"/>
      <c r="AJ231" s="79"/>
      <c r="AK231" s="79"/>
      <c r="AL231" s="79"/>
      <c r="AM231" s="79"/>
      <c r="AN231" s="79"/>
      <c r="AO231" s="79"/>
      <c r="AP231" s="79"/>
    </row>
    <row r="232" spans="3:42" x14ac:dyDescent="0.25">
      <c r="C232" s="91"/>
      <c r="D232"/>
      <c r="F232" t="s">
        <v>436</v>
      </c>
      <c r="G232" t="s">
        <v>329</v>
      </c>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row>
    <row r="233" spans="3:42" x14ac:dyDescent="0.25">
      <c r="C233" s="91"/>
      <c r="D233"/>
      <c r="F233" s="37" t="s">
        <v>437</v>
      </c>
      <c r="G233" s="37" t="s">
        <v>329</v>
      </c>
      <c r="H233" s="37"/>
      <c r="I233" s="37"/>
      <c r="J233" s="81"/>
      <c r="K233" s="81"/>
      <c r="L233" s="81"/>
      <c r="M233" s="81"/>
      <c r="N233" s="81"/>
      <c r="O233" s="81"/>
      <c r="P233" s="81"/>
      <c r="Q233" s="81"/>
      <c r="R233" s="81"/>
      <c r="S233" s="81"/>
      <c r="T233" s="81"/>
      <c r="U233" s="81"/>
      <c r="V233" s="81"/>
      <c r="W233" s="81"/>
      <c r="X233" s="81"/>
      <c r="Y233" s="81"/>
      <c r="Z233" s="81"/>
      <c r="AA233" s="81"/>
      <c r="AB233" s="81"/>
      <c r="AC233" s="81"/>
      <c r="AD233" s="81"/>
      <c r="AE233" s="81"/>
      <c r="AF233" s="81"/>
      <c r="AG233" s="81"/>
      <c r="AH233" s="81"/>
      <c r="AI233" s="81"/>
      <c r="AJ233" s="81"/>
      <c r="AK233" s="81"/>
      <c r="AL233" s="81"/>
      <c r="AM233" s="81"/>
      <c r="AN233" s="81"/>
      <c r="AO233" s="81"/>
      <c r="AP233" s="81"/>
    </row>
    <row r="234" spans="3:42" x14ac:dyDescent="0.25">
      <c r="C234" s="91"/>
      <c r="D234"/>
      <c r="J234" s="92"/>
      <c r="K234" s="92"/>
      <c r="L234" s="92"/>
      <c r="M234" s="92"/>
      <c r="N234" s="92"/>
      <c r="O234" s="92"/>
      <c r="P234" s="92"/>
      <c r="Q234" s="92"/>
      <c r="R234" s="92"/>
      <c r="S234" s="92"/>
      <c r="T234" s="92"/>
      <c r="U234" s="92"/>
      <c r="V234" s="92"/>
      <c r="W234" s="92"/>
      <c r="X234" s="92"/>
      <c r="Y234" s="92"/>
      <c r="Z234" s="92"/>
      <c r="AA234" s="92"/>
      <c r="AB234" s="92"/>
      <c r="AC234" s="92"/>
      <c r="AD234" s="92"/>
      <c r="AE234" s="92"/>
      <c r="AF234" s="92"/>
      <c r="AG234" s="92"/>
      <c r="AH234" s="92"/>
      <c r="AI234" s="92"/>
      <c r="AJ234" s="92"/>
      <c r="AK234" s="92"/>
      <c r="AL234" s="92"/>
      <c r="AM234" s="92"/>
      <c r="AN234" s="92"/>
      <c r="AO234" s="92"/>
      <c r="AP234" s="92"/>
    </row>
    <row r="235" spans="3:42" x14ac:dyDescent="0.25">
      <c r="C235" s="91"/>
      <c r="D235"/>
      <c r="E235" s="32" t="s">
        <v>734</v>
      </c>
      <c r="J235" s="92"/>
      <c r="K235" s="92"/>
      <c r="L235" s="92"/>
      <c r="M235" s="92"/>
      <c r="N235" s="92"/>
      <c r="O235" s="92"/>
      <c r="P235" s="92"/>
      <c r="Q235" s="92"/>
      <c r="R235" s="92"/>
      <c r="S235" s="92"/>
      <c r="T235" s="92"/>
      <c r="U235" s="92"/>
      <c r="V235" s="92"/>
      <c r="W235" s="92"/>
      <c r="X235" s="92"/>
      <c r="Y235" s="92"/>
      <c r="Z235" s="92"/>
      <c r="AA235" s="92"/>
      <c r="AB235" s="92"/>
      <c r="AC235" s="92"/>
      <c r="AD235" s="92"/>
      <c r="AE235" s="92"/>
      <c r="AF235" s="92"/>
      <c r="AG235" s="92"/>
      <c r="AH235" s="92"/>
      <c r="AI235" s="92"/>
      <c r="AJ235" s="92"/>
      <c r="AK235" s="92"/>
      <c r="AL235" s="92"/>
      <c r="AM235" s="92"/>
      <c r="AN235" s="92"/>
      <c r="AO235" s="92"/>
      <c r="AP235" s="92"/>
    </row>
    <row r="236" spans="3:42" x14ac:dyDescent="0.25">
      <c r="C236" s="91"/>
      <c r="D236"/>
      <c r="F236" s="23" t="s">
        <v>225</v>
      </c>
      <c r="G236" s="23" t="s">
        <v>329</v>
      </c>
      <c r="H236" s="23"/>
      <c r="I236" s="23"/>
      <c r="J236" s="129">
        <f>J$122 * J176</f>
        <v>0</v>
      </c>
      <c r="K236" s="129">
        <f t="shared" ref="K236:AB236" si="62">K$122 * K176</f>
        <v>0</v>
      </c>
      <c r="L236" s="129">
        <f t="shared" si="62"/>
        <v>0</v>
      </c>
      <c r="M236" s="129">
        <f t="shared" si="62"/>
        <v>0</v>
      </c>
      <c r="N236" s="129">
        <f t="shared" si="62"/>
        <v>0</v>
      </c>
      <c r="O236" s="129">
        <f t="shared" si="62"/>
        <v>0</v>
      </c>
      <c r="P236" s="129">
        <f t="shared" si="62"/>
        <v>0</v>
      </c>
      <c r="Q236" s="129">
        <f t="shared" si="62"/>
        <v>0</v>
      </c>
      <c r="R236" s="129">
        <f t="shared" si="62"/>
        <v>0</v>
      </c>
      <c r="S236" s="129">
        <f t="shared" si="62"/>
        <v>0</v>
      </c>
      <c r="T236" s="129">
        <f t="shared" si="62"/>
        <v>0</v>
      </c>
      <c r="U236" s="129">
        <f t="shared" si="62"/>
        <v>0</v>
      </c>
      <c r="V236" s="129">
        <f t="shared" si="62"/>
        <v>0</v>
      </c>
      <c r="W236" s="129">
        <f t="shared" si="62"/>
        <v>0</v>
      </c>
      <c r="X236" s="129">
        <f t="shared" si="62"/>
        <v>0</v>
      </c>
      <c r="Y236" s="129">
        <f t="shared" si="62"/>
        <v>0</v>
      </c>
      <c r="Z236" s="129">
        <f t="shared" si="62"/>
        <v>0</v>
      </c>
      <c r="AA236" s="129">
        <f t="shared" si="62"/>
        <v>0</v>
      </c>
      <c r="AB236" s="129">
        <f t="shared" si="62"/>
        <v>0</v>
      </c>
      <c r="AC236" s="83"/>
      <c r="AD236" s="83"/>
      <c r="AE236" s="83"/>
      <c r="AF236" s="83"/>
      <c r="AG236" s="83"/>
      <c r="AH236" s="83"/>
      <c r="AI236" s="83"/>
      <c r="AJ236" s="83"/>
      <c r="AK236" s="83"/>
      <c r="AL236" s="83"/>
      <c r="AM236" s="83"/>
      <c r="AN236" s="83"/>
      <c r="AO236" s="83"/>
      <c r="AP236" s="83"/>
    </row>
    <row r="237" spans="3:42" x14ac:dyDescent="0.25">
      <c r="C237" s="91"/>
      <c r="D237"/>
      <c r="F237" t="s">
        <v>227</v>
      </c>
      <c r="G237" t="s">
        <v>329</v>
      </c>
      <c r="J237" s="101">
        <f t="shared" ref="J237:AB237" si="63">J$122 * J177</f>
        <v>0</v>
      </c>
      <c r="K237" s="101">
        <f t="shared" si="63"/>
        <v>0</v>
      </c>
      <c r="L237" s="101">
        <f t="shared" si="63"/>
        <v>0</v>
      </c>
      <c r="M237" s="101">
        <f t="shared" si="63"/>
        <v>0</v>
      </c>
      <c r="N237" s="101">
        <f t="shared" si="63"/>
        <v>0</v>
      </c>
      <c r="O237" s="101">
        <f t="shared" si="63"/>
        <v>0</v>
      </c>
      <c r="P237" s="101">
        <f t="shared" si="63"/>
        <v>0</v>
      </c>
      <c r="Q237" s="101">
        <f t="shared" si="63"/>
        <v>0</v>
      </c>
      <c r="R237" s="101">
        <f t="shared" si="63"/>
        <v>0</v>
      </c>
      <c r="S237" s="101">
        <f t="shared" si="63"/>
        <v>0</v>
      </c>
      <c r="T237" s="101">
        <f t="shared" si="63"/>
        <v>0</v>
      </c>
      <c r="U237" s="101">
        <f t="shared" si="63"/>
        <v>0</v>
      </c>
      <c r="V237" s="101">
        <f t="shared" si="63"/>
        <v>0</v>
      </c>
      <c r="W237" s="101">
        <f t="shared" si="63"/>
        <v>0</v>
      </c>
      <c r="X237" s="101">
        <f t="shared" si="63"/>
        <v>0</v>
      </c>
      <c r="Y237" s="101">
        <f t="shared" si="63"/>
        <v>0</v>
      </c>
      <c r="Z237" s="101">
        <f t="shared" si="63"/>
        <v>0</v>
      </c>
      <c r="AA237" s="101">
        <f t="shared" si="63"/>
        <v>0</v>
      </c>
      <c r="AB237" s="101">
        <f t="shared" si="63"/>
        <v>0</v>
      </c>
      <c r="AC237" s="79"/>
      <c r="AD237" s="79"/>
      <c r="AE237" s="79"/>
      <c r="AF237" s="79"/>
      <c r="AG237" s="79"/>
      <c r="AH237" s="79"/>
      <c r="AI237" s="79"/>
      <c r="AJ237" s="79"/>
      <c r="AK237" s="79"/>
      <c r="AL237" s="79"/>
      <c r="AM237" s="79"/>
      <c r="AN237" s="79"/>
      <c r="AO237" s="79"/>
      <c r="AP237" s="79"/>
    </row>
    <row r="238" spans="3:42" x14ac:dyDescent="0.25">
      <c r="C238" s="91"/>
      <c r="D238"/>
      <c r="F238" t="s">
        <v>228</v>
      </c>
      <c r="G238" t="s">
        <v>329</v>
      </c>
      <c r="J238" s="101">
        <f t="shared" ref="J238:AB238" si="64">J$122 * J178</f>
        <v>0</v>
      </c>
      <c r="K238" s="101">
        <f t="shared" si="64"/>
        <v>0</v>
      </c>
      <c r="L238" s="101">
        <f t="shared" si="64"/>
        <v>0</v>
      </c>
      <c r="M238" s="101">
        <f t="shared" si="64"/>
        <v>0</v>
      </c>
      <c r="N238" s="101">
        <f t="shared" si="64"/>
        <v>0</v>
      </c>
      <c r="O238" s="101">
        <f t="shared" si="64"/>
        <v>0</v>
      </c>
      <c r="P238" s="101">
        <f t="shared" si="64"/>
        <v>0</v>
      </c>
      <c r="Q238" s="101">
        <f t="shared" si="64"/>
        <v>0</v>
      </c>
      <c r="R238" s="101">
        <f t="shared" si="64"/>
        <v>0</v>
      </c>
      <c r="S238" s="101">
        <f t="shared" si="64"/>
        <v>0</v>
      </c>
      <c r="T238" s="101">
        <f t="shared" si="64"/>
        <v>0</v>
      </c>
      <c r="U238" s="101">
        <f t="shared" si="64"/>
        <v>0</v>
      </c>
      <c r="V238" s="101">
        <f t="shared" si="64"/>
        <v>0</v>
      </c>
      <c r="W238" s="101">
        <f t="shared" si="64"/>
        <v>0</v>
      </c>
      <c r="X238" s="101">
        <f t="shared" si="64"/>
        <v>0</v>
      </c>
      <c r="Y238" s="101">
        <f t="shared" si="64"/>
        <v>0</v>
      </c>
      <c r="Z238" s="101">
        <f t="shared" si="64"/>
        <v>0</v>
      </c>
      <c r="AA238" s="101">
        <f t="shared" si="64"/>
        <v>0</v>
      </c>
      <c r="AB238" s="101">
        <f t="shared" si="64"/>
        <v>0</v>
      </c>
      <c r="AC238" s="79"/>
      <c r="AD238" s="79"/>
      <c r="AE238" s="79"/>
      <c r="AF238" s="79"/>
      <c r="AG238" s="79"/>
      <c r="AH238" s="79"/>
      <c r="AI238" s="79"/>
      <c r="AJ238" s="79"/>
      <c r="AK238" s="79"/>
      <c r="AL238" s="79"/>
      <c r="AM238" s="79"/>
      <c r="AN238" s="79"/>
      <c r="AO238" s="79"/>
      <c r="AP238" s="79"/>
    </row>
    <row r="239" spans="3:42" x14ac:dyDescent="0.25">
      <c r="C239" s="91"/>
      <c r="D239"/>
      <c r="F239" t="s">
        <v>229</v>
      </c>
      <c r="G239" t="s">
        <v>329</v>
      </c>
      <c r="J239" s="101">
        <f t="shared" ref="J239:AB239" si="65">J$122 * J179</f>
        <v>0</v>
      </c>
      <c r="K239" s="101">
        <f t="shared" si="65"/>
        <v>0</v>
      </c>
      <c r="L239" s="101">
        <f t="shared" si="65"/>
        <v>0</v>
      </c>
      <c r="M239" s="101">
        <f t="shared" si="65"/>
        <v>0</v>
      </c>
      <c r="N239" s="101">
        <f t="shared" si="65"/>
        <v>0</v>
      </c>
      <c r="O239" s="101">
        <f t="shared" si="65"/>
        <v>0</v>
      </c>
      <c r="P239" s="101">
        <f t="shared" si="65"/>
        <v>0</v>
      </c>
      <c r="Q239" s="101">
        <f t="shared" si="65"/>
        <v>0</v>
      </c>
      <c r="R239" s="101">
        <f t="shared" si="65"/>
        <v>0</v>
      </c>
      <c r="S239" s="101">
        <f t="shared" si="65"/>
        <v>0</v>
      </c>
      <c r="T239" s="101">
        <f t="shared" si="65"/>
        <v>0</v>
      </c>
      <c r="U239" s="101">
        <f t="shared" si="65"/>
        <v>0</v>
      </c>
      <c r="V239" s="101">
        <f t="shared" si="65"/>
        <v>0</v>
      </c>
      <c r="W239" s="101">
        <f t="shared" si="65"/>
        <v>0</v>
      </c>
      <c r="X239" s="101">
        <f t="shared" si="65"/>
        <v>0</v>
      </c>
      <c r="Y239" s="101">
        <f t="shared" si="65"/>
        <v>0</v>
      </c>
      <c r="Z239" s="101">
        <f t="shared" si="65"/>
        <v>0</v>
      </c>
      <c r="AA239" s="101">
        <f t="shared" si="65"/>
        <v>0</v>
      </c>
      <c r="AB239" s="101">
        <f t="shared" si="65"/>
        <v>0</v>
      </c>
      <c r="AC239" s="79"/>
      <c r="AD239" s="79"/>
      <c r="AE239" s="79"/>
      <c r="AF239" s="79"/>
      <c r="AG239" s="79"/>
      <c r="AH239" s="79"/>
      <c r="AI239" s="79"/>
      <c r="AJ239" s="79"/>
      <c r="AK239" s="79"/>
      <c r="AL239" s="79"/>
      <c r="AM239" s="79"/>
      <c r="AN239" s="79"/>
      <c r="AO239" s="79"/>
      <c r="AP239" s="79"/>
    </row>
    <row r="240" spans="3:42" x14ac:dyDescent="0.25">
      <c r="C240" s="91"/>
      <c r="D240"/>
      <c r="F240" t="s">
        <v>230</v>
      </c>
      <c r="G240" t="s">
        <v>329</v>
      </c>
      <c r="J240" s="101">
        <f t="shared" ref="J240:AB240" si="66">J$122 * J180</f>
        <v>0</v>
      </c>
      <c r="K240" s="101">
        <f t="shared" si="66"/>
        <v>0</v>
      </c>
      <c r="L240" s="101">
        <f t="shared" si="66"/>
        <v>0</v>
      </c>
      <c r="M240" s="101">
        <f t="shared" si="66"/>
        <v>0</v>
      </c>
      <c r="N240" s="101">
        <f t="shared" si="66"/>
        <v>0</v>
      </c>
      <c r="O240" s="101">
        <f t="shared" si="66"/>
        <v>0</v>
      </c>
      <c r="P240" s="101">
        <f t="shared" si="66"/>
        <v>0</v>
      </c>
      <c r="Q240" s="101">
        <f t="shared" si="66"/>
        <v>0</v>
      </c>
      <c r="R240" s="101">
        <f t="shared" si="66"/>
        <v>0</v>
      </c>
      <c r="S240" s="101">
        <f t="shared" si="66"/>
        <v>0</v>
      </c>
      <c r="T240" s="101">
        <f t="shared" si="66"/>
        <v>0</v>
      </c>
      <c r="U240" s="101">
        <f t="shared" si="66"/>
        <v>0</v>
      </c>
      <c r="V240" s="101">
        <f t="shared" si="66"/>
        <v>0</v>
      </c>
      <c r="W240" s="101">
        <f t="shared" si="66"/>
        <v>0.30596205351779326</v>
      </c>
      <c r="X240" s="101">
        <f t="shared" si="66"/>
        <v>0</v>
      </c>
      <c r="Y240" s="101">
        <f t="shared" si="66"/>
        <v>0</v>
      </c>
      <c r="Z240" s="101">
        <f t="shared" si="66"/>
        <v>0</v>
      </c>
      <c r="AA240" s="101">
        <f t="shared" si="66"/>
        <v>0</v>
      </c>
      <c r="AB240" s="101">
        <f t="shared" si="66"/>
        <v>0</v>
      </c>
      <c r="AC240" s="79"/>
      <c r="AD240" s="79"/>
      <c r="AE240" s="79"/>
      <c r="AF240" s="79"/>
      <c r="AG240" s="79"/>
      <c r="AH240" s="79"/>
      <c r="AI240" s="79"/>
      <c r="AJ240" s="79"/>
      <c r="AK240" s="79"/>
      <c r="AL240" s="79"/>
      <c r="AM240" s="79"/>
      <c r="AN240" s="79"/>
      <c r="AO240" s="79"/>
      <c r="AP240" s="79"/>
    </row>
    <row r="241" spans="2:44" x14ac:dyDescent="0.25">
      <c r="C241" s="91"/>
      <c r="D241"/>
      <c r="F241" t="s">
        <v>231</v>
      </c>
      <c r="G241" t="s">
        <v>329</v>
      </c>
      <c r="J241" s="101">
        <f t="shared" ref="J241:AB241" si="67">J$122 * J181</f>
        <v>0</v>
      </c>
      <c r="K241" s="101">
        <f t="shared" si="67"/>
        <v>0</v>
      </c>
      <c r="L241" s="101">
        <f t="shared" si="67"/>
        <v>0</v>
      </c>
      <c r="M241" s="101">
        <f t="shared" si="67"/>
        <v>0</v>
      </c>
      <c r="N241" s="101">
        <f t="shared" si="67"/>
        <v>0</v>
      </c>
      <c r="O241" s="101">
        <f t="shared" si="67"/>
        <v>0</v>
      </c>
      <c r="P241" s="101">
        <f t="shared" si="67"/>
        <v>0</v>
      </c>
      <c r="Q241" s="101">
        <f t="shared" si="67"/>
        <v>0</v>
      </c>
      <c r="R241" s="101">
        <f t="shared" si="67"/>
        <v>0</v>
      </c>
      <c r="S241" s="101">
        <f t="shared" si="67"/>
        <v>0</v>
      </c>
      <c r="T241" s="101">
        <f t="shared" si="67"/>
        <v>0</v>
      </c>
      <c r="U241" s="101">
        <f t="shared" si="67"/>
        <v>0</v>
      </c>
      <c r="V241" s="101">
        <f t="shared" si="67"/>
        <v>0</v>
      </c>
      <c r="W241" s="101">
        <f t="shared" si="67"/>
        <v>1.3841666779358266</v>
      </c>
      <c r="X241" s="101">
        <f t="shared" si="67"/>
        <v>0</v>
      </c>
      <c r="Y241" s="101">
        <f t="shared" si="67"/>
        <v>0</v>
      </c>
      <c r="Z241" s="101">
        <f t="shared" si="67"/>
        <v>0</v>
      </c>
      <c r="AA241" s="101">
        <f t="shared" si="67"/>
        <v>0</v>
      </c>
      <c r="AB241" s="101">
        <f t="shared" si="67"/>
        <v>0</v>
      </c>
      <c r="AC241" s="79"/>
      <c r="AD241" s="79"/>
      <c r="AE241" s="79"/>
      <c r="AF241" s="79"/>
      <c r="AG241" s="79"/>
      <c r="AH241" s="79"/>
      <c r="AI241" s="79"/>
      <c r="AJ241" s="79"/>
      <c r="AK241" s="79"/>
      <c r="AL241" s="79"/>
      <c r="AM241" s="79"/>
      <c r="AN241" s="79"/>
      <c r="AO241" s="79"/>
      <c r="AP241" s="79"/>
    </row>
    <row r="242" spans="2:44" x14ac:dyDescent="0.25">
      <c r="C242" s="91"/>
      <c r="D242"/>
      <c r="F242" t="s">
        <v>232</v>
      </c>
      <c r="G242" t="s">
        <v>329</v>
      </c>
      <c r="J242" s="101">
        <f t="shared" ref="J242:AB242" si="68">J$122 * J182</f>
        <v>0</v>
      </c>
      <c r="K242" s="101">
        <f t="shared" si="68"/>
        <v>0</v>
      </c>
      <c r="L242" s="101">
        <f t="shared" si="68"/>
        <v>0</v>
      </c>
      <c r="M242" s="101">
        <f t="shared" si="68"/>
        <v>0</v>
      </c>
      <c r="N242" s="101">
        <f t="shared" si="68"/>
        <v>0</v>
      </c>
      <c r="O242" s="101">
        <f t="shared" si="68"/>
        <v>0</v>
      </c>
      <c r="P242" s="101">
        <f t="shared" si="68"/>
        <v>0</v>
      </c>
      <c r="Q242" s="101">
        <f t="shared" si="68"/>
        <v>0</v>
      </c>
      <c r="R242" s="101">
        <f t="shared" si="68"/>
        <v>0</v>
      </c>
      <c r="S242" s="101">
        <f t="shared" si="68"/>
        <v>0</v>
      </c>
      <c r="T242" s="101">
        <f t="shared" si="68"/>
        <v>0</v>
      </c>
      <c r="U242" s="101">
        <f t="shared" si="68"/>
        <v>0</v>
      </c>
      <c r="V242" s="101">
        <f t="shared" si="68"/>
        <v>0</v>
      </c>
      <c r="W242" s="101">
        <f t="shared" si="68"/>
        <v>0</v>
      </c>
      <c r="X242" s="101">
        <f t="shared" si="68"/>
        <v>0</v>
      </c>
      <c r="Y242" s="101">
        <f t="shared" si="68"/>
        <v>0</v>
      </c>
      <c r="Z242" s="101">
        <f t="shared" si="68"/>
        <v>0</v>
      </c>
      <c r="AA242" s="101">
        <f t="shared" si="68"/>
        <v>0</v>
      </c>
      <c r="AB242" s="101">
        <f t="shared" si="68"/>
        <v>0</v>
      </c>
      <c r="AC242" s="79"/>
      <c r="AD242" s="79"/>
      <c r="AE242" s="79"/>
      <c r="AF242" s="79"/>
      <c r="AG242" s="79"/>
      <c r="AH242" s="79"/>
      <c r="AI242" s="79"/>
      <c r="AJ242" s="79"/>
      <c r="AK242" s="79"/>
      <c r="AL242" s="79"/>
      <c r="AM242" s="79"/>
      <c r="AN242" s="79"/>
      <c r="AO242" s="79"/>
      <c r="AP242" s="79"/>
    </row>
    <row r="243" spans="2:44" x14ac:dyDescent="0.25">
      <c r="C243" s="91"/>
      <c r="D243"/>
      <c r="F243" t="s">
        <v>233</v>
      </c>
      <c r="G243" t="s">
        <v>329</v>
      </c>
      <c r="J243" s="101">
        <f t="shared" ref="J243:AB243" si="69">J$122 * J183</f>
        <v>0</v>
      </c>
      <c r="K243" s="101">
        <f t="shared" si="69"/>
        <v>0</v>
      </c>
      <c r="L243" s="101">
        <f t="shared" si="69"/>
        <v>0</v>
      </c>
      <c r="M243" s="101">
        <f t="shared" si="69"/>
        <v>0</v>
      </c>
      <c r="N243" s="101">
        <f t="shared" si="69"/>
        <v>0</v>
      </c>
      <c r="O243" s="101">
        <f t="shared" si="69"/>
        <v>0</v>
      </c>
      <c r="P243" s="101">
        <f t="shared" si="69"/>
        <v>0</v>
      </c>
      <c r="Q243" s="101">
        <f t="shared" si="69"/>
        <v>0</v>
      </c>
      <c r="R243" s="101">
        <f t="shared" si="69"/>
        <v>0</v>
      </c>
      <c r="S243" s="101">
        <f t="shared" si="69"/>
        <v>0</v>
      </c>
      <c r="T243" s="101">
        <f t="shared" si="69"/>
        <v>0</v>
      </c>
      <c r="U243" s="101">
        <f t="shared" si="69"/>
        <v>0.78407753598433061</v>
      </c>
      <c r="V243" s="101">
        <f t="shared" si="69"/>
        <v>3.8016970437405382</v>
      </c>
      <c r="W243" s="101">
        <f t="shared" si="69"/>
        <v>3.7225699529531289</v>
      </c>
      <c r="X243" s="101">
        <f t="shared" si="69"/>
        <v>0</v>
      </c>
      <c r="Y243" s="101">
        <f t="shared" si="69"/>
        <v>0</v>
      </c>
      <c r="Z243" s="101">
        <f t="shared" si="69"/>
        <v>0</v>
      </c>
      <c r="AA243" s="101">
        <f t="shared" si="69"/>
        <v>0</v>
      </c>
      <c r="AB243" s="101">
        <f t="shared" si="69"/>
        <v>0</v>
      </c>
      <c r="AC243" s="79"/>
      <c r="AD243" s="79"/>
      <c r="AE243" s="79"/>
      <c r="AF243" s="79"/>
      <c r="AG243" s="79"/>
      <c r="AH243" s="79"/>
      <c r="AI243" s="79"/>
      <c r="AJ243" s="79"/>
      <c r="AK243" s="79"/>
      <c r="AL243" s="79"/>
      <c r="AM243" s="79"/>
      <c r="AN243" s="79"/>
      <c r="AO243" s="79"/>
      <c r="AP243" s="79"/>
    </row>
    <row r="244" spans="2:44" x14ac:dyDescent="0.25">
      <c r="C244" s="91"/>
      <c r="D244"/>
      <c r="F244" t="s">
        <v>234</v>
      </c>
      <c r="G244" t="s">
        <v>329</v>
      </c>
      <c r="J244" s="101">
        <f t="shared" ref="J244:AB244" si="70">J$122 * J184</f>
        <v>0</v>
      </c>
      <c r="K244" s="101">
        <f t="shared" si="70"/>
        <v>0</v>
      </c>
      <c r="L244" s="101">
        <f t="shared" si="70"/>
        <v>0</v>
      </c>
      <c r="M244" s="101">
        <f t="shared" si="70"/>
        <v>0</v>
      </c>
      <c r="N244" s="101">
        <f t="shared" si="70"/>
        <v>0</v>
      </c>
      <c r="O244" s="101">
        <f t="shared" si="70"/>
        <v>0</v>
      </c>
      <c r="P244" s="101">
        <f t="shared" si="70"/>
        <v>0</v>
      </c>
      <c r="Q244" s="101">
        <f t="shared" si="70"/>
        <v>0</v>
      </c>
      <c r="R244" s="101">
        <f t="shared" si="70"/>
        <v>0</v>
      </c>
      <c r="S244" s="101">
        <f t="shared" si="70"/>
        <v>0</v>
      </c>
      <c r="T244" s="101">
        <f t="shared" si="70"/>
        <v>0</v>
      </c>
      <c r="U244" s="101">
        <f t="shared" si="70"/>
        <v>0.94932801695115077</v>
      </c>
      <c r="V244" s="101">
        <f t="shared" si="70"/>
        <v>0.92058689350217082</v>
      </c>
      <c r="W244" s="101">
        <f t="shared" si="70"/>
        <v>0</v>
      </c>
      <c r="X244" s="101">
        <f t="shared" si="70"/>
        <v>0</v>
      </c>
      <c r="Y244" s="101">
        <f t="shared" si="70"/>
        <v>0</v>
      </c>
      <c r="Z244" s="101">
        <f t="shared" si="70"/>
        <v>0</v>
      </c>
      <c r="AA244" s="101">
        <f t="shared" si="70"/>
        <v>0</v>
      </c>
      <c r="AB244" s="101">
        <f t="shared" si="70"/>
        <v>0</v>
      </c>
      <c r="AC244" s="79"/>
      <c r="AD244" s="79"/>
      <c r="AE244" s="79"/>
      <c r="AF244" s="79"/>
      <c r="AG244" s="79"/>
      <c r="AH244" s="79"/>
      <c r="AI244" s="79"/>
      <c r="AJ244" s="79"/>
      <c r="AK244" s="79"/>
      <c r="AL244" s="79"/>
      <c r="AM244" s="79"/>
      <c r="AN244" s="79"/>
      <c r="AO244" s="79"/>
      <c r="AP244" s="79"/>
    </row>
    <row r="245" spans="2:44" x14ac:dyDescent="0.25">
      <c r="C245" s="91"/>
      <c r="D245"/>
      <c r="F245" t="s">
        <v>235</v>
      </c>
      <c r="G245" t="s">
        <v>329</v>
      </c>
      <c r="J245" s="101">
        <f t="shared" ref="J245:AB245" si="71">J$122 * J185</f>
        <v>0</v>
      </c>
      <c r="K245" s="101">
        <f t="shared" si="71"/>
        <v>0</v>
      </c>
      <c r="L245" s="101">
        <f t="shared" si="71"/>
        <v>0</v>
      </c>
      <c r="M245" s="101">
        <f t="shared" si="71"/>
        <v>0</v>
      </c>
      <c r="N245" s="101">
        <f t="shared" si="71"/>
        <v>0</v>
      </c>
      <c r="O245" s="101">
        <f t="shared" si="71"/>
        <v>0</v>
      </c>
      <c r="P245" s="101">
        <f t="shared" si="71"/>
        <v>0</v>
      </c>
      <c r="Q245" s="101">
        <f t="shared" si="71"/>
        <v>0</v>
      </c>
      <c r="R245" s="101">
        <f t="shared" si="71"/>
        <v>0</v>
      </c>
      <c r="S245" s="101">
        <f t="shared" si="71"/>
        <v>0</v>
      </c>
      <c r="T245" s="101">
        <f t="shared" si="71"/>
        <v>0</v>
      </c>
      <c r="U245" s="101">
        <f t="shared" si="71"/>
        <v>2.0930483819943402</v>
      </c>
      <c r="V245" s="101">
        <f t="shared" si="71"/>
        <v>0</v>
      </c>
      <c r="W245" s="101">
        <f t="shared" si="71"/>
        <v>0</v>
      </c>
      <c r="X245" s="101">
        <f t="shared" si="71"/>
        <v>0</v>
      </c>
      <c r="Y245" s="101">
        <f t="shared" si="71"/>
        <v>0</v>
      </c>
      <c r="Z245" s="101">
        <f t="shared" si="71"/>
        <v>0</v>
      </c>
      <c r="AA245" s="101">
        <f t="shared" si="71"/>
        <v>0</v>
      </c>
      <c r="AB245" s="101">
        <f t="shared" si="71"/>
        <v>0</v>
      </c>
      <c r="AC245" s="79"/>
      <c r="AD245" s="79"/>
      <c r="AE245" s="79"/>
      <c r="AF245" s="79"/>
      <c r="AG245" s="79"/>
      <c r="AH245" s="79"/>
      <c r="AI245" s="79"/>
      <c r="AJ245" s="79"/>
      <c r="AK245" s="79"/>
      <c r="AL245" s="79"/>
      <c r="AM245" s="79"/>
      <c r="AN245" s="79"/>
      <c r="AO245" s="79"/>
      <c r="AP245" s="79"/>
    </row>
    <row r="246" spans="2:44" x14ac:dyDescent="0.25">
      <c r="C246" s="91"/>
      <c r="D246"/>
      <c r="F246" t="s">
        <v>436</v>
      </c>
      <c r="G246" t="s">
        <v>329</v>
      </c>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row>
    <row r="247" spans="2:44" x14ac:dyDescent="0.25">
      <c r="C247" s="91"/>
      <c r="D247"/>
      <c r="F247" s="37" t="s">
        <v>437</v>
      </c>
      <c r="G247" s="37" t="s">
        <v>329</v>
      </c>
      <c r="H247" s="37"/>
      <c r="I247" s="37"/>
      <c r="J247" s="81"/>
      <c r="K247" s="81"/>
      <c r="L247" s="81"/>
      <c r="M247" s="81"/>
      <c r="N247" s="81"/>
      <c r="O247" s="81"/>
      <c r="P247" s="81"/>
      <c r="Q247" s="81"/>
      <c r="R247" s="81"/>
      <c r="S247" s="81"/>
      <c r="T247" s="81"/>
      <c r="U247" s="81"/>
      <c r="V247" s="81"/>
      <c r="W247" s="81"/>
      <c r="X247" s="81"/>
      <c r="Y247" s="81"/>
      <c r="Z247" s="81"/>
      <c r="AA247" s="81"/>
      <c r="AB247" s="81"/>
      <c r="AC247" s="81"/>
      <c r="AD247" s="81"/>
      <c r="AE247" s="81"/>
      <c r="AF247" s="81"/>
      <c r="AG247" s="81"/>
      <c r="AH247" s="81"/>
      <c r="AI247" s="81"/>
      <c r="AJ247" s="81"/>
      <c r="AK247" s="81"/>
      <c r="AL247" s="81"/>
      <c r="AM247" s="81"/>
      <c r="AN247" s="81"/>
      <c r="AO247" s="81"/>
      <c r="AP247" s="81"/>
    </row>
    <row r="248" spans="2:44" x14ac:dyDescent="0.25">
      <c r="C248" s="91"/>
      <c r="J248" s="92"/>
      <c r="K248" s="92"/>
      <c r="L248" s="92"/>
      <c r="M248" s="92"/>
      <c r="N248" s="92"/>
      <c r="O248" s="92"/>
      <c r="P248" s="92"/>
      <c r="Q248" s="92"/>
      <c r="R248" s="92"/>
      <c r="S248" s="92"/>
      <c r="T248" s="92"/>
      <c r="U248" s="92"/>
      <c r="V248" s="92"/>
      <c r="W248" s="92"/>
      <c r="X248" s="92"/>
      <c r="Y248" s="92"/>
      <c r="Z248" s="92"/>
      <c r="AA248" s="92"/>
      <c r="AB248" s="92"/>
      <c r="AC248" s="92"/>
      <c r="AD248" s="92"/>
      <c r="AE248" s="92"/>
      <c r="AF248" s="92"/>
      <c r="AG248" s="92"/>
      <c r="AH248" s="92"/>
      <c r="AI248" s="92"/>
      <c r="AJ248" s="92"/>
      <c r="AK248" s="92"/>
      <c r="AL248" s="92"/>
      <c r="AM248" s="92"/>
      <c r="AN248" s="92"/>
      <c r="AO248" s="92"/>
      <c r="AP248" s="92"/>
    </row>
    <row r="249" spans="2:44" x14ac:dyDescent="0.25">
      <c r="B249" s="30" t="s">
        <v>832</v>
      </c>
      <c r="C249" s="30"/>
      <c r="D249" s="30"/>
      <c r="E249" s="30"/>
      <c r="F249" s="30"/>
      <c r="G249" s="30"/>
      <c r="H249" s="30"/>
      <c r="I249" s="30"/>
      <c r="J249" s="201"/>
      <c r="K249" s="201"/>
      <c r="L249" s="201"/>
      <c r="M249" s="201"/>
      <c r="N249" s="201"/>
      <c r="O249" s="201"/>
      <c r="P249" s="201"/>
      <c r="Q249" s="201"/>
      <c r="R249" s="201"/>
      <c r="S249" s="201"/>
      <c r="T249" s="201"/>
      <c r="U249" s="201"/>
      <c r="V249" s="201"/>
      <c r="W249" s="201"/>
      <c r="X249" s="201"/>
      <c r="Y249" s="201"/>
      <c r="Z249" s="201"/>
      <c r="AA249" s="201"/>
      <c r="AB249" s="201"/>
      <c r="AC249" s="201"/>
      <c r="AD249" s="201"/>
      <c r="AE249" s="201"/>
      <c r="AF249" s="201"/>
      <c r="AG249" s="201"/>
      <c r="AH249" s="201"/>
      <c r="AI249" s="201"/>
      <c r="AJ249" s="201"/>
      <c r="AK249" s="201"/>
      <c r="AL249" s="201"/>
      <c r="AM249" s="201"/>
      <c r="AN249" s="201"/>
      <c r="AO249" s="201"/>
      <c r="AP249" s="201"/>
      <c r="AQ249" s="30"/>
      <c r="AR249" s="30"/>
    </row>
    <row r="250" spans="2:44" x14ac:dyDescent="0.25">
      <c r="J250" s="92"/>
      <c r="K250" s="92"/>
      <c r="L250" s="92"/>
      <c r="M250" s="92"/>
      <c r="N250" s="92"/>
      <c r="O250" s="92"/>
      <c r="P250" s="92"/>
      <c r="Q250" s="92"/>
      <c r="R250" s="92"/>
      <c r="S250" s="92"/>
      <c r="T250" s="92"/>
      <c r="U250" s="92"/>
      <c r="V250" s="92"/>
      <c r="W250" s="92"/>
      <c r="X250" s="92"/>
      <c r="Y250" s="92"/>
      <c r="Z250" s="92"/>
      <c r="AA250" s="92"/>
      <c r="AB250" s="92"/>
      <c r="AC250" s="92"/>
      <c r="AD250" s="92"/>
      <c r="AE250" s="92"/>
      <c r="AF250" s="92"/>
      <c r="AG250" s="92"/>
      <c r="AH250" s="92"/>
      <c r="AI250" s="92"/>
      <c r="AJ250" s="92"/>
      <c r="AK250" s="92"/>
      <c r="AL250" s="92"/>
      <c r="AM250" s="92"/>
      <c r="AN250" s="92"/>
      <c r="AO250" s="92"/>
      <c r="AP250" s="92"/>
    </row>
    <row r="251" spans="2:44" x14ac:dyDescent="0.25">
      <c r="B251" s="228"/>
      <c r="C251" s="29" t="s">
        <v>833</v>
      </c>
      <c r="D251"/>
      <c r="E251"/>
      <c r="J251" s="92"/>
      <c r="K251" s="92"/>
      <c r="L251" s="92"/>
      <c r="M251" s="92"/>
      <c r="N251" s="92"/>
      <c r="O251" s="92"/>
      <c r="P251" s="92"/>
      <c r="Q251" s="92"/>
      <c r="R251" s="92"/>
      <c r="S251" s="92"/>
      <c r="T251" s="92"/>
      <c r="U251" s="92"/>
      <c r="V251" s="92"/>
      <c r="W251" s="92"/>
      <c r="X251" s="92"/>
      <c r="Y251" s="92"/>
      <c r="Z251" s="92"/>
      <c r="AA251" s="92"/>
      <c r="AB251" s="92"/>
      <c r="AC251" s="92"/>
      <c r="AD251" s="92"/>
      <c r="AE251" s="92"/>
      <c r="AF251" s="92"/>
      <c r="AG251" s="92"/>
      <c r="AH251" s="92"/>
      <c r="AI251" s="92"/>
      <c r="AJ251" s="92"/>
      <c r="AK251" s="92"/>
      <c r="AL251" s="92"/>
      <c r="AM251" s="92"/>
      <c r="AN251" s="92"/>
      <c r="AO251" s="92"/>
      <c r="AP251" s="92"/>
    </row>
    <row r="252" spans="2:44" x14ac:dyDescent="0.25">
      <c r="B252" s="228"/>
      <c r="C252" s="29" t="s">
        <v>834</v>
      </c>
      <c r="D252"/>
      <c r="E252"/>
      <c r="J252" s="92"/>
      <c r="K252" s="92"/>
      <c r="L252" s="92"/>
      <c r="M252" s="92"/>
      <c r="N252" s="92"/>
      <c r="O252" s="92"/>
      <c r="P252" s="92"/>
      <c r="Q252" s="92"/>
      <c r="R252" s="92"/>
      <c r="S252" s="92"/>
      <c r="T252" s="92"/>
      <c r="U252" s="92"/>
      <c r="V252" s="92"/>
      <c r="W252" s="92"/>
      <c r="X252" s="92"/>
      <c r="Y252" s="92"/>
      <c r="Z252" s="92"/>
      <c r="AA252" s="92"/>
      <c r="AB252" s="92"/>
      <c r="AC252" s="92"/>
      <c r="AD252" s="92"/>
      <c r="AE252" s="92"/>
      <c r="AF252" s="92"/>
      <c r="AG252" s="92"/>
      <c r="AH252" s="92"/>
      <c r="AI252" s="92"/>
      <c r="AJ252" s="92"/>
      <c r="AK252" s="92"/>
      <c r="AL252" s="92"/>
      <c r="AM252" s="92"/>
      <c r="AN252" s="92"/>
      <c r="AO252" s="92"/>
      <c r="AP252" s="92"/>
    </row>
    <row r="253" spans="2:44" x14ac:dyDescent="0.25">
      <c r="J253" s="92"/>
      <c r="K253" s="92"/>
      <c r="L253" s="92"/>
      <c r="M253" s="92"/>
      <c r="N253" s="92"/>
      <c r="O253" s="92"/>
      <c r="P253" s="92"/>
      <c r="Q253" s="92"/>
      <c r="R253" s="92"/>
      <c r="S253" s="92"/>
      <c r="T253" s="92"/>
      <c r="U253" s="92"/>
      <c r="V253" s="92"/>
      <c r="W253" s="92"/>
      <c r="X253" s="92"/>
      <c r="Y253" s="92"/>
      <c r="Z253" s="92"/>
      <c r="AA253" s="92"/>
      <c r="AB253" s="92"/>
      <c r="AC253" s="92"/>
      <c r="AD253" s="92"/>
      <c r="AE253" s="92"/>
      <c r="AF253" s="92"/>
      <c r="AG253" s="92"/>
      <c r="AH253" s="92"/>
      <c r="AI253" s="92"/>
      <c r="AJ253" s="92"/>
      <c r="AK253" s="92"/>
      <c r="AL253" s="92"/>
      <c r="AM253" s="92"/>
      <c r="AN253" s="92"/>
      <c r="AO253" s="92"/>
      <c r="AP253" s="92"/>
    </row>
    <row r="254" spans="2:44" x14ac:dyDescent="0.25">
      <c r="C254" s="31" t="str">
        <f ca="1">INDEX('Version control'!$H$34:$H$56,MATCH($A$1,'Version control'!$F$34:$F$56,0),1)&amp;"-F: Capacity and exceeded capacity charges"</f>
        <v>Section 113-F: Capacity and exceeded capacity charges</v>
      </c>
      <c r="D254" s="31"/>
      <c r="E254" s="31"/>
      <c r="F254" s="31"/>
      <c r="G254" s="31"/>
      <c r="H254" s="31"/>
      <c r="I254" s="31"/>
      <c r="J254" s="93"/>
      <c r="K254" s="93"/>
      <c r="L254" s="93"/>
      <c r="M254" s="93"/>
      <c r="N254" s="93"/>
      <c r="O254" s="93"/>
      <c r="P254" s="93"/>
      <c r="Q254" s="93"/>
      <c r="R254" s="93"/>
      <c r="S254" s="93"/>
      <c r="T254" s="93"/>
      <c r="U254" s="93"/>
      <c r="V254" s="93"/>
      <c r="W254" s="93"/>
      <c r="X254" s="93"/>
      <c r="Y254" s="93"/>
      <c r="Z254" s="93"/>
      <c r="AA254" s="93"/>
      <c r="AB254" s="93"/>
      <c r="AC254" s="93"/>
      <c r="AD254" s="93"/>
      <c r="AE254" s="93"/>
      <c r="AF254" s="93"/>
      <c r="AG254" s="93"/>
      <c r="AH254" s="93"/>
      <c r="AI254" s="93"/>
      <c r="AJ254" s="93"/>
      <c r="AK254" s="93"/>
      <c r="AL254" s="93"/>
      <c r="AM254" s="93"/>
      <c r="AN254" s="93"/>
      <c r="AO254" s="93"/>
      <c r="AP254" s="93"/>
      <c r="AQ254" s="31"/>
      <c r="AR254" s="31"/>
    </row>
    <row r="255" spans="2:44" x14ac:dyDescent="0.25">
      <c r="J255" s="92"/>
      <c r="K255" s="92"/>
      <c r="L255" s="92"/>
      <c r="M255" s="92"/>
      <c r="N255" s="92"/>
      <c r="O255" s="92"/>
      <c r="P255" s="92"/>
      <c r="Q255" s="92"/>
      <c r="R255" s="92"/>
      <c r="S255" s="92"/>
      <c r="T255" s="92"/>
      <c r="U255" s="92"/>
      <c r="V255" s="92"/>
      <c r="W255" s="92"/>
      <c r="X255" s="92"/>
      <c r="Y255" s="92"/>
      <c r="Z255" s="92"/>
      <c r="AA255" s="92"/>
      <c r="AB255" s="92"/>
      <c r="AC255" s="92"/>
      <c r="AD255" s="92"/>
      <c r="AE255" s="92"/>
      <c r="AF255" s="92"/>
      <c r="AG255" s="92"/>
      <c r="AH255" s="92"/>
      <c r="AI255" s="92"/>
      <c r="AJ255" s="92"/>
      <c r="AK255" s="92"/>
      <c r="AL255" s="92"/>
      <c r="AM255" s="92"/>
      <c r="AN255" s="92"/>
      <c r="AO255" s="92"/>
      <c r="AP255" s="92"/>
    </row>
    <row r="256" spans="2:44" x14ac:dyDescent="0.25">
      <c r="E256" t="s">
        <v>835</v>
      </c>
      <c r="G256" t="s">
        <v>329</v>
      </c>
      <c r="I256" t="s">
        <v>190</v>
      </c>
      <c r="J256" s="124">
        <f t="shared" ref="J256:AB256" si="72">SUM(J192:J203,J206:J217)</f>
        <v>0</v>
      </c>
      <c r="K256" s="124">
        <f t="shared" si="72"/>
        <v>0</v>
      </c>
      <c r="L256" s="124">
        <f t="shared" si="72"/>
        <v>0</v>
      </c>
      <c r="M256" s="124">
        <f t="shared" si="72"/>
        <v>0</v>
      </c>
      <c r="N256" s="124">
        <f t="shared" si="72"/>
        <v>0</v>
      </c>
      <c r="O256" s="124">
        <f t="shared" si="72"/>
        <v>0</v>
      </c>
      <c r="P256" s="124">
        <f t="shared" si="72"/>
        <v>0</v>
      </c>
      <c r="Q256" s="124">
        <f t="shared" si="72"/>
        <v>0</v>
      </c>
      <c r="R256" s="124">
        <f t="shared" si="72"/>
        <v>0</v>
      </c>
      <c r="S256" s="124">
        <f t="shared" si="72"/>
        <v>0</v>
      </c>
      <c r="T256" s="124">
        <f t="shared" si="72"/>
        <v>0</v>
      </c>
      <c r="U256" s="124">
        <f t="shared" si="72"/>
        <v>4.7604233393884687</v>
      </c>
      <c r="V256" s="124">
        <f t="shared" si="72"/>
        <v>7.7880488652241713</v>
      </c>
      <c r="W256" s="124">
        <f t="shared" si="72"/>
        <v>10.490510240626477</v>
      </c>
      <c r="X256" s="124">
        <f t="shared" si="72"/>
        <v>0</v>
      </c>
      <c r="Y256" s="124">
        <f t="shared" si="72"/>
        <v>0</v>
      </c>
      <c r="Z256" s="124">
        <f t="shared" si="72"/>
        <v>0</v>
      </c>
      <c r="AA256" s="124">
        <f t="shared" si="72"/>
        <v>0</v>
      </c>
      <c r="AB256" s="124">
        <f t="shared" si="72"/>
        <v>0</v>
      </c>
      <c r="AC256" s="79"/>
      <c r="AD256" s="79"/>
      <c r="AE256" s="79"/>
      <c r="AF256" s="79"/>
      <c r="AG256" s="79"/>
      <c r="AH256" s="79"/>
      <c r="AI256" s="79"/>
      <c r="AJ256" s="79"/>
      <c r="AK256" s="79"/>
      <c r="AL256" s="79"/>
      <c r="AM256" s="79"/>
      <c r="AN256" s="79"/>
      <c r="AO256" s="79"/>
      <c r="AP256" s="79"/>
      <c r="AR256" t="s">
        <v>836</v>
      </c>
    </row>
    <row r="257" spans="3:44" x14ac:dyDescent="0.25">
      <c r="E257" t="s">
        <v>837</v>
      </c>
      <c r="G257" t="s">
        <v>329</v>
      </c>
      <c r="I257" t="s">
        <v>190</v>
      </c>
      <c r="J257" s="124">
        <f>SUM(J222:J233,J236:J247)</f>
        <v>0</v>
      </c>
      <c r="K257" s="124">
        <f t="shared" ref="K257:AB257" si="73">SUM(K222:K233,K236:K247)</f>
        <v>0</v>
      </c>
      <c r="L257" s="124">
        <f t="shared" si="73"/>
        <v>0</v>
      </c>
      <c r="M257" s="124">
        <f t="shared" si="73"/>
        <v>0</v>
      </c>
      <c r="N257" s="124">
        <f t="shared" si="73"/>
        <v>0</v>
      </c>
      <c r="O257" s="124">
        <f t="shared" si="73"/>
        <v>0</v>
      </c>
      <c r="P257" s="124">
        <f t="shared" si="73"/>
        <v>0</v>
      </c>
      <c r="Q257" s="124">
        <f t="shared" si="73"/>
        <v>0</v>
      </c>
      <c r="R257" s="124">
        <f t="shared" si="73"/>
        <v>0</v>
      </c>
      <c r="S257" s="124">
        <f t="shared" si="73"/>
        <v>0</v>
      </c>
      <c r="T257" s="124">
        <f t="shared" si="73"/>
        <v>0</v>
      </c>
      <c r="U257" s="124">
        <f t="shared" si="73"/>
        <v>8.74459489120105</v>
      </c>
      <c r="V257" s="124">
        <f t="shared" si="73"/>
        <v>10.791835128460974</v>
      </c>
      <c r="W257" s="124">
        <f t="shared" si="73"/>
        <v>12.369639898498342</v>
      </c>
      <c r="X257" s="124">
        <f t="shared" si="73"/>
        <v>0</v>
      </c>
      <c r="Y257" s="124">
        <f t="shared" si="73"/>
        <v>0</v>
      </c>
      <c r="Z257" s="124">
        <f t="shared" si="73"/>
        <v>0</v>
      </c>
      <c r="AA257" s="124">
        <f t="shared" si="73"/>
        <v>0</v>
      </c>
      <c r="AB257" s="124">
        <f t="shared" si="73"/>
        <v>0</v>
      </c>
      <c r="AC257" s="79"/>
      <c r="AD257" s="79"/>
      <c r="AE257" s="79"/>
      <c r="AF257" s="79"/>
      <c r="AG257" s="79"/>
      <c r="AH257" s="79"/>
      <c r="AI257" s="79"/>
      <c r="AJ257" s="79"/>
      <c r="AK257" s="79"/>
      <c r="AL257" s="79"/>
      <c r="AM257" s="79"/>
      <c r="AN257" s="79"/>
      <c r="AO257" s="79"/>
      <c r="AP257" s="79"/>
      <c r="AR257" t="s">
        <v>836</v>
      </c>
    </row>
    <row r="258" spans="3:44" x14ac:dyDescent="0.25">
      <c r="C258" s="91"/>
      <c r="J258" s="92"/>
      <c r="K258" s="92"/>
      <c r="L258" s="92"/>
      <c r="M258" s="92"/>
      <c r="N258" s="92"/>
      <c r="O258" s="92"/>
      <c r="P258" s="92"/>
      <c r="Q258" s="92"/>
      <c r="R258" s="92"/>
      <c r="S258" s="92"/>
      <c r="T258" s="92"/>
      <c r="U258" s="92"/>
      <c r="V258" s="92"/>
      <c r="W258" s="92"/>
      <c r="X258" s="92"/>
      <c r="Y258" s="92"/>
      <c r="Z258" s="92"/>
      <c r="AA258" s="92"/>
      <c r="AB258" s="92"/>
      <c r="AC258" s="92"/>
      <c r="AD258" s="92"/>
      <c r="AE258" s="92"/>
      <c r="AF258" s="92"/>
      <c r="AG258" s="92"/>
      <c r="AH258" s="92"/>
      <c r="AI258" s="92"/>
      <c r="AJ258" s="92"/>
      <c r="AK258" s="92"/>
      <c r="AL258" s="92"/>
      <c r="AM258" s="92"/>
      <c r="AN258" s="92"/>
      <c r="AO258" s="92"/>
      <c r="AP258" s="92"/>
    </row>
    <row r="259" spans="3:44" x14ac:dyDescent="0.25">
      <c r="C259" s="31" t="str">
        <f ca="1">INDEX('Version control'!$H$34:$H$56,MATCH($A$1,'Version control'!$F$34:$F$56,0),1)&amp;"-G: Capacity elements allocated to fixed charges"</f>
        <v>Section 113-G: Capacity elements allocated to fixed charges</v>
      </c>
      <c r="D259" s="31"/>
      <c r="E259" s="31"/>
      <c r="F259" s="31"/>
      <c r="G259" s="31"/>
      <c r="H259" s="31"/>
      <c r="I259" s="31"/>
      <c r="J259" s="93"/>
      <c r="K259" s="93"/>
      <c r="L259" s="93"/>
      <c r="M259" s="93"/>
      <c r="N259" s="93"/>
      <c r="O259" s="93"/>
      <c r="P259" s="93"/>
      <c r="Q259" s="93"/>
      <c r="R259" s="93"/>
      <c r="S259" s="93"/>
      <c r="T259" s="93"/>
      <c r="U259" s="93"/>
      <c r="V259" s="93"/>
      <c r="W259" s="93"/>
      <c r="X259" s="93"/>
      <c r="Y259" s="93"/>
      <c r="Z259" s="93"/>
      <c r="AA259" s="93"/>
      <c r="AB259" s="93"/>
      <c r="AC259" s="93"/>
      <c r="AD259" s="93"/>
      <c r="AE259" s="93"/>
      <c r="AF259" s="93"/>
      <c r="AG259" s="93"/>
      <c r="AH259" s="93"/>
      <c r="AI259" s="93"/>
      <c r="AJ259" s="93"/>
      <c r="AK259" s="93"/>
      <c r="AL259" s="93"/>
      <c r="AM259" s="93"/>
      <c r="AN259" s="93"/>
      <c r="AO259" s="93"/>
      <c r="AP259" s="93"/>
      <c r="AQ259" s="31"/>
      <c r="AR259" s="31"/>
    </row>
    <row r="260" spans="3:44" x14ac:dyDescent="0.25">
      <c r="D260" s="32"/>
      <c r="E260" s="32"/>
      <c r="I260" t="s">
        <v>190</v>
      </c>
      <c r="J260" s="92"/>
      <c r="K260" s="92"/>
      <c r="L260" s="92"/>
      <c r="M260" s="92"/>
      <c r="N260" s="92"/>
      <c r="O260" s="92"/>
      <c r="P260" s="92"/>
      <c r="Q260" s="92"/>
      <c r="R260" s="92"/>
      <c r="S260" s="92"/>
      <c r="T260" s="92"/>
      <c r="U260" s="92"/>
      <c r="V260" s="92"/>
      <c r="W260" s="92"/>
      <c r="X260" s="92"/>
      <c r="Y260" s="92"/>
      <c r="Z260" s="92"/>
      <c r="AA260" s="92"/>
      <c r="AB260" s="92"/>
      <c r="AC260" s="92"/>
      <c r="AD260" s="92"/>
      <c r="AE260" s="92"/>
      <c r="AF260" s="92"/>
      <c r="AG260" s="92"/>
      <c r="AH260" s="92"/>
      <c r="AI260" s="92"/>
      <c r="AJ260" s="92"/>
      <c r="AK260" s="92"/>
      <c r="AL260" s="92"/>
      <c r="AM260" s="92"/>
      <c r="AN260" s="92"/>
      <c r="AO260" s="92"/>
      <c r="AP260" s="92"/>
      <c r="AR260" t="s">
        <v>838</v>
      </c>
    </row>
    <row r="261" spans="3:44" x14ac:dyDescent="0.25">
      <c r="C261" s="91"/>
      <c r="D261"/>
      <c r="E261" s="32" t="s">
        <v>733</v>
      </c>
      <c r="J261" s="92"/>
      <c r="K261" s="92"/>
      <c r="L261" s="92"/>
      <c r="M261" s="92"/>
      <c r="N261" s="92"/>
      <c r="O261" s="92"/>
      <c r="P261" s="92"/>
      <c r="Q261" s="92"/>
      <c r="R261" s="92"/>
      <c r="S261" s="92"/>
      <c r="T261" s="92"/>
      <c r="U261" s="92"/>
      <c r="V261" s="92"/>
      <c r="W261" s="92"/>
      <c r="X261" s="92"/>
      <c r="Y261" s="92"/>
      <c r="Z261" s="92"/>
      <c r="AA261" s="92"/>
      <c r="AB261" s="92"/>
      <c r="AC261" s="92"/>
      <c r="AD261" s="92"/>
      <c r="AE261" s="92"/>
      <c r="AF261" s="92"/>
      <c r="AG261" s="92"/>
      <c r="AH261" s="92"/>
      <c r="AI261" s="92"/>
      <c r="AJ261" s="92"/>
      <c r="AK261" s="92"/>
      <c r="AL261" s="92"/>
      <c r="AM261" s="92"/>
      <c r="AN261" s="92"/>
      <c r="AO261" s="92"/>
      <c r="AP261" s="92"/>
    </row>
    <row r="262" spans="3:44" x14ac:dyDescent="0.25">
      <c r="C262" s="91"/>
      <c r="D262"/>
      <c r="F262" s="23" t="s">
        <v>225</v>
      </c>
      <c r="G262" s="23" t="s">
        <v>329</v>
      </c>
      <c r="H262" s="23"/>
      <c r="I262" s="23"/>
      <c r="J262" s="83"/>
      <c r="K262" s="83"/>
      <c r="L262" s="83"/>
      <c r="M262" s="83"/>
      <c r="N262" s="83"/>
      <c r="O262" s="83"/>
      <c r="P262" s="83"/>
      <c r="Q262" s="83"/>
      <c r="R262" s="83"/>
      <c r="S262" s="83"/>
      <c r="T262" s="83"/>
      <c r="U262" s="83"/>
      <c r="V262" s="83"/>
      <c r="W262" s="83"/>
      <c r="X262" s="83"/>
      <c r="Y262" s="83"/>
      <c r="Z262" s="83"/>
      <c r="AA262" s="83"/>
      <c r="AB262" s="83"/>
      <c r="AC262" s="83"/>
      <c r="AD262" s="83"/>
      <c r="AE262" s="83"/>
      <c r="AF262" s="83"/>
      <c r="AG262" s="83"/>
      <c r="AH262" s="83"/>
      <c r="AI262" s="83"/>
      <c r="AJ262" s="83"/>
      <c r="AK262" s="83"/>
      <c r="AL262" s="83"/>
      <c r="AM262" s="83"/>
      <c r="AN262" s="83"/>
      <c r="AO262" s="83"/>
      <c r="AP262" s="83"/>
    </row>
    <row r="263" spans="3:44" x14ac:dyDescent="0.25">
      <c r="C263" s="91"/>
      <c r="D263"/>
      <c r="F263" t="s">
        <v>227</v>
      </c>
      <c r="G263" t="s">
        <v>329</v>
      </c>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c r="AG263" s="79"/>
      <c r="AH263" s="79"/>
      <c r="AI263" s="79"/>
      <c r="AJ263" s="79"/>
      <c r="AK263" s="79"/>
      <c r="AL263" s="79"/>
      <c r="AM263" s="79"/>
      <c r="AN263" s="79"/>
      <c r="AO263" s="79"/>
      <c r="AP263" s="79"/>
    </row>
    <row r="264" spans="3:44" x14ac:dyDescent="0.25">
      <c r="C264" s="91"/>
      <c r="D264"/>
      <c r="F264" t="s">
        <v>228</v>
      </c>
      <c r="G264" t="s">
        <v>329</v>
      </c>
      <c r="J264" s="124">
        <f>J$123 * J134</f>
        <v>0</v>
      </c>
      <c r="K264" s="124">
        <f t="shared" ref="K264:AB264" si="74">K$123 * K134</f>
        <v>0</v>
      </c>
      <c r="L264" s="124">
        <f t="shared" si="74"/>
        <v>0</v>
      </c>
      <c r="M264" s="124">
        <f t="shared" si="74"/>
        <v>0</v>
      </c>
      <c r="N264" s="124">
        <f t="shared" si="74"/>
        <v>0</v>
      </c>
      <c r="O264" s="124">
        <f t="shared" si="74"/>
        <v>0</v>
      </c>
      <c r="P264" s="124">
        <f t="shared" si="74"/>
        <v>0</v>
      </c>
      <c r="Q264" s="124">
        <f t="shared" si="74"/>
        <v>0</v>
      </c>
      <c r="R264" s="124">
        <f t="shared" si="74"/>
        <v>0</v>
      </c>
      <c r="S264" s="124">
        <f t="shared" si="74"/>
        <v>0</v>
      </c>
      <c r="T264" s="124">
        <f t="shared" si="74"/>
        <v>0</v>
      </c>
      <c r="U264" s="124">
        <f t="shared" si="74"/>
        <v>0</v>
      </c>
      <c r="V264" s="124">
        <f t="shared" si="74"/>
        <v>0</v>
      </c>
      <c r="W264" s="124">
        <f t="shared" si="74"/>
        <v>0</v>
      </c>
      <c r="X264" s="124">
        <f t="shared" si="74"/>
        <v>0</v>
      </c>
      <c r="Y264" s="124">
        <f t="shared" si="74"/>
        <v>0</v>
      </c>
      <c r="Z264" s="124">
        <f t="shared" si="74"/>
        <v>0</v>
      </c>
      <c r="AA264" s="124">
        <f t="shared" si="74"/>
        <v>0</v>
      </c>
      <c r="AB264" s="124">
        <f t="shared" si="74"/>
        <v>0</v>
      </c>
      <c r="AC264" s="79"/>
      <c r="AD264" s="79"/>
      <c r="AE264" s="79"/>
      <c r="AF264" s="79"/>
      <c r="AG264" s="79"/>
      <c r="AH264" s="79"/>
      <c r="AI264" s="79"/>
      <c r="AJ264" s="79"/>
      <c r="AK264" s="79"/>
      <c r="AL264" s="79"/>
      <c r="AM264" s="79"/>
      <c r="AN264" s="79"/>
      <c r="AO264" s="79"/>
      <c r="AP264" s="79"/>
    </row>
    <row r="265" spans="3:44" x14ac:dyDescent="0.25">
      <c r="C265" s="91"/>
      <c r="D265"/>
      <c r="F265" t="s">
        <v>229</v>
      </c>
      <c r="G265" t="s">
        <v>329</v>
      </c>
      <c r="J265" s="124">
        <f t="shared" ref="J265:AB265" si="75">J$123 * J135</f>
        <v>0</v>
      </c>
      <c r="K265" s="124">
        <f t="shared" si="75"/>
        <v>0</v>
      </c>
      <c r="L265" s="124">
        <f t="shared" si="75"/>
        <v>0</v>
      </c>
      <c r="M265" s="124">
        <f t="shared" si="75"/>
        <v>0</v>
      </c>
      <c r="N265" s="124">
        <f t="shared" si="75"/>
        <v>0</v>
      </c>
      <c r="O265" s="124">
        <f t="shared" si="75"/>
        <v>0</v>
      </c>
      <c r="P265" s="124">
        <f t="shared" si="75"/>
        <v>0</v>
      </c>
      <c r="Q265" s="124">
        <f t="shared" si="75"/>
        <v>0</v>
      </c>
      <c r="R265" s="124">
        <f t="shared" si="75"/>
        <v>0</v>
      </c>
      <c r="S265" s="124">
        <f t="shared" si="75"/>
        <v>0</v>
      </c>
      <c r="T265" s="124">
        <f t="shared" si="75"/>
        <v>0</v>
      </c>
      <c r="U265" s="124">
        <f t="shared" si="75"/>
        <v>0</v>
      </c>
      <c r="V265" s="124">
        <f t="shared" si="75"/>
        <v>0</v>
      </c>
      <c r="W265" s="124">
        <f t="shared" si="75"/>
        <v>0</v>
      </c>
      <c r="X265" s="124">
        <f t="shared" si="75"/>
        <v>0</v>
      </c>
      <c r="Y265" s="124">
        <f t="shared" si="75"/>
        <v>0</v>
      </c>
      <c r="Z265" s="124">
        <f t="shared" si="75"/>
        <v>0</v>
      </c>
      <c r="AA265" s="124">
        <f t="shared" si="75"/>
        <v>0</v>
      </c>
      <c r="AB265" s="124">
        <f t="shared" si="75"/>
        <v>0</v>
      </c>
      <c r="AC265" s="79"/>
      <c r="AD265" s="79"/>
      <c r="AE265" s="79"/>
      <c r="AF265" s="79"/>
      <c r="AG265" s="79"/>
      <c r="AH265" s="79"/>
      <c r="AI265" s="79"/>
      <c r="AJ265" s="79"/>
      <c r="AK265" s="79"/>
      <c r="AL265" s="79"/>
      <c r="AM265" s="79"/>
      <c r="AN265" s="79"/>
      <c r="AO265" s="79"/>
      <c r="AP265" s="79"/>
    </row>
    <row r="266" spans="3:44" x14ac:dyDescent="0.25">
      <c r="C266" s="91"/>
      <c r="D266"/>
      <c r="F266" t="s">
        <v>230</v>
      </c>
      <c r="G266" t="s">
        <v>329</v>
      </c>
      <c r="J266" s="124">
        <f t="shared" ref="J266:AB266" si="76">J$123 * J136</f>
        <v>0</v>
      </c>
      <c r="K266" s="124">
        <f t="shared" si="76"/>
        <v>0</v>
      </c>
      <c r="L266" s="124">
        <f t="shared" si="76"/>
        <v>0</v>
      </c>
      <c r="M266" s="124">
        <f t="shared" si="76"/>
        <v>0</v>
      </c>
      <c r="N266" s="124">
        <f t="shared" si="76"/>
        <v>0</v>
      </c>
      <c r="O266" s="124">
        <f t="shared" si="76"/>
        <v>0</v>
      </c>
      <c r="P266" s="124">
        <f t="shared" si="76"/>
        <v>0</v>
      </c>
      <c r="Q266" s="124">
        <f t="shared" si="76"/>
        <v>0</v>
      </c>
      <c r="R266" s="124">
        <f t="shared" si="76"/>
        <v>0.38865278552474813</v>
      </c>
      <c r="S266" s="124">
        <f t="shared" si="76"/>
        <v>0</v>
      </c>
      <c r="T266" s="124">
        <f t="shared" si="76"/>
        <v>0</v>
      </c>
      <c r="U266" s="124">
        <f t="shared" si="76"/>
        <v>0</v>
      </c>
      <c r="V266" s="124">
        <f t="shared" si="76"/>
        <v>0</v>
      </c>
      <c r="W266" s="124">
        <f t="shared" si="76"/>
        <v>0</v>
      </c>
      <c r="X266" s="124">
        <f t="shared" si="76"/>
        <v>0</v>
      </c>
      <c r="Y266" s="124">
        <f t="shared" si="76"/>
        <v>0</v>
      </c>
      <c r="Z266" s="124">
        <f t="shared" si="76"/>
        <v>0</v>
      </c>
      <c r="AA266" s="124">
        <f t="shared" si="76"/>
        <v>0</v>
      </c>
      <c r="AB266" s="124">
        <f t="shared" si="76"/>
        <v>0</v>
      </c>
      <c r="AC266" s="79"/>
      <c r="AD266" s="79"/>
      <c r="AE266" s="79"/>
      <c r="AF266" s="79"/>
      <c r="AG266" s="79"/>
      <c r="AH266" s="79"/>
      <c r="AI266" s="79"/>
      <c r="AJ266" s="79"/>
      <c r="AK266" s="79"/>
      <c r="AL266" s="79"/>
      <c r="AM266" s="79"/>
      <c r="AN266" s="79"/>
      <c r="AO266" s="79"/>
      <c r="AP266" s="79"/>
    </row>
    <row r="267" spans="3:44" x14ac:dyDescent="0.25">
      <c r="C267" s="91"/>
      <c r="D267"/>
      <c r="F267" t="s">
        <v>231</v>
      </c>
      <c r="G267" t="s">
        <v>329</v>
      </c>
      <c r="J267" s="124">
        <f t="shared" ref="J267:AB267" si="77">J$123 * J137</f>
        <v>0</v>
      </c>
      <c r="K267" s="124">
        <f t="shared" si="77"/>
        <v>0</v>
      </c>
      <c r="L267" s="124">
        <f t="shared" si="77"/>
        <v>0</v>
      </c>
      <c r="M267" s="124">
        <f t="shared" si="77"/>
        <v>0</v>
      </c>
      <c r="N267" s="124">
        <f t="shared" si="77"/>
        <v>0</v>
      </c>
      <c r="O267" s="124">
        <f t="shared" si="77"/>
        <v>0</v>
      </c>
      <c r="P267" s="124">
        <f t="shared" si="77"/>
        <v>0</v>
      </c>
      <c r="Q267" s="124">
        <f t="shared" si="77"/>
        <v>0</v>
      </c>
      <c r="R267" s="124">
        <f t="shared" si="77"/>
        <v>1.7656075555708008</v>
      </c>
      <c r="S267" s="124">
        <f t="shared" si="77"/>
        <v>0</v>
      </c>
      <c r="T267" s="124">
        <f t="shared" si="77"/>
        <v>0</v>
      </c>
      <c r="U267" s="124">
        <f t="shared" si="77"/>
        <v>0</v>
      </c>
      <c r="V267" s="124">
        <f t="shared" si="77"/>
        <v>0</v>
      </c>
      <c r="W267" s="124">
        <f t="shared" si="77"/>
        <v>0</v>
      </c>
      <c r="X267" s="124">
        <f t="shared" si="77"/>
        <v>0</v>
      </c>
      <c r="Y267" s="124">
        <f t="shared" si="77"/>
        <v>0</v>
      </c>
      <c r="Z267" s="124">
        <f t="shared" si="77"/>
        <v>0</v>
      </c>
      <c r="AA267" s="124">
        <f t="shared" si="77"/>
        <v>0</v>
      </c>
      <c r="AB267" s="124">
        <f t="shared" si="77"/>
        <v>0</v>
      </c>
      <c r="AC267" s="79"/>
      <c r="AD267" s="79"/>
      <c r="AE267" s="79"/>
      <c r="AF267" s="79"/>
      <c r="AG267" s="79"/>
      <c r="AH267" s="79"/>
      <c r="AI267" s="79"/>
      <c r="AJ267" s="79"/>
      <c r="AK267" s="79"/>
      <c r="AL267" s="79"/>
      <c r="AM267" s="79"/>
      <c r="AN267" s="79"/>
      <c r="AO267" s="79"/>
      <c r="AP267" s="79"/>
    </row>
    <row r="268" spans="3:44" x14ac:dyDescent="0.25">
      <c r="C268" s="91"/>
      <c r="D268"/>
      <c r="F268" t="s">
        <v>232</v>
      </c>
      <c r="G268" t="s">
        <v>329</v>
      </c>
      <c r="J268" s="124">
        <f t="shared" ref="J268:AB268" si="78">J$123 * J138</f>
        <v>0</v>
      </c>
      <c r="K268" s="124">
        <f t="shared" si="78"/>
        <v>0</v>
      </c>
      <c r="L268" s="124">
        <f t="shared" si="78"/>
        <v>0</v>
      </c>
      <c r="M268" s="124">
        <f t="shared" si="78"/>
        <v>0</v>
      </c>
      <c r="N268" s="124">
        <f t="shared" si="78"/>
        <v>0</v>
      </c>
      <c r="O268" s="124">
        <f t="shared" si="78"/>
        <v>0</v>
      </c>
      <c r="P268" s="124">
        <f t="shared" si="78"/>
        <v>0</v>
      </c>
      <c r="Q268" s="124">
        <f t="shared" si="78"/>
        <v>0</v>
      </c>
      <c r="R268" s="124">
        <f t="shared" si="78"/>
        <v>0</v>
      </c>
      <c r="S268" s="124">
        <f t="shared" si="78"/>
        <v>0</v>
      </c>
      <c r="T268" s="124">
        <f t="shared" si="78"/>
        <v>0</v>
      </c>
      <c r="U268" s="124">
        <f t="shared" si="78"/>
        <v>0</v>
      </c>
      <c r="V268" s="124">
        <f t="shared" si="78"/>
        <v>0</v>
      </c>
      <c r="W268" s="124">
        <f t="shared" si="78"/>
        <v>0</v>
      </c>
      <c r="X268" s="124">
        <f t="shared" si="78"/>
        <v>0</v>
      </c>
      <c r="Y268" s="124">
        <f t="shared" si="78"/>
        <v>0</v>
      </c>
      <c r="Z268" s="124">
        <f t="shared" si="78"/>
        <v>0</v>
      </c>
      <c r="AA268" s="124">
        <f t="shared" si="78"/>
        <v>0</v>
      </c>
      <c r="AB268" s="124">
        <f t="shared" si="78"/>
        <v>0</v>
      </c>
      <c r="AC268" s="79"/>
      <c r="AD268" s="79"/>
      <c r="AE268" s="79"/>
      <c r="AF268" s="79"/>
      <c r="AG268" s="79"/>
      <c r="AH268" s="79"/>
      <c r="AI268" s="79"/>
      <c r="AJ268" s="79"/>
      <c r="AK268" s="79"/>
      <c r="AL268" s="79"/>
      <c r="AM268" s="79"/>
      <c r="AN268" s="79"/>
      <c r="AO268" s="79"/>
      <c r="AP268" s="79"/>
    </row>
    <row r="269" spans="3:44" x14ac:dyDescent="0.25">
      <c r="C269" s="91"/>
      <c r="D269"/>
      <c r="F269" t="s">
        <v>233</v>
      </c>
      <c r="G269" t="s">
        <v>329</v>
      </c>
      <c r="J269" s="124">
        <f t="shared" ref="J269:AB269" si="79">J$123 * J139</f>
        <v>0</v>
      </c>
      <c r="K269" s="124">
        <f t="shared" si="79"/>
        <v>0</v>
      </c>
      <c r="L269" s="124">
        <f t="shared" si="79"/>
        <v>0</v>
      </c>
      <c r="M269" s="124">
        <f t="shared" si="79"/>
        <v>0</v>
      </c>
      <c r="N269" s="124">
        <f t="shared" si="79"/>
        <v>0</v>
      </c>
      <c r="O269" s="124">
        <f t="shared" si="79"/>
        <v>0</v>
      </c>
      <c r="P269" s="124">
        <f t="shared" si="79"/>
        <v>0</v>
      </c>
      <c r="Q269" s="124">
        <f t="shared" si="79"/>
        <v>0</v>
      </c>
      <c r="R269" s="124">
        <f t="shared" si="79"/>
        <v>2.9235512151241809</v>
      </c>
      <c r="S269" s="124">
        <f t="shared" si="79"/>
        <v>0</v>
      </c>
      <c r="T269" s="124">
        <f t="shared" si="79"/>
        <v>0</v>
      </c>
      <c r="U269" s="124">
        <f t="shared" si="79"/>
        <v>0</v>
      </c>
      <c r="V269" s="124">
        <f t="shared" si="79"/>
        <v>0</v>
      </c>
      <c r="W269" s="124">
        <f t="shared" si="79"/>
        <v>0</v>
      </c>
      <c r="X269" s="124">
        <f t="shared" si="79"/>
        <v>0</v>
      </c>
      <c r="Y269" s="124">
        <f t="shared" si="79"/>
        <v>0</v>
      </c>
      <c r="Z269" s="124">
        <f t="shared" si="79"/>
        <v>0</v>
      </c>
      <c r="AA269" s="124">
        <f t="shared" si="79"/>
        <v>0</v>
      </c>
      <c r="AB269" s="124">
        <f t="shared" si="79"/>
        <v>0</v>
      </c>
      <c r="AC269" s="79"/>
      <c r="AD269" s="79"/>
      <c r="AE269" s="79"/>
      <c r="AF269" s="79"/>
      <c r="AG269" s="79"/>
      <c r="AH269" s="79"/>
      <c r="AI269" s="79"/>
      <c r="AJ269" s="79"/>
      <c r="AK269" s="79"/>
      <c r="AL269" s="79"/>
      <c r="AM269" s="79"/>
      <c r="AN269" s="79"/>
      <c r="AO269" s="79"/>
      <c r="AP269" s="79"/>
    </row>
    <row r="270" spans="3:44" x14ac:dyDescent="0.25">
      <c r="C270" s="91"/>
      <c r="D270"/>
      <c r="F270" t="s">
        <v>234</v>
      </c>
      <c r="G270" t="s">
        <v>329</v>
      </c>
      <c r="J270" s="124">
        <f t="shared" ref="J270:AB270" si="80">J$123 * J140</f>
        <v>0</v>
      </c>
      <c r="K270" s="124">
        <f t="shared" si="80"/>
        <v>0</v>
      </c>
      <c r="L270" s="124">
        <f t="shared" si="80"/>
        <v>0</v>
      </c>
      <c r="M270" s="124">
        <f t="shared" si="80"/>
        <v>0</v>
      </c>
      <c r="N270" s="124">
        <f t="shared" si="80"/>
        <v>0</v>
      </c>
      <c r="O270" s="124">
        <f t="shared" si="80"/>
        <v>0</v>
      </c>
      <c r="P270" s="124">
        <f t="shared" si="80"/>
        <v>0</v>
      </c>
      <c r="Q270" s="124">
        <f t="shared" si="80"/>
        <v>0.2572239707261566</v>
      </c>
      <c r="R270" s="124">
        <f t="shared" si="80"/>
        <v>0</v>
      </c>
      <c r="S270" s="124">
        <f t="shared" si="80"/>
        <v>0</v>
      </c>
      <c r="T270" s="124">
        <f t="shared" si="80"/>
        <v>0</v>
      </c>
      <c r="U270" s="124">
        <f t="shared" si="80"/>
        <v>0</v>
      </c>
      <c r="V270" s="124">
        <f t="shared" si="80"/>
        <v>0</v>
      </c>
      <c r="W270" s="124">
        <f t="shared" si="80"/>
        <v>0</v>
      </c>
      <c r="X270" s="124">
        <f t="shared" si="80"/>
        <v>0</v>
      </c>
      <c r="Y270" s="124">
        <f t="shared" si="80"/>
        <v>0</v>
      </c>
      <c r="Z270" s="124">
        <f t="shared" si="80"/>
        <v>0</v>
      </c>
      <c r="AA270" s="124">
        <f t="shared" si="80"/>
        <v>0</v>
      </c>
      <c r="AB270" s="124">
        <f t="shared" si="80"/>
        <v>0</v>
      </c>
      <c r="AC270" s="79"/>
      <c r="AD270" s="79"/>
      <c r="AE270" s="79"/>
      <c r="AF270" s="79"/>
      <c r="AG270" s="79"/>
      <c r="AH270" s="79"/>
      <c r="AI270" s="79"/>
      <c r="AJ270" s="79"/>
      <c r="AK270" s="79"/>
      <c r="AL270" s="79"/>
      <c r="AM270" s="79"/>
      <c r="AN270" s="79"/>
      <c r="AO270" s="79"/>
      <c r="AP270" s="79"/>
    </row>
    <row r="271" spans="3:44" x14ac:dyDescent="0.25">
      <c r="C271" s="91"/>
      <c r="D271"/>
      <c r="F271" t="s">
        <v>235</v>
      </c>
      <c r="G271" t="s">
        <v>329</v>
      </c>
      <c r="J271" s="124">
        <f t="shared" ref="J271:AB271" si="81">J$123 * J141</f>
        <v>8.9469823783937572E-2</v>
      </c>
      <c r="K271" s="124">
        <f t="shared" si="81"/>
        <v>8.9469823783937572E-2</v>
      </c>
      <c r="L271" s="124">
        <f t="shared" si="81"/>
        <v>0</v>
      </c>
      <c r="M271" s="124">
        <f t="shared" si="81"/>
        <v>8.9469823783937572E-2</v>
      </c>
      <c r="N271" s="124">
        <f t="shared" si="81"/>
        <v>8.9469823783937572E-2</v>
      </c>
      <c r="O271" s="124">
        <f t="shared" si="81"/>
        <v>0</v>
      </c>
      <c r="P271" s="124">
        <f t="shared" si="81"/>
        <v>8.9469823783937572E-2</v>
      </c>
      <c r="Q271" s="124">
        <f t="shared" si="81"/>
        <v>0</v>
      </c>
      <c r="R271" s="124">
        <f t="shared" si="81"/>
        <v>0</v>
      </c>
      <c r="S271" s="124">
        <f t="shared" si="81"/>
        <v>8.9469823783937572E-2</v>
      </c>
      <c r="T271" s="124">
        <f t="shared" si="81"/>
        <v>8.9469823783937572E-2</v>
      </c>
      <c r="U271" s="124">
        <f t="shared" si="81"/>
        <v>0</v>
      </c>
      <c r="V271" s="124">
        <f t="shared" si="81"/>
        <v>0</v>
      </c>
      <c r="W271" s="124">
        <f t="shared" si="81"/>
        <v>0</v>
      </c>
      <c r="X271" s="124">
        <f t="shared" si="81"/>
        <v>0</v>
      </c>
      <c r="Y271" s="124">
        <f t="shared" si="81"/>
        <v>0</v>
      </c>
      <c r="Z271" s="124">
        <f t="shared" si="81"/>
        <v>0</v>
      </c>
      <c r="AA271" s="124">
        <f t="shared" si="81"/>
        <v>0</v>
      </c>
      <c r="AB271" s="124">
        <f t="shared" si="81"/>
        <v>0</v>
      </c>
      <c r="AC271" s="79"/>
      <c r="AD271" s="79"/>
      <c r="AE271" s="79"/>
      <c r="AF271" s="79"/>
      <c r="AG271" s="79"/>
      <c r="AH271" s="79"/>
      <c r="AI271" s="79"/>
      <c r="AJ271" s="79"/>
      <c r="AK271" s="79"/>
      <c r="AL271" s="79"/>
      <c r="AM271" s="79"/>
      <c r="AN271" s="79"/>
      <c r="AO271" s="79"/>
      <c r="AP271" s="79"/>
    </row>
    <row r="272" spans="3:44" x14ac:dyDescent="0.25">
      <c r="C272" s="91"/>
      <c r="D272"/>
      <c r="F272" t="s">
        <v>436</v>
      </c>
      <c r="G272" t="s">
        <v>329</v>
      </c>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79"/>
      <c r="AK272" s="79"/>
      <c r="AL272" s="79"/>
      <c r="AM272" s="79"/>
      <c r="AN272" s="79"/>
      <c r="AO272" s="79"/>
      <c r="AP272" s="79"/>
    </row>
    <row r="273" spans="3:42" x14ac:dyDescent="0.25">
      <c r="C273" s="91"/>
      <c r="D273"/>
      <c r="F273" s="37" t="s">
        <v>437</v>
      </c>
      <c r="G273" s="37" t="s">
        <v>329</v>
      </c>
      <c r="H273" s="37"/>
      <c r="I273" s="37"/>
      <c r="J273" s="81"/>
      <c r="K273" s="81"/>
      <c r="L273" s="81"/>
      <c r="M273" s="81"/>
      <c r="N273" s="81"/>
      <c r="O273" s="81"/>
      <c r="P273" s="81"/>
      <c r="Q273" s="81"/>
      <c r="R273" s="81"/>
      <c r="S273" s="81"/>
      <c r="T273" s="81"/>
      <c r="U273" s="81"/>
      <c r="V273" s="81"/>
      <c r="W273" s="81"/>
      <c r="X273" s="81"/>
      <c r="Y273" s="81"/>
      <c r="Z273" s="81"/>
      <c r="AA273" s="81"/>
      <c r="AB273" s="81"/>
      <c r="AC273" s="81"/>
      <c r="AD273" s="81"/>
      <c r="AE273" s="81"/>
      <c r="AF273" s="81"/>
      <c r="AG273" s="81"/>
      <c r="AH273" s="81"/>
      <c r="AI273" s="81"/>
      <c r="AJ273" s="81"/>
      <c r="AK273" s="81"/>
      <c r="AL273" s="81"/>
      <c r="AM273" s="81"/>
      <c r="AN273" s="81"/>
      <c r="AO273" s="81"/>
      <c r="AP273" s="81"/>
    </row>
    <row r="274" spans="3:42" x14ac:dyDescent="0.25">
      <c r="C274" s="91"/>
      <c r="D274"/>
      <c r="J274" s="92"/>
      <c r="K274" s="92"/>
      <c r="L274" s="92"/>
      <c r="M274" s="92"/>
      <c r="N274" s="92"/>
      <c r="O274" s="92"/>
      <c r="P274" s="92"/>
      <c r="Q274" s="92"/>
      <c r="R274" s="92"/>
      <c r="S274" s="92"/>
      <c r="T274" s="92"/>
      <c r="U274" s="92"/>
      <c r="V274" s="92"/>
      <c r="W274" s="92"/>
      <c r="X274" s="92"/>
      <c r="Y274" s="92"/>
      <c r="Z274" s="92"/>
      <c r="AA274" s="92"/>
      <c r="AB274" s="92"/>
      <c r="AC274" s="92"/>
      <c r="AD274" s="92"/>
      <c r="AE274" s="92"/>
      <c r="AF274" s="92"/>
      <c r="AG274" s="92"/>
      <c r="AH274" s="92"/>
      <c r="AI274" s="92"/>
      <c r="AJ274" s="92"/>
      <c r="AK274" s="92"/>
      <c r="AL274" s="92"/>
      <c r="AM274" s="92"/>
      <c r="AN274" s="92"/>
      <c r="AO274" s="92"/>
      <c r="AP274" s="92"/>
    </row>
    <row r="275" spans="3:42" x14ac:dyDescent="0.25">
      <c r="C275" s="91"/>
      <c r="D275"/>
      <c r="E275" s="32" t="s">
        <v>839</v>
      </c>
      <c r="J275" s="92"/>
      <c r="K275" s="92"/>
      <c r="L275" s="92"/>
      <c r="M275" s="92"/>
      <c r="N275" s="92"/>
      <c r="O275" s="92"/>
      <c r="P275" s="92"/>
      <c r="Q275" s="92"/>
      <c r="R275" s="92"/>
      <c r="S275" s="92"/>
      <c r="T275" s="92"/>
      <c r="U275" s="92"/>
      <c r="V275" s="92"/>
      <c r="W275" s="92"/>
      <c r="X275" s="92"/>
      <c r="Y275" s="92"/>
      <c r="Z275" s="92"/>
      <c r="AA275" s="92"/>
      <c r="AB275" s="92"/>
      <c r="AC275" s="92"/>
      <c r="AD275" s="92"/>
      <c r="AE275" s="92"/>
      <c r="AF275" s="92"/>
      <c r="AG275" s="92"/>
      <c r="AH275" s="92"/>
      <c r="AI275" s="92"/>
      <c r="AJ275" s="92"/>
      <c r="AK275" s="92"/>
      <c r="AL275" s="92"/>
      <c r="AM275" s="92"/>
      <c r="AN275" s="92"/>
      <c r="AO275" s="92"/>
      <c r="AP275" s="92"/>
    </row>
    <row r="276" spans="3:42" x14ac:dyDescent="0.25">
      <c r="C276" s="91"/>
      <c r="D276"/>
      <c r="F276" s="23" t="s">
        <v>225</v>
      </c>
      <c r="G276" s="23" t="s">
        <v>329</v>
      </c>
      <c r="H276" s="23"/>
      <c r="I276" s="23"/>
      <c r="J276" s="104">
        <f>J$123 * J146</f>
        <v>0</v>
      </c>
      <c r="K276" s="104">
        <f t="shared" ref="K276:AB276" si="82">K$123 * K146</f>
        <v>0</v>
      </c>
      <c r="L276" s="104">
        <f t="shared" si="82"/>
        <v>0</v>
      </c>
      <c r="M276" s="104">
        <f t="shared" si="82"/>
        <v>0</v>
      </c>
      <c r="N276" s="104">
        <f t="shared" si="82"/>
        <v>0</v>
      </c>
      <c r="O276" s="104">
        <f t="shared" si="82"/>
        <v>0</v>
      </c>
      <c r="P276" s="104">
        <f t="shared" si="82"/>
        <v>0</v>
      </c>
      <c r="Q276" s="104">
        <f t="shared" si="82"/>
        <v>0</v>
      </c>
      <c r="R276" s="104">
        <f t="shared" si="82"/>
        <v>0</v>
      </c>
      <c r="S276" s="104">
        <f t="shared" si="82"/>
        <v>0</v>
      </c>
      <c r="T276" s="104">
        <f t="shared" si="82"/>
        <v>0</v>
      </c>
      <c r="U276" s="104">
        <f t="shared" si="82"/>
        <v>0</v>
      </c>
      <c r="V276" s="104">
        <f t="shared" si="82"/>
        <v>0</v>
      </c>
      <c r="W276" s="104">
        <f t="shared" si="82"/>
        <v>0</v>
      </c>
      <c r="X276" s="104">
        <f t="shared" si="82"/>
        <v>0</v>
      </c>
      <c r="Y276" s="104">
        <f t="shared" si="82"/>
        <v>0</v>
      </c>
      <c r="Z276" s="104">
        <f t="shared" si="82"/>
        <v>0</v>
      </c>
      <c r="AA276" s="104">
        <f t="shared" si="82"/>
        <v>0</v>
      </c>
      <c r="AB276" s="104">
        <f t="shared" si="82"/>
        <v>0</v>
      </c>
      <c r="AC276" s="83"/>
      <c r="AD276" s="83"/>
      <c r="AE276" s="83"/>
      <c r="AF276" s="83"/>
      <c r="AG276" s="83"/>
      <c r="AH276" s="83"/>
      <c r="AI276" s="83"/>
      <c r="AJ276" s="83"/>
      <c r="AK276" s="83"/>
      <c r="AL276" s="83"/>
      <c r="AM276" s="83"/>
      <c r="AN276" s="83"/>
      <c r="AO276" s="83"/>
      <c r="AP276" s="83"/>
    </row>
    <row r="277" spans="3:42" x14ac:dyDescent="0.25">
      <c r="C277" s="91"/>
      <c r="D277"/>
      <c r="F277" t="s">
        <v>227</v>
      </c>
      <c r="G277" t="s">
        <v>329</v>
      </c>
      <c r="J277" s="124">
        <f t="shared" ref="J277:AB277" si="83">J$123 * J147</f>
        <v>0</v>
      </c>
      <c r="K277" s="124">
        <f t="shared" si="83"/>
        <v>0</v>
      </c>
      <c r="L277" s="124">
        <f t="shared" si="83"/>
        <v>0</v>
      </c>
      <c r="M277" s="124">
        <f t="shared" si="83"/>
        <v>0</v>
      </c>
      <c r="N277" s="124">
        <f t="shared" si="83"/>
        <v>0</v>
      </c>
      <c r="O277" s="124">
        <f t="shared" si="83"/>
        <v>0</v>
      </c>
      <c r="P277" s="124">
        <f t="shared" si="83"/>
        <v>0</v>
      </c>
      <c r="Q277" s="124">
        <f t="shared" si="83"/>
        <v>0</v>
      </c>
      <c r="R277" s="124">
        <f t="shared" si="83"/>
        <v>0</v>
      </c>
      <c r="S277" s="124">
        <f t="shared" si="83"/>
        <v>0</v>
      </c>
      <c r="T277" s="124">
        <f t="shared" si="83"/>
        <v>0</v>
      </c>
      <c r="U277" s="124">
        <f t="shared" si="83"/>
        <v>0</v>
      </c>
      <c r="V277" s="124">
        <f t="shared" si="83"/>
        <v>0</v>
      </c>
      <c r="W277" s="124">
        <f t="shared" si="83"/>
        <v>0</v>
      </c>
      <c r="X277" s="124">
        <f t="shared" si="83"/>
        <v>0</v>
      </c>
      <c r="Y277" s="124">
        <f t="shared" si="83"/>
        <v>0</v>
      </c>
      <c r="Z277" s="124">
        <f t="shared" si="83"/>
        <v>0</v>
      </c>
      <c r="AA277" s="124">
        <f t="shared" si="83"/>
        <v>0</v>
      </c>
      <c r="AB277" s="124">
        <f t="shared" si="83"/>
        <v>0</v>
      </c>
      <c r="AC277" s="79"/>
      <c r="AD277" s="79"/>
      <c r="AE277" s="79"/>
      <c r="AF277" s="79"/>
      <c r="AG277" s="79"/>
      <c r="AH277" s="79"/>
      <c r="AI277" s="79"/>
      <c r="AJ277" s="79"/>
      <c r="AK277" s="79"/>
      <c r="AL277" s="79"/>
      <c r="AM277" s="79"/>
      <c r="AN277" s="79"/>
      <c r="AO277" s="79"/>
      <c r="AP277" s="79"/>
    </row>
    <row r="278" spans="3:42" x14ac:dyDescent="0.25">
      <c r="C278" s="91"/>
      <c r="D278"/>
      <c r="F278" t="s">
        <v>228</v>
      </c>
      <c r="G278" t="s">
        <v>329</v>
      </c>
      <c r="J278" s="124">
        <f t="shared" ref="J278:AB278" si="84">J$123 * J148</f>
        <v>0</v>
      </c>
      <c r="K278" s="124">
        <f t="shared" si="84"/>
        <v>0</v>
      </c>
      <c r="L278" s="124">
        <f t="shared" si="84"/>
        <v>0</v>
      </c>
      <c r="M278" s="124">
        <f t="shared" si="84"/>
        <v>0</v>
      </c>
      <c r="N278" s="124">
        <f t="shared" si="84"/>
        <v>0</v>
      </c>
      <c r="O278" s="124">
        <f t="shared" si="84"/>
        <v>0</v>
      </c>
      <c r="P278" s="124">
        <f t="shared" si="84"/>
        <v>0</v>
      </c>
      <c r="Q278" s="124">
        <f t="shared" si="84"/>
        <v>0</v>
      </c>
      <c r="R278" s="124">
        <f t="shared" si="84"/>
        <v>0</v>
      </c>
      <c r="S278" s="124">
        <f t="shared" si="84"/>
        <v>0</v>
      </c>
      <c r="T278" s="124">
        <f t="shared" si="84"/>
        <v>0</v>
      </c>
      <c r="U278" s="124">
        <f t="shared" si="84"/>
        <v>0</v>
      </c>
      <c r="V278" s="124">
        <f t="shared" si="84"/>
        <v>0</v>
      </c>
      <c r="W278" s="124">
        <f t="shared" si="84"/>
        <v>0</v>
      </c>
      <c r="X278" s="124">
        <f t="shared" si="84"/>
        <v>0</v>
      </c>
      <c r="Y278" s="124">
        <f t="shared" si="84"/>
        <v>0</v>
      </c>
      <c r="Z278" s="124">
        <f t="shared" si="84"/>
        <v>0</v>
      </c>
      <c r="AA278" s="124">
        <f t="shared" si="84"/>
        <v>0</v>
      </c>
      <c r="AB278" s="124">
        <f t="shared" si="84"/>
        <v>0</v>
      </c>
      <c r="AC278" s="79"/>
      <c r="AD278" s="79"/>
      <c r="AE278" s="79"/>
      <c r="AF278" s="79"/>
      <c r="AG278" s="79"/>
      <c r="AH278" s="79"/>
      <c r="AI278" s="79"/>
      <c r="AJ278" s="79"/>
      <c r="AK278" s="79"/>
      <c r="AL278" s="79"/>
      <c r="AM278" s="79"/>
      <c r="AN278" s="79"/>
      <c r="AO278" s="79"/>
      <c r="AP278" s="79"/>
    </row>
    <row r="279" spans="3:42" x14ac:dyDescent="0.25">
      <c r="C279" s="91"/>
      <c r="D279"/>
      <c r="F279" t="s">
        <v>229</v>
      </c>
      <c r="G279" t="s">
        <v>329</v>
      </c>
      <c r="J279" s="124">
        <f t="shared" ref="J279:AB279" si="85">J$123 * J149</f>
        <v>0</v>
      </c>
      <c r="K279" s="124">
        <f t="shared" si="85"/>
        <v>0</v>
      </c>
      <c r="L279" s="124">
        <f t="shared" si="85"/>
        <v>0</v>
      </c>
      <c r="M279" s="124">
        <f t="shared" si="85"/>
        <v>0</v>
      </c>
      <c r="N279" s="124">
        <f t="shared" si="85"/>
        <v>0</v>
      </c>
      <c r="O279" s="124">
        <f t="shared" si="85"/>
        <v>0</v>
      </c>
      <c r="P279" s="124">
        <f t="shared" si="85"/>
        <v>0</v>
      </c>
      <c r="Q279" s="124">
        <f t="shared" si="85"/>
        <v>0</v>
      </c>
      <c r="R279" s="124">
        <f t="shared" si="85"/>
        <v>0</v>
      </c>
      <c r="S279" s="124">
        <f t="shared" si="85"/>
        <v>0</v>
      </c>
      <c r="T279" s="124">
        <f t="shared" si="85"/>
        <v>0</v>
      </c>
      <c r="U279" s="124">
        <f t="shared" si="85"/>
        <v>0</v>
      </c>
      <c r="V279" s="124">
        <f t="shared" si="85"/>
        <v>0</v>
      </c>
      <c r="W279" s="124">
        <f t="shared" si="85"/>
        <v>0</v>
      </c>
      <c r="X279" s="124">
        <f t="shared" si="85"/>
        <v>0</v>
      </c>
      <c r="Y279" s="124">
        <f t="shared" si="85"/>
        <v>0</v>
      </c>
      <c r="Z279" s="124">
        <f t="shared" si="85"/>
        <v>0</v>
      </c>
      <c r="AA279" s="124">
        <f t="shared" si="85"/>
        <v>0</v>
      </c>
      <c r="AB279" s="124">
        <f t="shared" si="85"/>
        <v>0</v>
      </c>
      <c r="AC279" s="79"/>
      <c r="AD279" s="79"/>
      <c r="AE279" s="79"/>
      <c r="AF279" s="79"/>
      <c r="AG279" s="79"/>
      <c r="AH279" s="79"/>
      <c r="AI279" s="79"/>
      <c r="AJ279" s="79"/>
      <c r="AK279" s="79"/>
      <c r="AL279" s="79"/>
      <c r="AM279" s="79"/>
      <c r="AN279" s="79"/>
      <c r="AO279" s="79"/>
      <c r="AP279" s="79"/>
    </row>
    <row r="280" spans="3:42" x14ac:dyDescent="0.25">
      <c r="C280" s="91"/>
      <c r="D280"/>
      <c r="F280" t="s">
        <v>230</v>
      </c>
      <c r="G280" t="s">
        <v>329</v>
      </c>
      <c r="J280" s="124">
        <f t="shared" ref="J280:AB280" si="86">J$123 * J150</f>
        <v>0</v>
      </c>
      <c r="K280" s="124">
        <f t="shared" si="86"/>
        <v>0</v>
      </c>
      <c r="L280" s="124">
        <f t="shared" si="86"/>
        <v>0</v>
      </c>
      <c r="M280" s="124">
        <f t="shared" si="86"/>
        <v>0</v>
      </c>
      <c r="N280" s="124">
        <f t="shared" si="86"/>
        <v>0</v>
      </c>
      <c r="O280" s="124">
        <f t="shared" si="86"/>
        <v>0</v>
      </c>
      <c r="P280" s="124">
        <f t="shared" si="86"/>
        <v>0</v>
      </c>
      <c r="Q280" s="124">
        <f t="shared" si="86"/>
        <v>0</v>
      </c>
      <c r="R280" s="124">
        <f t="shared" si="86"/>
        <v>0.30596205351779326</v>
      </c>
      <c r="S280" s="124">
        <f t="shared" si="86"/>
        <v>0</v>
      </c>
      <c r="T280" s="124">
        <f t="shared" si="86"/>
        <v>0</v>
      </c>
      <c r="U280" s="124">
        <f t="shared" si="86"/>
        <v>0</v>
      </c>
      <c r="V280" s="124">
        <f t="shared" si="86"/>
        <v>0</v>
      </c>
      <c r="W280" s="124">
        <f t="shared" si="86"/>
        <v>0</v>
      </c>
      <c r="X280" s="124">
        <f t="shared" si="86"/>
        <v>0</v>
      </c>
      <c r="Y280" s="124">
        <f t="shared" si="86"/>
        <v>0</v>
      </c>
      <c r="Z280" s="124">
        <f t="shared" si="86"/>
        <v>0</v>
      </c>
      <c r="AA280" s="124">
        <f t="shared" si="86"/>
        <v>0</v>
      </c>
      <c r="AB280" s="124">
        <f t="shared" si="86"/>
        <v>0</v>
      </c>
      <c r="AC280" s="79"/>
      <c r="AD280" s="79"/>
      <c r="AE280" s="79"/>
      <c r="AF280" s="79"/>
      <c r="AG280" s="79"/>
      <c r="AH280" s="79"/>
      <c r="AI280" s="79"/>
      <c r="AJ280" s="79"/>
      <c r="AK280" s="79"/>
      <c r="AL280" s="79"/>
      <c r="AM280" s="79"/>
      <c r="AN280" s="79"/>
      <c r="AO280" s="79"/>
      <c r="AP280" s="79"/>
    </row>
    <row r="281" spans="3:42" x14ac:dyDescent="0.25">
      <c r="C281" s="91"/>
      <c r="D281"/>
      <c r="F281" t="s">
        <v>231</v>
      </c>
      <c r="G281" t="s">
        <v>329</v>
      </c>
      <c r="J281" s="124">
        <f t="shared" ref="J281:AB281" si="87">J$123 * J151</f>
        <v>0</v>
      </c>
      <c r="K281" s="124">
        <f t="shared" si="87"/>
        <v>0</v>
      </c>
      <c r="L281" s="124">
        <f t="shared" si="87"/>
        <v>0</v>
      </c>
      <c r="M281" s="124">
        <f t="shared" si="87"/>
        <v>0</v>
      </c>
      <c r="N281" s="124">
        <f t="shared" si="87"/>
        <v>0</v>
      </c>
      <c r="O281" s="124">
        <f t="shared" si="87"/>
        <v>0</v>
      </c>
      <c r="P281" s="124">
        <f t="shared" si="87"/>
        <v>0</v>
      </c>
      <c r="Q281" s="124">
        <f t="shared" si="87"/>
        <v>0</v>
      </c>
      <c r="R281" s="124">
        <f t="shared" si="87"/>
        <v>1.3841666779358266</v>
      </c>
      <c r="S281" s="124">
        <f t="shared" si="87"/>
        <v>0</v>
      </c>
      <c r="T281" s="124">
        <f t="shared" si="87"/>
        <v>0</v>
      </c>
      <c r="U281" s="124">
        <f t="shared" si="87"/>
        <v>0</v>
      </c>
      <c r="V281" s="124">
        <f t="shared" si="87"/>
        <v>0</v>
      </c>
      <c r="W281" s="124">
        <f t="shared" si="87"/>
        <v>0</v>
      </c>
      <c r="X281" s="124">
        <f t="shared" si="87"/>
        <v>0</v>
      </c>
      <c r="Y281" s="124">
        <f t="shared" si="87"/>
        <v>0</v>
      </c>
      <c r="Z281" s="124">
        <f t="shared" si="87"/>
        <v>0</v>
      </c>
      <c r="AA281" s="124">
        <f t="shared" si="87"/>
        <v>0</v>
      </c>
      <c r="AB281" s="124">
        <f t="shared" si="87"/>
        <v>0</v>
      </c>
      <c r="AC281" s="79"/>
      <c r="AD281" s="79"/>
      <c r="AE281" s="79"/>
      <c r="AF281" s="79"/>
      <c r="AG281" s="79"/>
      <c r="AH281" s="79"/>
      <c r="AI281" s="79"/>
      <c r="AJ281" s="79"/>
      <c r="AK281" s="79"/>
      <c r="AL281" s="79"/>
      <c r="AM281" s="79"/>
      <c r="AN281" s="79"/>
      <c r="AO281" s="79"/>
      <c r="AP281" s="79"/>
    </row>
    <row r="282" spans="3:42" x14ac:dyDescent="0.25">
      <c r="C282" s="91"/>
      <c r="D282"/>
      <c r="F282" t="s">
        <v>232</v>
      </c>
      <c r="G282" t="s">
        <v>329</v>
      </c>
      <c r="J282" s="124">
        <f t="shared" ref="J282:AB282" si="88">J$123 * J152</f>
        <v>0</v>
      </c>
      <c r="K282" s="124">
        <f t="shared" si="88"/>
        <v>0</v>
      </c>
      <c r="L282" s="124">
        <f t="shared" si="88"/>
        <v>0</v>
      </c>
      <c r="M282" s="124">
        <f t="shared" si="88"/>
        <v>0</v>
      </c>
      <c r="N282" s="124">
        <f t="shared" si="88"/>
        <v>0</v>
      </c>
      <c r="O282" s="124">
        <f t="shared" si="88"/>
        <v>0</v>
      </c>
      <c r="P282" s="124">
        <f t="shared" si="88"/>
        <v>0</v>
      </c>
      <c r="Q282" s="124">
        <f t="shared" si="88"/>
        <v>0</v>
      </c>
      <c r="R282" s="124">
        <f t="shared" si="88"/>
        <v>0</v>
      </c>
      <c r="S282" s="124">
        <f t="shared" si="88"/>
        <v>0</v>
      </c>
      <c r="T282" s="124">
        <f t="shared" si="88"/>
        <v>0</v>
      </c>
      <c r="U282" s="124">
        <f t="shared" si="88"/>
        <v>0</v>
      </c>
      <c r="V282" s="124">
        <f t="shared" si="88"/>
        <v>0</v>
      </c>
      <c r="W282" s="124">
        <f t="shared" si="88"/>
        <v>0</v>
      </c>
      <c r="X282" s="124">
        <f t="shared" si="88"/>
        <v>0</v>
      </c>
      <c r="Y282" s="124">
        <f t="shared" si="88"/>
        <v>0</v>
      </c>
      <c r="Z282" s="124">
        <f t="shared" si="88"/>
        <v>0</v>
      </c>
      <c r="AA282" s="124">
        <f t="shared" si="88"/>
        <v>0</v>
      </c>
      <c r="AB282" s="124">
        <f t="shared" si="88"/>
        <v>0</v>
      </c>
      <c r="AC282" s="79"/>
      <c r="AD282" s="79"/>
      <c r="AE282" s="79"/>
      <c r="AF282" s="79"/>
      <c r="AG282" s="79"/>
      <c r="AH282" s="79"/>
      <c r="AI282" s="79"/>
      <c r="AJ282" s="79"/>
      <c r="AK282" s="79"/>
      <c r="AL282" s="79"/>
      <c r="AM282" s="79"/>
      <c r="AN282" s="79"/>
      <c r="AO282" s="79"/>
      <c r="AP282" s="79"/>
    </row>
    <row r="283" spans="3:42" x14ac:dyDescent="0.25">
      <c r="C283" s="91"/>
      <c r="D283"/>
      <c r="F283" t="s">
        <v>233</v>
      </c>
      <c r="G283" t="s">
        <v>329</v>
      </c>
      <c r="J283" s="124">
        <f t="shared" ref="J283:AB283" si="89">J$123 * J153</f>
        <v>0</v>
      </c>
      <c r="K283" s="124">
        <f t="shared" si="89"/>
        <v>0</v>
      </c>
      <c r="L283" s="124">
        <f t="shared" si="89"/>
        <v>0</v>
      </c>
      <c r="M283" s="124">
        <f t="shared" si="89"/>
        <v>0</v>
      </c>
      <c r="N283" s="124">
        <f t="shared" si="89"/>
        <v>0</v>
      </c>
      <c r="O283" s="124">
        <f t="shared" si="89"/>
        <v>0</v>
      </c>
      <c r="P283" s="124">
        <f t="shared" si="89"/>
        <v>0</v>
      </c>
      <c r="Q283" s="124">
        <f t="shared" si="89"/>
        <v>0</v>
      </c>
      <c r="R283" s="124">
        <f t="shared" si="89"/>
        <v>3.7225699529531289</v>
      </c>
      <c r="S283" s="124">
        <f t="shared" si="89"/>
        <v>0</v>
      </c>
      <c r="T283" s="124">
        <f t="shared" si="89"/>
        <v>0</v>
      </c>
      <c r="U283" s="124">
        <f t="shared" si="89"/>
        <v>0</v>
      </c>
      <c r="V283" s="124">
        <f t="shared" si="89"/>
        <v>0</v>
      </c>
      <c r="W283" s="124">
        <f t="shared" si="89"/>
        <v>0</v>
      </c>
      <c r="X283" s="124">
        <f t="shared" si="89"/>
        <v>0</v>
      </c>
      <c r="Y283" s="124">
        <f t="shared" si="89"/>
        <v>0</v>
      </c>
      <c r="Z283" s="124">
        <f t="shared" si="89"/>
        <v>0</v>
      </c>
      <c r="AA283" s="124">
        <f t="shared" si="89"/>
        <v>0</v>
      </c>
      <c r="AB283" s="124">
        <f t="shared" si="89"/>
        <v>0</v>
      </c>
      <c r="AC283" s="79"/>
      <c r="AD283" s="79"/>
      <c r="AE283" s="79"/>
      <c r="AF283" s="79"/>
      <c r="AG283" s="79"/>
      <c r="AH283" s="79"/>
      <c r="AI283" s="79"/>
      <c r="AJ283" s="79"/>
      <c r="AK283" s="79"/>
      <c r="AL283" s="79"/>
      <c r="AM283" s="79"/>
      <c r="AN283" s="79"/>
      <c r="AO283" s="79"/>
      <c r="AP283" s="79"/>
    </row>
    <row r="284" spans="3:42" x14ac:dyDescent="0.25">
      <c r="C284" s="91"/>
      <c r="D284"/>
      <c r="F284" t="s">
        <v>234</v>
      </c>
      <c r="G284" t="s">
        <v>329</v>
      </c>
      <c r="J284" s="124">
        <f t="shared" ref="J284:AB284" si="90">J$123 * J154</f>
        <v>0</v>
      </c>
      <c r="K284" s="124">
        <f t="shared" si="90"/>
        <v>0</v>
      </c>
      <c r="L284" s="124">
        <f t="shared" si="90"/>
        <v>0</v>
      </c>
      <c r="M284" s="124">
        <f t="shared" si="90"/>
        <v>0</v>
      </c>
      <c r="N284" s="124">
        <f t="shared" si="90"/>
        <v>0</v>
      </c>
      <c r="O284" s="124">
        <f t="shared" si="90"/>
        <v>0</v>
      </c>
      <c r="P284" s="124">
        <f t="shared" si="90"/>
        <v>0</v>
      </c>
      <c r="Q284" s="124">
        <f t="shared" si="90"/>
        <v>0.92058689350217082</v>
      </c>
      <c r="R284" s="124">
        <f t="shared" si="90"/>
        <v>0</v>
      </c>
      <c r="S284" s="124">
        <f t="shared" si="90"/>
        <v>0</v>
      </c>
      <c r="T284" s="124">
        <f t="shared" si="90"/>
        <v>0</v>
      </c>
      <c r="U284" s="124">
        <f t="shared" si="90"/>
        <v>0</v>
      </c>
      <c r="V284" s="124">
        <f t="shared" si="90"/>
        <v>0</v>
      </c>
      <c r="W284" s="124">
        <f t="shared" si="90"/>
        <v>0</v>
      </c>
      <c r="X284" s="124">
        <f t="shared" si="90"/>
        <v>0</v>
      </c>
      <c r="Y284" s="124">
        <f t="shared" si="90"/>
        <v>0</v>
      </c>
      <c r="Z284" s="124">
        <f t="shared" si="90"/>
        <v>0</v>
      </c>
      <c r="AA284" s="124">
        <f t="shared" si="90"/>
        <v>0</v>
      </c>
      <c r="AB284" s="124">
        <f t="shared" si="90"/>
        <v>0</v>
      </c>
      <c r="AC284" s="79"/>
      <c r="AD284" s="79"/>
      <c r="AE284" s="79"/>
      <c r="AF284" s="79"/>
      <c r="AG284" s="79"/>
      <c r="AH284" s="79"/>
      <c r="AI284" s="79"/>
      <c r="AJ284" s="79"/>
      <c r="AK284" s="79"/>
      <c r="AL284" s="79"/>
      <c r="AM284" s="79"/>
      <c r="AN284" s="79"/>
      <c r="AO284" s="79"/>
      <c r="AP284" s="79"/>
    </row>
    <row r="285" spans="3:42" x14ac:dyDescent="0.25">
      <c r="C285" s="91"/>
      <c r="D285"/>
      <c r="F285" t="s">
        <v>235</v>
      </c>
      <c r="G285" t="s">
        <v>329</v>
      </c>
      <c r="J285" s="124">
        <f t="shared" ref="J285:AB285" si="91">J$123 * J155</f>
        <v>2.0930483819943402</v>
      </c>
      <c r="K285" s="124">
        <f t="shared" si="91"/>
        <v>2.0930483819943402</v>
      </c>
      <c r="L285" s="124">
        <f t="shared" si="91"/>
        <v>0</v>
      </c>
      <c r="M285" s="124">
        <f t="shared" si="91"/>
        <v>2.0930483819943402</v>
      </c>
      <c r="N285" s="124">
        <f t="shared" si="91"/>
        <v>2.0930483819943402</v>
      </c>
      <c r="O285" s="124">
        <f t="shared" si="91"/>
        <v>0</v>
      </c>
      <c r="P285" s="124">
        <f t="shared" si="91"/>
        <v>2.0930483819943402</v>
      </c>
      <c r="Q285" s="124">
        <f t="shared" si="91"/>
        <v>0</v>
      </c>
      <c r="R285" s="124">
        <f t="shared" si="91"/>
        <v>0</v>
      </c>
      <c r="S285" s="124">
        <f t="shared" si="91"/>
        <v>2.0930483819943402</v>
      </c>
      <c r="T285" s="124">
        <f t="shared" si="91"/>
        <v>2.0930483819943402</v>
      </c>
      <c r="U285" s="124">
        <f t="shared" si="91"/>
        <v>0</v>
      </c>
      <c r="V285" s="124">
        <f t="shared" si="91"/>
        <v>0</v>
      </c>
      <c r="W285" s="124">
        <f t="shared" si="91"/>
        <v>0</v>
      </c>
      <c r="X285" s="124">
        <f t="shared" si="91"/>
        <v>0</v>
      </c>
      <c r="Y285" s="124">
        <f t="shared" si="91"/>
        <v>0</v>
      </c>
      <c r="Z285" s="124">
        <f t="shared" si="91"/>
        <v>0</v>
      </c>
      <c r="AA285" s="124">
        <f t="shared" si="91"/>
        <v>0</v>
      </c>
      <c r="AB285" s="124">
        <f t="shared" si="91"/>
        <v>0</v>
      </c>
      <c r="AC285" s="79"/>
      <c r="AD285" s="79"/>
      <c r="AE285" s="79"/>
      <c r="AF285" s="79"/>
      <c r="AG285" s="79"/>
      <c r="AH285" s="79"/>
      <c r="AI285" s="79"/>
      <c r="AJ285" s="79"/>
      <c r="AK285" s="79"/>
      <c r="AL285" s="79"/>
      <c r="AM285" s="79"/>
      <c r="AN285" s="79"/>
      <c r="AO285" s="79"/>
      <c r="AP285" s="79"/>
    </row>
    <row r="286" spans="3:42" x14ac:dyDescent="0.25">
      <c r="C286" s="91"/>
      <c r="D286"/>
      <c r="F286" t="s">
        <v>436</v>
      </c>
      <c r="G286" t="s">
        <v>329</v>
      </c>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79"/>
      <c r="AL286" s="79"/>
      <c r="AM286" s="79"/>
      <c r="AN286" s="79"/>
      <c r="AO286" s="79"/>
      <c r="AP286" s="79"/>
    </row>
    <row r="287" spans="3:42" x14ac:dyDescent="0.25">
      <c r="C287" s="91"/>
      <c r="D287"/>
      <c r="F287" s="37" t="s">
        <v>437</v>
      </c>
      <c r="G287" s="37" t="s">
        <v>329</v>
      </c>
      <c r="H287" s="37"/>
      <c r="I287" s="37"/>
      <c r="J287" s="81"/>
      <c r="K287" s="81"/>
      <c r="L287" s="81"/>
      <c r="M287" s="81"/>
      <c r="N287" s="81"/>
      <c r="O287" s="81"/>
      <c r="P287" s="81"/>
      <c r="Q287" s="81"/>
      <c r="R287" s="81"/>
      <c r="S287" s="81"/>
      <c r="T287" s="81"/>
      <c r="U287" s="81"/>
      <c r="V287" s="81"/>
      <c r="W287" s="81"/>
      <c r="X287" s="81"/>
      <c r="Y287" s="81"/>
      <c r="Z287" s="81"/>
      <c r="AA287" s="81"/>
      <c r="AB287" s="81"/>
      <c r="AC287" s="81"/>
      <c r="AD287" s="81"/>
      <c r="AE287" s="81"/>
      <c r="AF287" s="81"/>
      <c r="AG287" s="81"/>
      <c r="AH287" s="81"/>
      <c r="AI287" s="81"/>
      <c r="AJ287" s="81"/>
      <c r="AK287" s="81"/>
      <c r="AL287" s="81"/>
      <c r="AM287" s="81"/>
      <c r="AN287" s="81"/>
      <c r="AO287" s="81"/>
      <c r="AP287" s="81"/>
    </row>
    <row r="288" spans="3:42" x14ac:dyDescent="0.25">
      <c r="C288" s="91"/>
    </row>
    <row r="289" spans="2:44" x14ac:dyDescent="0.25">
      <c r="B289" s="30" t="s">
        <v>280</v>
      </c>
      <c r="C289" s="30"/>
      <c r="D289" s="30"/>
      <c r="E289" s="30"/>
      <c r="F289" s="30"/>
      <c r="G289" s="30"/>
      <c r="H289" s="30"/>
      <c r="I289" s="30"/>
      <c r="J289" s="30"/>
      <c r="K289" s="30"/>
      <c r="L289" s="30"/>
      <c r="M289" s="30"/>
      <c r="N289" s="30"/>
      <c r="O289" s="30"/>
      <c r="P289" s="30"/>
      <c r="Q289" s="30"/>
      <c r="R289" s="30"/>
      <c r="S289" s="30"/>
      <c r="T289" s="30"/>
      <c r="U289" s="30"/>
      <c r="V289" s="30"/>
      <c r="W289" s="30"/>
      <c r="X289" s="30"/>
      <c r="Y289" s="30"/>
      <c r="Z289" s="30"/>
      <c r="AA289" s="30"/>
      <c r="AB289" s="30"/>
      <c r="AC289" s="30"/>
      <c r="AD289" s="30"/>
      <c r="AE289" s="30"/>
      <c r="AF289" s="30"/>
      <c r="AG289" s="30"/>
      <c r="AH289" s="30"/>
      <c r="AI289" s="30"/>
      <c r="AJ289" s="30"/>
      <c r="AK289" s="30"/>
      <c r="AL289" s="30"/>
      <c r="AM289" s="30"/>
      <c r="AN289" s="30"/>
      <c r="AO289" s="30"/>
      <c r="AP289" s="30"/>
      <c r="AQ289" s="30"/>
      <c r="AR289" s="30"/>
    </row>
    <row r="291" spans="2:44" x14ac:dyDescent="0.25">
      <c r="C291" s="91"/>
      <c r="E291" t="s">
        <v>281</v>
      </c>
      <c r="G291" s="6" t="s">
        <v>56</v>
      </c>
      <c r="H291" s="204">
        <f t="array" ref="H291">SUM(IF(ISERROR(H51:AP287), 1))</f>
        <v>0</v>
      </c>
    </row>
    <row r="293" spans="2:44" x14ac:dyDescent="0.25">
      <c r="E293" t="s">
        <v>840</v>
      </c>
      <c r="G293" s="6" t="s">
        <v>56</v>
      </c>
      <c r="H293" s="204">
        <f>SUM(J293:AP293)</f>
        <v>0</v>
      </c>
      <c r="J293" s="204">
        <f>IF(J121 + J123 &lt; 2, 0, 1)</f>
        <v>0</v>
      </c>
      <c r="K293" s="204">
        <f t="shared" ref="K293:AP293" si="92">IF(K121 + K123 &lt; 2, 0, 1)</f>
        <v>0</v>
      </c>
      <c r="L293" s="204">
        <f t="shared" si="92"/>
        <v>0</v>
      </c>
      <c r="M293" s="204">
        <f t="shared" si="92"/>
        <v>0</v>
      </c>
      <c r="N293" s="204">
        <f t="shared" si="92"/>
        <v>0</v>
      </c>
      <c r="O293" s="204">
        <f t="shared" si="92"/>
        <v>0</v>
      </c>
      <c r="P293" s="204">
        <f t="shared" si="92"/>
        <v>0</v>
      </c>
      <c r="Q293" s="204">
        <f t="shared" si="92"/>
        <v>0</v>
      </c>
      <c r="R293" s="204">
        <f t="shared" si="92"/>
        <v>0</v>
      </c>
      <c r="S293" s="204">
        <f t="shared" si="92"/>
        <v>0</v>
      </c>
      <c r="T293" s="204">
        <f t="shared" si="92"/>
        <v>0</v>
      </c>
      <c r="U293" s="204">
        <f t="shared" si="92"/>
        <v>0</v>
      </c>
      <c r="V293" s="204">
        <f t="shared" si="92"/>
        <v>0</v>
      </c>
      <c r="W293" s="204">
        <f t="shared" si="92"/>
        <v>0</v>
      </c>
      <c r="X293" s="204">
        <f t="shared" si="92"/>
        <v>0</v>
      </c>
      <c r="Y293" s="204">
        <f t="shared" si="92"/>
        <v>0</v>
      </c>
      <c r="Z293" s="204">
        <f t="shared" si="92"/>
        <v>0</v>
      </c>
      <c r="AA293" s="204">
        <f t="shared" si="92"/>
        <v>0</v>
      </c>
      <c r="AB293" s="204">
        <f t="shared" si="92"/>
        <v>0</v>
      </c>
      <c r="AC293" s="204">
        <f t="shared" si="92"/>
        <v>0</v>
      </c>
      <c r="AD293" s="204">
        <f t="shared" si="92"/>
        <v>0</v>
      </c>
      <c r="AE293" s="204">
        <f t="shared" si="92"/>
        <v>0</v>
      </c>
      <c r="AF293" s="204">
        <f t="shared" si="92"/>
        <v>0</v>
      </c>
      <c r="AG293" s="204">
        <f t="shared" si="92"/>
        <v>0</v>
      </c>
      <c r="AH293" s="204">
        <f t="shared" si="92"/>
        <v>0</v>
      </c>
      <c r="AI293" s="204">
        <f t="shared" si="92"/>
        <v>0</v>
      </c>
      <c r="AJ293" s="204">
        <f t="shared" si="92"/>
        <v>0</v>
      </c>
      <c r="AK293" s="204">
        <f t="shared" si="92"/>
        <v>0</v>
      </c>
      <c r="AL293" s="204">
        <f t="shared" si="92"/>
        <v>0</v>
      </c>
      <c r="AM293" s="204">
        <f t="shared" si="92"/>
        <v>0</v>
      </c>
      <c r="AN293" s="204">
        <f t="shared" si="92"/>
        <v>0</v>
      </c>
      <c r="AO293" s="204">
        <f t="shared" si="92"/>
        <v>0</v>
      </c>
      <c r="AP293" s="204">
        <f t="shared" si="92"/>
        <v>0</v>
      </c>
    </row>
    <row r="295" spans="2:44" x14ac:dyDescent="0.25">
      <c r="C295" s="91"/>
      <c r="E295" t="s">
        <v>289</v>
      </c>
      <c r="G295" s="6" t="s">
        <v>56</v>
      </c>
      <c r="H295" s="26">
        <f>H291 + H293</f>
        <v>0</v>
      </c>
    </row>
    <row r="297" spans="2:44" x14ac:dyDescent="0.25">
      <c r="B297" s="30" t="s">
        <v>107</v>
      </c>
      <c r="C297" s="30"/>
      <c r="D297" s="30"/>
      <c r="E297" s="30"/>
      <c r="F297" s="30"/>
      <c r="G297" s="30"/>
      <c r="H297" s="30"/>
      <c r="I297" s="30"/>
      <c r="J297" s="30"/>
      <c r="K297" s="30"/>
      <c r="L297" s="30"/>
      <c r="M297" s="30"/>
      <c r="N297" s="30"/>
      <c r="O297" s="30"/>
      <c r="P297" s="30"/>
      <c r="Q297" s="30"/>
      <c r="R297" s="30"/>
      <c r="S297" s="30"/>
      <c r="T297" s="30"/>
      <c r="U297" s="30"/>
      <c r="V297" s="30"/>
      <c r="W297" s="30"/>
      <c r="X297" s="30"/>
      <c r="Y297" s="30"/>
      <c r="Z297" s="30"/>
      <c r="AA297" s="30"/>
      <c r="AB297" s="30"/>
      <c r="AC297" s="30"/>
      <c r="AD297" s="30"/>
      <c r="AE297" s="30"/>
      <c r="AF297" s="30"/>
      <c r="AG297" s="30"/>
      <c r="AH297" s="30"/>
      <c r="AI297" s="30"/>
      <c r="AJ297" s="30"/>
      <c r="AK297" s="30"/>
      <c r="AL297" s="30"/>
      <c r="AM297" s="30"/>
      <c r="AN297" s="30"/>
      <c r="AO297" s="30"/>
      <c r="AP297" s="30"/>
      <c r="AQ297" s="30"/>
      <c r="AR297" s="30"/>
    </row>
  </sheetData>
  <sheetProtection sheet="1" objects="1" formatCells="0" formatColumns="0" formatRows="0" sort="0" autoFilter="0"/>
  <conditionalFormatting sqref="H291">
    <cfRule type="cellIs" dxfId="19" priority="5" operator="greaterThan">
      <formula>0</formula>
    </cfRule>
  </conditionalFormatting>
  <conditionalFormatting sqref="H293">
    <cfRule type="cellIs" dxfId="18" priority="4" operator="greaterThan">
      <formula>0</formula>
    </cfRule>
  </conditionalFormatting>
  <conditionalFormatting sqref="J293:AP293">
    <cfRule type="cellIs" dxfId="17" priority="3" operator="greaterThan">
      <formula>0</formula>
    </cfRule>
  </conditionalFormatting>
  <conditionalFormatting sqref="H295">
    <cfRule type="cellIs" dxfId="16" priority="2" operator="greaterThan">
      <formula>0</formula>
    </cfRule>
  </conditionalFormatting>
  <conditionalFormatting sqref="A4:XFD4">
    <cfRule type="expression" dxfId="15"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tabColor theme="4" tint="0.59999389629810485"/>
    <pageSetUpPr fitToPage="1"/>
  </sheetPr>
  <dimension ref="A1:KJ16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296" width="24.5703125" hidden="1" customWidth="1"/>
    <col min="297" max="16384" width="8.5703125" hidden="1"/>
  </cols>
  <sheetData>
    <row r="1" spans="1:44" s="1" customFormat="1" x14ac:dyDescent="0.25">
      <c r="A1" s="1" t="str">
        <f ca="1">MID(CELL("filename",A1),FIND("]",CELL("filename",A1))+1,255)</f>
        <v>Fixed charges</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H165 &amp; IF(H165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D9" s="29" t="s">
        <v>841</v>
      </c>
      <c r="E9"/>
    </row>
    <row r="10" spans="1:44" x14ac:dyDescent="0.25">
      <c r="D10" s="94" t="s">
        <v>842</v>
      </c>
      <c r="E10"/>
    </row>
    <row r="11" spans="1:44" x14ac:dyDescent="0.25">
      <c r="D11" s="29" t="s">
        <v>843</v>
      </c>
      <c r="E11"/>
    </row>
    <row r="12" spans="1:44" x14ac:dyDescent="0.25">
      <c r="D12" s="94" t="s">
        <v>844</v>
      </c>
      <c r="E12"/>
    </row>
    <row r="14" spans="1:44" x14ac:dyDescent="0.25">
      <c r="B14" s="30" t="s">
        <v>845</v>
      </c>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c r="AJ14" s="30"/>
      <c r="AK14" s="30"/>
      <c r="AL14" s="30"/>
      <c r="AM14" s="30"/>
      <c r="AN14" s="30"/>
      <c r="AO14" s="30"/>
      <c r="AP14" s="30"/>
      <c r="AQ14" s="30"/>
      <c r="AR14" s="30"/>
    </row>
    <row r="16" spans="1:44" x14ac:dyDescent="0.25">
      <c r="C16" s="31" t="str">
        <f ca="1">INDEX('Version control'!$H$34:$H$56,MATCH($A$1,'Version control'!$F$34:$F$56,0),1)&amp;"-A: Volumes (discounted MPANs &amp; maximum load)"</f>
        <v>Section 114-A: Volumes (discounted MPANs &amp; maximum load)</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7" spans="3:44" x14ac:dyDescent="0.25">
      <c r="D17"/>
      <c r="E17" s="32"/>
      <c r="I17" t="s">
        <v>190</v>
      </c>
      <c r="AR17" t="s">
        <v>846</v>
      </c>
    </row>
    <row r="18" spans="3:44" x14ac:dyDescent="0.25">
      <c r="C18" s="91"/>
      <c r="E18" t="s">
        <v>661</v>
      </c>
      <c r="G18" t="s">
        <v>248</v>
      </c>
      <c r="J18" s="123">
        <f>'Volume adjustments'!J103</f>
        <v>648027.97230304021</v>
      </c>
      <c r="K18" s="123">
        <f>'Volume adjustments'!K103</f>
        <v>62348.292383718399</v>
      </c>
      <c r="L18" s="123">
        <f>'Volume adjustments'!L103</f>
        <v>74712.24696844838</v>
      </c>
      <c r="M18" s="123">
        <f>'Volume adjustments'!M103</f>
        <v>62025.622806435131</v>
      </c>
      <c r="N18" s="123">
        <f>'Volume adjustments'!N103</f>
        <v>10120.901457473723</v>
      </c>
      <c r="O18" s="123">
        <f>'Volume adjustments'!O103</f>
        <v>2439.6302539687426</v>
      </c>
      <c r="P18" s="123">
        <f>'Volume adjustments'!P103</f>
        <v>408.11128582133045</v>
      </c>
      <c r="Q18" s="123">
        <f>'Volume adjustments'!Q103</f>
        <v>0</v>
      </c>
      <c r="R18" s="123">
        <f>'Volume adjustments'!R103</f>
        <v>1</v>
      </c>
      <c r="S18" s="123">
        <f>'Volume adjustments'!S103</f>
        <v>72.364170019668492</v>
      </c>
      <c r="T18" s="123">
        <f>'Volume adjustments'!T103</f>
        <v>972.04369291698447</v>
      </c>
      <c r="U18" s="123">
        <f>'Volume adjustments'!U103</f>
        <v>6693.2392036845376</v>
      </c>
      <c r="V18" s="123">
        <f>'Volume adjustments'!V103</f>
        <v>90.355381823885764</v>
      </c>
      <c r="W18" s="123">
        <f>'Volume adjustments'!W103</f>
        <v>723.15193655095402</v>
      </c>
      <c r="X18" s="123">
        <f>'Volume adjustments'!X103</f>
        <v>261</v>
      </c>
      <c r="Y18" s="123">
        <f>'Volume adjustments'!Y103</f>
        <v>2330.1701467704784</v>
      </c>
      <c r="Z18" s="123">
        <f>'Volume adjustments'!Z103</f>
        <v>1406</v>
      </c>
      <c r="AA18" s="123">
        <f>'Volume adjustments'!AA103</f>
        <v>6</v>
      </c>
      <c r="AB18" s="123">
        <f>'Volume adjustments'!AB103</f>
        <v>14</v>
      </c>
      <c r="AC18" s="123">
        <f>'Volume adjustments'!AC103</f>
        <v>404.27777777777777</v>
      </c>
      <c r="AD18" s="123">
        <f>'Volume adjustments'!AD103</f>
        <v>0</v>
      </c>
      <c r="AE18" s="123">
        <f>'Volume adjustments'!AE103</f>
        <v>779.57731074699097</v>
      </c>
      <c r="AF18" s="123">
        <f>'Volume adjustments'!AF103</f>
        <v>0</v>
      </c>
      <c r="AG18" s="123">
        <f>'Volume adjustments'!AG103</f>
        <v>44.041666727513075</v>
      </c>
      <c r="AH18" s="123">
        <f>'Volume adjustments'!AH103</f>
        <v>0</v>
      </c>
      <c r="AI18" s="123">
        <f>'Volume adjustments'!AI103</f>
        <v>2</v>
      </c>
      <c r="AJ18" s="123">
        <f>'Volume adjustments'!AJ103</f>
        <v>0</v>
      </c>
      <c r="AK18" s="123">
        <f>'Volume adjustments'!AK103</f>
        <v>0</v>
      </c>
      <c r="AL18" s="123">
        <f>'Volume adjustments'!AL103</f>
        <v>0</v>
      </c>
      <c r="AM18" s="123">
        <f>'Volume adjustments'!AM103</f>
        <v>293</v>
      </c>
      <c r="AN18" s="123">
        <f>'Volume adjustments'!AN103</f>
        <v>0</v>
      </c>
      <c r="AO18" s="123">
        <f>'Volume adjustments'!AO103</f>
        <v>100</v>
      </c>
      <c r="AP18" s="123">
        <f>'Volume adjustments'!AP103</f>
        <v>0</v>
      </c>
    </row>
    <row r="19" spans="3:44" x14ac:dyDescent="0.25">
      <c r="C19" s="91"/>
      <c r="E19"/>
      <c r="J19" s="123"/>
      <c r="K19" s="123"/>
      <c r="L19" s="123"/>
      <c r="M19" s="123"/>
      <c r="N19" s="123"/>
      <c r="O19" s="123"/>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row>
    <row r="20" spans="3:44" x14ac:dyDescent="0.25">
      <c r="C20" s="91"/>
      <c r="E20" t="s">
        <v>548</v>
      </c>
      <c r="G20" t="s">
        <v>208</v>
      </c>
      <c r="H20" s="63"/>
      <c r="J20" s="123">
        <f>'System peak demand'!J200</f>
        <v>648.79162720860757</v>
      </c>
      <c r="K20" s="123">
        <f>'System peak demand'!K200</f>
        <v>151.15829586774899</v>
      </c>
      <c r="L20" s="123">
        <f>'System peak demand'!L200</f>
        <v>253.1453441613065</v>
      </c>
      <c r="M20" s="123">
        <f>'System peak demand'!M200</f>
        <v>258.4684167330704</v>
      </c>
      <c r="N20" s="123">
        <f>'System peak demand'!N200</f>
        <v>60.831420962722191</v>
      </c>
      <c r="O20" s="123">
        <f>'System peak demand'!O200</f>
        <v>14.407461745004731</v>
      </c>
      <c r="P20" s="123">
        <f>'System peak demand'!P200</f>
        <v>10.360140495610143</v>
      </c>
      <c r="Q20" s="123">
        <f>'System peak demand'!Q200</f>
        <v>0</v>
      </c>
      <c r="R20" s="123">
        <f>'System peak demand'!R200</f>
        <v>0.19961919303429873</v>
      </c>
      <c r="S20" s="123">
        <f>'System peak demand'!S200</f>
        <v>0.13903260336676321</v>
      </c>
      <c r="T20" s="123">
        <f>'System peak demand'!T200</f>
        <v>21.123529180657041</v>
      </c>
      <c r="U20" s="123">
        <f>'System peak demand'!U200</f>
        <v>317.59316182807214</v>
      </c>
      <c r="V20" s="123">
        <f>'System peak demand'!V200</f>
        <v>21.223011889144445</v>
      </c>
      <c r="W20" s="123">
        <f>'System peak demand'!W200</f>
        <v>152.14335863752032</v>
      </c>
      <c r="X20" s="123">
        <f>'System peak demand'!X200</f>
        <v>1.6146846664002523</v>
      </c>
      <c r="Y20" s="123">
        <f>'System peak demand'!Y200</f>
        <v>4.186046786041751</v>
      </c>
      <c r="Z20" s="123">
        <f>'System peak demand'!Z200</f>
        <v>1.5538428838320368</v>
      </c>
      <c r="AA20" s="123">
        <f>'System peak demand'!AA200</f>
        <v>9.5676675343516829E-3</v>
      </c>
      <c r="AB20" s="123">
        <f>'System peak demand'!AB200</f>
        <v>20.65356256179945</v>
      </c>
      <c r="AC20" s="123">
        <f>'System peak demand'!AC200</f>
        <v>0</v>
      </c>
      <c r="AD20" s="123">
        <f>'System peak demand'!AD200</f>
        <v>0</v>
      </c>
      <c r="AE20" s="123">
        <f>'System peak demand'!AE200</f>
        <v>0</v>
      </c>
      <c r="AF20" s="123">
        <f>'System peak demand'!AF200</f>
        <v>0</v>
      </c>
      <c r="AG20" s="123">
        <f>'System peak demand'!AG200</f>
        <v>0</v>
      </c>
      <c r="AH20" s="123">
        <f>'System peak demand'!AH200</f>
        <v>0</v>
      </c>
      <c r="AI20" s="123">
        <f>'System peak demand'!AI200</f>
        <v>0</v>
      </c>
      <c r="AJ20" s="123">
        <f>'System peak demand'!AJ200</f>
        <v>0</v>
      </c>
      <c r="AK20" s="123">
        <f>'System peak demand'!AK200</f>
        <v>0</v>
      </c>
      <c r="AL20" s="123">
        <f>'System peak demand'!AL200</f>
        <v>0</v>
      </c>
      <c r="AM20" s="123">
        <f>'System peak demand'!AM200</f>
        <v>0</v>
      </c>
      <c r="AN20" s="123">
        <f>'System peak demand'!AN200</f>
        <v>0</v>
      </c>
      <c r="AO20" s="123">
        <f>'System peak demand'!AO200</f>
        <v>0</v>
      </c>
      <c r="AP20" s="123">
        <f>'System peak demand'!AP200</f>
        <v>0</v>
      </c>
    </row>
    <row r="21" spans="3:44" x14ac:dyDescent="0.25">
      <c r="J21" s="92"/>
      <c r="K21" s="92"/>
      <c r="L21" s="92"/>
      <c r="M21" s="92"/>
      <c r="N21" s="92"/>
      <c r="O21" s="92"/>
      <c r="P21" s="92"/>
      <c r="Q21" s="92"/>
      <c r="R21" s="92"/>
      <c r="S21" s="92"/>
      <c r="T21" s="92"/>
      <c r="U21" s="92"/>
      <c r="V21" s="92"/>
      <c r="W21" s="92"/>
      <c r="X21" s="92"/>
      <c r="Y21" s="92"/>
      <c r="Z21" s="92"/>
      <c r="AA21" s="92"/>
      <c r="AB21" s="92"/>
      <c r="AC21" s="92"/>
      <c r="AD21" s="92"/>
      <c r="AE21" s="92"/>
      <c r="AF21" s="92"/>
      <c r="AG21" s="92"/>
      <c r="AH21" s="92"/>
      <c r="AI21" s="92"/>
      <c r="AJ21" s="92"/>
      <c r="AK21" s="92"/>
      <c r="AL21" s="92"/>
      <c r="AM21" s="92"/>
      <c r="AN21" s="92"/>
      <c r="AO21" s="92"/>
      <c r="AP21" s="92"/>
    </row>
    <row r="22" spans="3:44" x14ac:dyDescent="0.25">
      <c r="C22" s="31" t="str">
        <f ca="1">INDEX('Version control'!$H$34:$H$56,MATCH($A$1,'Version control'!$F$34:$F$56,0),1)&amp;"-B: Capacity elements allocated to fixed charges"</f>
        <v>Section 114-B: Capacity elements allocated to fixed charges</v>
      </c>
      <c r="D22" s="31"/>
      <c r="E22" s="31"/>
      <c r="F22" s="31"/>
      <c r="G22" s="31"/>
      <c r="H22" s="31"/>
      <c r="I22" s="31"/>
      <c r="J22" s="93"/>
      <c r="K22" s="93"/>
      <c r="L22" s="93"/>
      <c r="M22" s="93"/>
      <c r="N22" s="93"/>
      <c r="O22" s="93"/>
      <c r="P22" s="93"/>
      <c r="Q22" s="93"/>
      <c r="R22" s="93"/>
      <c r="S22" s="93"/>
      <c r="T22" s="93"/>
      <c r="U22" s="93"/>
      <c r="V22" s="93"/>
      <c r="W22" s="93"/>
      <c r="X22" s="93"/>
      <c r="Y22" s="93"/>
      <c r="Z22" s="93"/>
      <c r="AA22" s="93"/>
      <c r="AB22" s="93"/>
      <c r="AC22" s="93"/>
      <c r="AD22" s="93"/>
      <c r="AE22" s="93"/>
      <c r="AF22" s="93"/>
      <c r="AG22" s="93"/>
      <c r="AH22" s="93"/>
      <c r="AI22" s="93"/>
      <c r="AJ22" s="93"/>
      <c r="AK22" s="93"/>
      <c r="AL22" s="93"/>
      <c r="AM22" s="93"/>
      <c r="AN22" s="93"/>
      <c r="AO22" s="93"/>
      <c r="AP22" s="93"/>
      <c r="AQ22" s="31"/>
      <c r="AR22" s="31"/>
    </row>
    <row r="23" spans="3:44" x14ac:dyDescent="0.25">
      <c r="D23"/>
      <c r="E23" s="32"/>
      <c r="I23" t="s">
        <v>190</v>
      </c>
      <c r="J23" s="92"/>
      <c r="K23" s="92"/>
      <c r="L23" s="92"/>
      <c r="M23" s="92"/>
      <c r="N23" s="92"/>
      <c r="O23" s="92"/>
      <c r="P23" s="92"/>
      <c r="Q23" s="92"/>
      <c r="R23" s="92"/>
      <c r="S23" s="92"/>
      <c r="T23" s="92"/>
      <c r="U23" s="92"/>
      <c r="V23" s="92"/>
      <c r="W23" s="92"/>
      <c r="X23" s="92"/>
      <c r="Y23" s="92"/>
      <c r="Z23" s="92"/>
      <c r="AA23" s="92"/>
      <c r="AB23" s="92"/>
      <c r="AC23" s="92"/>
      <c r="AD23" s="92"/>
      <c r="AE23" s="92"/>
      <c r="AF23" s="92"/>
      <c r="AG23" s="92"/>
      <c r="AH23" s="92"/>
      <c r="AI23" s="92"/>
      <c r="AJ23" s="92"/>
      <c r="AK23" s="92"/>
      <c r="AL23" s="92"/>
      <c r="AM23" s="92"/>
      <c r="AN23" s="92"/>
      <c r="AO23" s="92"/>
      <c r="AP23" s="92"/>
      <c r="AR23" t="s">
        <v>846</v>
      </c>
    </row>
    <row r="24" spans="3:44" x14ac:dyDescent="0.25">
      <c r="C24" s="91"/>
      <c r="E24" s="32" t="s">
        <v>733</v>
      </c>
      <c r="J24" s="92"/>
      <c r="K24" s="92"/>
      <c r="L24" s="92"/>
      <c r="M24" s="92"/>
      <c r="N24" s="92"/>
      <c r="O24" s="92"/>
      <c r="P24" s="92"/>
      <c r="Q24" s="92"/>
      <c r="R24" s="92"/>
      <c r="S24" s="92"/>
      <c r="T24" s="92"/>
      <c r="U24" s="92"/>
      <c r="V24" s="92"/>
      <c r="W24" s="92"/>
      <c r="X24" s="92"/>
      <c r="Y24" s="92"/>
      <c r="Z24" s="92"/>
      <c r="AA24" s="92"/>
      <c r="AB24" s="92"/>
      <c r="AC24" s="92"/>
      <c r="AD24" s="92"/>
      <c r="AE24" s="92"/>
      <c r="AF24" s="92"/>
      <c r="AG24" s="92"/>
      <c r="AH24" s="92"/>
      <c r="AI24" s="92"/>
      <c r="AJ24" s="92"/>
      <c r="AK24" s="92"/>
      <c r="AL24" s="92"/>
      <c r="AM24" s="92"/>
      <c r="AN24" s="92"/>
      <c r="AO24" s="92"/>
      <c r="AP24" s="92"/>
    </row>
    <row r="25" spans="3:44" x14ac:dyDescent="0.25">
      <c r="C25" s="91"/>
      <c r="E25" s="29"/>
      <c r="F25" s="23" t="s">
        <v>225</v>
      </c>
      <c r="G25" s="23" t="s">
        <v>329</v>
      </c>
      <c r="H25" s="23"/>
      <c r="I25" s="23"/>
      <c r="J25" s="83"/>
      <c r="K25" s="83"/>
      <c r="L25" s="83"/>
      <c r="M25" s="83"/>
      <c r="N25" s="83"/>
      <c r="O25" s="83"/>
      <c r="P25" s="83"/>
      <c r="Q25" s="83"/>
      <c r="R25" s="83"/>
      <c r="S25" s="83"/>
      <c r="T25" s="83"/>
      <c r="U25" s="83"/>
      <c r="V25" s="83"/>
      <c r="W25" s="83"/>
      <c r="X25" s="83"/>
      <c r="Y25" s="83"/>
      <c r="Z25" s="83"/>
      <c r="AA25" s="83"/>
      <c r="AB25" s="83"/>
      <c r="AC25" s="83"/>
      <c r="AD25" s="83"/>
      <c r="AE25" s="83"/>
      <c r="AF25" s="83"/>
      <c r="AG25" s="83"/>
      <c r="AH25" s="83"/>
      <c r="AI25" s="83"/>
      <c r="AJ25" s="83"/>
      <c r="AK25" s="83"/>
      <c r="AL25" s="83"/>
      <c r="AM25" s="83"/>
      <c r="AN25" s="83"/>
      <c r="AO25" s="83"/>
      <c r="AP25" s="83"/>
    </row>
    <row r="26" spans="3:44" x14ac:dyDescent="0.25">
      <c r="C26" s="91"/>
      <c r="E26" s="29"/>
      <c r="F26" t="s">
        <v>227</v>
      </c>
      <c r="G26" t="s">
        <v>329</v>
      </c>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79"/>
      <c r="AO26" s="79"/>
      <c r="AP26" s="79"/>
    </row>
    <row r="27" spans="3:44" x14ac:dyDescent="0.25">
      <c r="C27" s="91"/>
      <c r="E27" s="29"/>
      <c r="F27" t="s">
        <v>228</v>
      </c>
      <c r="G27" t="s">
        <v>329</v>
      </c>
      <c r="J27" s="123">
        <f>'Capacity charges'!J264</f>
        <v>0</v>
      </c>
      <c r="K27" s="123">
        <f>'Capacity charges'!K264</f>
        <v>0</v>
      </c>
      <c r="L27" s="123">
        <f>'Capacity charges'!L264</f>
        <v>0</v>
      </c>
      <c r="M27" s="123">
        <f>'Capacity charges'!M264</f>
        <v>0</v>
      </c>
      <c r="N27" s="123">
        <f>'Capacity charges'!N264</f>
        <v>0</v>
      </c>
      <c r="O27" s="123">
        <f>'Capacity charges'!O264</f>
        <v>0</v>
      </c>
      <c r="P27" s="123">
        <f>'Capacity charges'!P264</f>
        <v>0</v>
      </c>
      <c r="Q27" s="123">
        <f>'Capacity charges'!Q264</f>
        <v>0</v>
      </c>
      <c r="R27" s="123">
        <f>'Capacity charges'!R264</f>
        <v>0</v>
      </c>
      <c r="S27" s="123">
        <f>'Capacity charges'!S264</f>
        <v>0</v>
      </c>
      <c r="T27" s="123">
        <f>'Capacity charges'!T264</f>
        <v>0</v>
      </c>
      <c r="U27" s="123">
        <f>'Capacity charges'!U264</f>
        <v>0</v>
      </c>
      <c r="V27" s="123">
        <f>'Capacity charges'!V264</f>
        <v>0</v>
      </c>
      <c r="W27" s="123">
        <f>'Capacity charges'!W264</f>
        <v>0</v>
      </c>
      <c r="X27" s="123">
        <f>'Capacity charges'!X264</f>
        <v>0</v>
      </c>
      <c r="Y27" s="123">
        <f>'Capacity charges'!Y264</f>
        <v>0</v>
      </c>
      <c r="Z27" s="123">
        <f>'Capacity charges'!Z264</f>
        <v>0</v>
      </c>
      <c r="AA27" s="123">
        <f>'Capacity charges'!AA264</f>
        <v>0</v>
      </c>
      <c r="AB27" s="123">
        <f>'Capacity charges'!AB264</f>
        <v>0</v>
      </c>
      <c r="AC27" s="123">
        <f>'Capacity charges'!AC264</f>
        <v>0</v>
      </c>
      <c r="AD27" s="123">
        <f>'Capacity charges'!AD264</f>
        <v>0</v>
      </c>
      <c r="AE27" s="123">
        <f>'Capacity charges'!AE264</f>
        <v>0</v>
      </c>
      <c r="AF27" s="123">
        <f>'Capacity charges'!AF264</f>
        <v>0</v>
      </c>
      <c r="AG27" s="123">
        <f>'Capacity charges'!AG264</f>
        <v>0</v>
      </c>
      <c r="AH27" s="123">
        <f>'Capacity charges'!AH264</f>
        <v>0</v>
      </c>
      <c r="AI27" s="123">
        <f>'Capacity charges'!AI264</f>
        <v>0</v>
      </c>
      <c r="AJ27" s="123">
        <f>'Capacity charges'!AJ264</f>
        <v>0</v>
      </c>
      <c r="AK27" s="123">
        <f>'Capacity charges'!AK264</f>
        <v>0</v>
      </c>
      <c r="AL27" s="123">
        <f>'Capacity charges'!AL264</f>
        <v>0</v>
      </c>
      <c r="AM27" s="123">
        <f>'Capacity charges'!AM264</f>
        <v>0</v>
      </c>
      <c r="AN27" s="123">
        <f>'Capacity charges'!AN264</f>
        <v>0</v>
      </c>
      <c r="AO27" s="123">
        <f>'Capacity charges'!AO264</f>
        <v>0</v>
      </c>
      <c r="AP27" s="123">
        <f>'Capacity charges'!AP264</f>
        <v>0</v>
      </c>
    </row>
    <row r="28" spans="3:44" x14ac:dyDescent="0.25">
      <c r="C28" s="91"/>
      <c r="E28" s="29"/>
      <c r="F28" t="s">
        <v>229</v>
      </c>
      <c r="G28" t="s">
        <v>329</v>
      </c>
      <c r="J28" s="123">
        <f>'Capacity charges'!J265</f>
        <v>0</v>
      </c>
      <c r="K28" s="123">
        <f>'Capacity charges'!K265</f>
        <v>0</v>
      </c>
      <c r="L28" s="123">
        <f>'Capacity charges'!L265</f>
        <v>0</v>
      </c>
      <c r="M28" s="123">
        <f>'Capacity charges'!M265</f>
        <v>0</v>
      </c>
      <c r="N28" s="123">
        <f>'Capacity charges'!N265</f>
        <v>0</v>
      </c>
      <c r="O28" s="123">
        <f>'Capacity charges'!O265</f>
        <v>0</v>
      </c>
      <c r="P28" s="123">
        <f>'Capacity charges'!P265</f>
        <v>0</v>
      </c>
      <c r="Q28" s="123">
        <f>'Capacity charges'!Q265</f>
        <v>0</v>
      </c>
      <c r="R28" s="123">
        <f>'Capacity charges'!R265</f>
        <v>0</v>
      </c>
      <c r="S28" s="123">
        <f>'Capacity charges'!S265</f>
        <v>0</v>
      </c>
      <c r="T28" s="123">
        <f>'Capacity charges'!T265</f>
        <v>0</v>
      </c>
      <c r="U28" s="123">
        <f>'Capacity charges'!U265</f>
        <v>0</v>
      </c>
      <c r="V28" s="123">
        <f>'Capacity charges'!V265</f>
        <v>0</v>
      </c>
      <c r="W28" s="123">
        <f>'Capacity charges'!W265</f>
        <v>0</v>
      </c>
      <c r="X28" s="123">
        <f>'Capacity charges'!X265</f>
        <v>0</v>
      </c>
      <c r="Y28" s="123">
        <f>'Capacity charges'!Y265</f>
        <v>0</v>
      </c>
      <c r="Z28" s="123">
        <f>'Capacity charges'!Z265</f>
        <v>0</v>
      </c>
      <c r="AA28" s="123">
        <f>'Capacity charges'!AA265</f>
        <v>0</v>
      </c>
      <c r="AB28" s="123">
        <f>'Capacity charges'!AB265</f>
        <v>0</v>
      </c>
      <c r="AC28" s="123">
        <f>'Capacity charges'!AC265</f>
        <v>0</v>
      </c>
      <c r="AD28" s="123">
        <f>'Capacity charges'!AD265</f>
        <v>0</v>
      </c>
      <c r="AE28" s="123">
        <f>'Capacity charges'!AE265</f>
        <v>0</v>
      </c>
      <c r="AF28" s="123">
        <f>'Capacity charges'!AF265</f>
        <v>0</v>
      </c>
      <c r="AG28" s="123">
        <f>'Capacity charges'!AG265</f>
        <v>0</v>
      </c>
      <c r="AH28" s="123">
        <f>'Capacity charges'!AH265</f>
        <v>0</v>
      </c>
      <c r="AI28" s="123">
        <f>'Capacity charges'!AI265</f>
        <v>0</v>
      </c>
      <c r="AJ28" s="123">
        <f>'Capacity charges'!AJ265</f>
        <v>0</v>
      </c>
      <c r="AK28" s="123">
        <f>'Capacity charges'!AK265</f>
        <v>0</v>
      </c>
      <c r="AL28" s="123">
        <f>'Capacity charges'!AL265</f>
        <v>0</v>
      </c>
      <c r="AM28" s="123">
        <f>'Capacity charges'!AM265</f>
        <v>0</v>
      </c>
      <c r="AN28" s="123">
        <f>'Capacity charges'!AN265</f>
        <v>0</v>
      </c>
      <c r="AO28" s="123">
        <f>'Capacity charges'!AO265</f>
        <v>0</v>
      </c>
      <c r="AP28" s="123">
        <f>'Capacity charges'!AP265</f>
        <v>0</v>
      </c>
    </row>
    <row r="29" spans="3:44" x14ac:dyDescent="0.25">
      <c r="C29" s="91"/>
      <c r="E29" s="29"/>
      <c r="F29" t="s">
        <v>230</v>
      </c>
      <c r="G29" t="s">
        <v>329</v>
      </c>
      <c r="J29" s="123">
        <f>'Capacity charges'!J266</f>
        <v>0</v>
      </c>
      <c r="K29" s="123">
        <f>'Capacity charges'!K266</f>
        <v>0</v>
      </c>
      <c r="L29" s="123">
        <f>'Capacity charges'!L266</f>
        <v>0</v>
      </c>
      <c r="M29" s="123">
        <f>'Capacity charges'!M266</f>
        <v>0</v>
      </c>
      <c r="N29" s="123">
        <f>'Capacity charges'!N266</f>
        <v>0</v>
      </c>
      <c r="O29" s="123">
        <f>'Capacity charges'!O266</f>
        <v>0</v>
      </c>
      <c r="P29" s="123">
        <f>'Capacity charges'!P266</f>
        <v>0</v>
      </c>
      <c r="Q29" s="123">
        <f>'Capacity charges'!Q266</f>
        <v>0</v>
      </c>
      <c r="R29" s="123">
        <f>'Capacity charges'!R266</f>
        <v>0.38865278552474813</v>
      </c>
      <c r="S29" s="123">
        <f>'Capacity charges'!S266</f>
        <v>0</v>
      </c>
      <c r="T29" s="123">
        <f>'Capacity charges'!T266</f>
        <v>0</v>
      </c>
      <c r="U29" s="123">
        <f>'Capacity charges'!U266</f>
        <v>0</v>
      </c>
      <c r="V29" s="123">
        <f>'Capacity charges'!V266</f>
        <v>0</v>
      </c>
      <c r="W29" s="123">
        <f>'Capacity charges'!W266</f>
        <v>0</v>
      </c>
      <c r="X29" s="123">
        <f>'Capacity charges'!X266</f>
        <v>0</v>
      </c>
      <c r="Y29" s="123">
        <f>'Capacity charges'!Y266</f>
        <v>0</v>
      </c>
      <c r="Z29" s="123">
        <f>'Capacity charges'!Z266</f>
        <v>0</v>
      </c>
      <c r="AA29" s="123">
        <f>'Capacity charges'!AA266</f>
        <v>0</v>
      </c>
      <c r="AB29" s="123">
        <f>'Capacity charges'!AB266</f>
        <v>0</v>
      </c>
      <c r="AC29" s="123">
        <f>'Capacity charges'!AC266</f>
        <v>0</v>
      </c>
      <c r="AD29" s="123">
        <f>'Capacity charges'!AD266</f>
        <v>0</v>
      </c>
      <c r="AE29" s="123">
        <f>'Capacity charges'!AE266</f>
        <v>0</v>
      </c>
      <c r="AF29" s="123">
        <f>'Capacity charges'!AF266</f>
        <v>0</v>
      </c>
      <c r="AG29" s="123">
        <f>'Capacity charges'!AG266</f>
        <v>0</v>
      </c>
      <c r="AH29" s="123">
        <f>'Capacity charges'!AH266</f>
        <v>0</v>
      </c>
      <c r="AI29" s="123">
        <f>'Capacity charges'!AI266</f>
        <v>0</v>
      </c>
      <c r="AJ29" s="123">
        <f>'Capacity charges'!AJ266</f>
        <v>0</v>
      </c>
      <c r="AK29" s="123">
        <f>'Capacity charges'!AK266</f>
        <v>0</v>
      </c>
      <c r="AL29" s="123">
        <f>'Capacity charges'!AL266</f>
        <v>0</v>
      </c>
      <c r="AM29" s="123">
        <f>'Capacity charges'!AM266</f>
        <v>0</v>
      </c>
      <c r="AN29" s="123">
        <f>'Capacity charges'!AN266</f>
        <v>0</v>
      </c>
      <c r="AO29" s="123">
        <f>'Capacity charges'!AO266</f>
        <v>0</v>
      </c>
      <c r="AP29" s="123">
        <f>'Capacity charges'!AP266</f>
        <v>0</v>
      </c>
    </row>
    <row r="30" spans="3:44" x14ac:dyDescent="0.25">
      <c r="C30" s="91"/>
      <c r="E30" s="29"/>
      <c r="F30" t="s">
        <v>231</v>
      </c>
      <c r="G30" t="s">
        <v>329</v>
      </c>
      <c r="J30" s="123">
        <f>'Capacity charges'!J267</f>
        <v>0</v>
      </c>
      <c r="K30" s="123">
        <f>'Capacity charges'!K267</f>
        <v>0</v>
      </c>
      <c r="L30" s="123">
        <f>'Capacity charges'!L267</f>
        <v>0</v>
      </c>
      <c r="M30" s="123">
        <f>'Capacity charges'!M267</f>
        <v>0</v>
      </c>
      <c r="N30" s="123">
        <f>'Capacity charges'!N267</f>
        <v>0</v>
      </c>
      <c r="O30" s="123">
        <f>'Capacity charges'!O267</f>
        <v>0</v>
      </c>
      <c r="P30" s="123">
        <f>'Capacity charges'!P267</f>
        <v>0</v>
      </c>
      <c r="Q30" s="123">
        <f>'Capacity charges'!Q267</f>
        <v>0</v>
      </c>
      <c r="R30" s="123">
        <f>'Capacity charges'!R267</f>
        <v>1.7656075555708008</v>
      </c>
      <c r="S30" s="123">
        <f>'Capacity charges'!S267</f>
        <v>0</v>
      </c>
      <c r="T30" s="123">
        <f>'Capacity charges'!T267</f>
        <v>0</v>
      </c>
      <c r="U30" s="123">
        <f>'Capacity charges'!U267</f>
        <v>0</v>
      </c>
      <c r="V30" s="123">
        <f>'Capacity charges'!V267</f>
        <v>0</v>
      </c>
      <c r="W30" s="123">
        <f>'Capacity charges'!W267</f>
        <v>0</v>
      </c>
      <c r="X30" s="123">
        <f>'Capacity charges'!X267</f>
        <v>0</v>
      </c>
      <c r="Y30" s="123">
        <f>'Capacity charges'!Y267</f>
        <v>0</v>
      </c>
      <c r="Z30" s="123">
        <f>'Capacity charges'!Z267</f>
        <v>0</v>
      </c>
      <c r="AA30" s="123">
        <f>'Capacity charges'!AA267</f>
        <v>0</v>
      </c>
      <c r="AB30" s="123">
        <f>'Capacity charges'!AB267</f>
        <v>0</v>
      </c>
      <c r="AC30" s="123">
        <f>'Capacity charges'!AC267</f>
        <v>0</v>
      </c>
      <c r="AD30" s="123">
        <f>'Capacity charges'!AD267</f>
        <v>0</v>
      </c>
      <c r="AE30" s="123">
        <f>'Capacity charges'!AE267</f>
        <v>0</v>
      </c>
      <c r="AF30" s="123">
        <f>'Capacity charges'!AF267</f>
        <v>0</v>
      </c>
      <c r="AG30" s="123">
        <f>'Capacity charges'!AG267</f>
        <v>0</v>
      </c>
      <c r="AH30" s="123">
        <f>'Capacity charges'!AH267</f>
        <v>0</v>
      </c>
      <c r="AI30" s="123">
        <f>'Capacity charges'!AI267</f>
        <v>0</v>
      </c>
      <c r="AJ30" s="123">
        <f>'Capacity charges'!AJ267</f>
        <v>0</v>
      </c>
      <c r="AK30" s="123">
        <f>'Capacity charges'!AK267</f>
        <v>0</v>
      </c>
      <c r="AL30" s="123">
        <f>'Capacity charges'!AL267</f>
        <v>0</v>
      </c>
      <c r="AM30" s="123">
        <f>'Capacity charges'!AM267</f>
        <v>0</v>
      </c>
      <c r="AN30" s="123">
        <f>'Capacity charges'!AN267</f>
        <v>0</v>
      </c>
      <c r="AO30" s="123">
        <f>'Capacity charges'!AO267</f>
        <v>0</v>
      </c>
      <c r="AP30" s="123">
        <f>'Capacity charges'!AP267</f>
        <v>0</v>
      </c>
    </row>
    <row r="31" spans="3:44" x14ac:dyDescent="0.25">
      <c r="C31" s="91"/>
      <c r="E31" s="29"/>
      <c r="F31" t="s">
        <v>232</v>
      </c>
      <c r="G31" t="s">
        <v>329</v>
      </c>
      <c r="J31" s="123">
        <f>'Capacity charges'!J268</f>
        <v>0</v>
      </c>
      <c r="K31" s="123">
        <f>'Capacity charges'!K268</f>
        <v>0</v>
      </c>
      <c r="L31" s="123">
        <f>'Capacity charges'!L268</f>
        <v>0</v>
      </c>
      <c r="M31" s="123">
        <f>'Capacity charges'!M268</f>
        <v>0</v>
      </c>
      <c r="N31" s="123">
        <f>'Capacity charges'!N268</f>
        <v>0</v>
      </c>
      <c r="O31" s="123">
        <f>'Capacity charges'!O268</f>
        <v>0</v>
      </c>
      <c r="P31" s="123">
        <f>'Capacity charges'!P268</f>
        <v>0</v>
      </c>
      <c r="Q31" s="123">
        <f>'Capacity charges'!Q268</f>
        <v>0</v>
      </c>
      <c r="R31" s="123">
        <f>'Capacity charges'!R268</f>
        <v>0</v>
      </c>
      <c r="S31" s="123">
        <f>'Capacity charges'!S268</f>
        <v>0</v>
      </c>
      <c r="T31" s="123">
        <f>'Capacity charges'!T268</f>
        <v>0</v>
      </c>
      <c r="U31" s="123">
        <f>'Capacity charges'!U268</f>
        <v>0</v>
      </c>
      <c r="V31" s="123">
        <f>'Capacity charges'!V268</f>
        <v>0</v>
      </c>
      <c r="W31" s="123">
        <f>'Capacity charges'!W268</f>
        <v>0</v>
      </c>
      <c r="X31" s="123">
        <f>'Capacity charges'!X268</f>
        <v>0</v>
      </c>
      <c r="Y31" s="123">
        <f>'Capacity charges'!Y268</f>
        <v>0</v>
      </c>
      <c r="Z31" s="123">
        <f>'Capacity charges'!Z268</f>
        <v>0</v>
      </c>
      <c r="AA31" s="123">
        <f>'Capacity charges'!AA268</f>
        <v>0</v>
      </c>
      <c r="AB31" s="123">
        <f>'Capacity charges'!AB268</f>
        <v>0</v>
      </c>
      <c r="AC31" s="123">
        <f>'Capacity charges'!AC268</f>
        <v>0</v>
      </c>
      <c r="AD31" s="123">
        <f>'Capacity charges'!AD268</f>
        <v>0</v>
      </c>
      <c r="AE31" s="123">
        <f>'Capacity charges'!AE268</f>
        <v>0</v>
      </c>
      <c r="AF31" s="123">
        <f>'Capacity charges'!AF268</f>
        <v>0</v>
      </c>
      <c r="AG31" s="123">
        <f>'Capacity charges'!AG268</f>
        <v>0</v>
      </c>
      <c r="AH31" s="123">
        <f>'Capacity charges'!AH268</f>
        <v>0</v>
      </c>
      <c r="AI31" s="123">
        <f>'Capacity charges'!AI268</f>
        <v>0</v>
      </c>
      <c r="AJ31" s="123">
        <f>'Capacity charges'!AJ268</f>
        <v>0</v>
      </c>
      <c r="AK31" s="123">
        <f>'Capacity charges'!AK268</f>
        <v>0</v>
      </c>
      <c r="AL31" s="123">
        <f>'Capacity charges'!AL268</f>
        <v>0</v>
      </c>
      <c r="AM31" s="123">
        <f>'Capacity charges'!AM268</f>
        <v>0</v>
      </c>
      <c r="AN31" s="123">
        <f>'Capacity charges'!AN268</f>
        <v>0</v>
      </c>
      <c r="AO31" s="123">
        <f>'Capacity charges'!AO268</f>
        <v>0</v>
      </c>
      <c r="AP31" s="123">
        <f>'Capacity charges'!AP268</f>
        <v>0</v>
      </c>
    </row>
    <row r="32" spans="3:44" x14ac:dyDescent="0.25">
      <c r="C32" s="91"/>
      <c r="E32" s="29"/>
      <c r="F32" t="s">
        <v>233</v>
      </c>
      <c r="G32" t="s">
        <v>329</v>
      </c>
      <c r="J32" s="123">
        <f>'Capacity charges'!J269</f>
        <v>0</v>
      </c>
      <c r="K32" s="123">
        <f>'Capacity charges'!K269</f>
        <v>0</v>
      </c>
      <c r="L32" s="123">
        <f>'Capacity charges'!L269</f>
        <v>0</v>
      </c>
      <c r="M32" s="123">
        <f>'Capacity charges'!M269</f>
        <v>0</v>
      </c>
      <c r="N32" s="123">
        <f>'Capacity charges'!N269</f>
        <v>0</v>
      </c>
      <c r="O32" s="123">
        <f>'Capacity charges'!O269</f>
        <v>0</v>
      </c>
      <c r="P32" s="123">
        <f>'Capacity charges'!P269</f>
        <v>0</v>
      </c>
      <c r="Q32" s="123">
        <f>'Capacity charges'!Q269</f>
        <v>0</v>
      </c>
      <c r="R32" s="123">
        <f>'Capacity charges'!R269</f>
        <v>2.9235512151241809</v>
      </c>
      <c r="S32" s="123">
        <f>'Capacity charges'!S269</f>
        <v>0</v>
      </c>
      <c r="T32" s="123">
        <f>'Capacity charges'!T269</f>
        <v>0</v>
      </c>
      <c r="U32" s="123">
        <f>'Capacity charges'!U269</f>
        <v>0</v>
      </c>
      <c r="V32" s="123">
        <f>'Capacity charges'!V269</f>
        <v>0</v>
      </c>
      <c r="W32" s="123">
        <f>'Capacity charges'!W269</f>
        <v>0</v>
      </c>
      <c r="X32" s="123">
        <f>'Capacity charges'!X269</f>
        <v>0</v>
      </c>
      <c r="Y32" s="123">
        <f>'Capacity charges'!Y269</f>
        <v>0</v>
      </c>
      <c r="Z32" s="123">
        <f>'Capacity charges'!Z269</f>
        <v>0</v>
      </c>
      <c r="AA32" s="123">
        <f>'Capacity charges'!AA269</f>
        <v>0</v>
      </c>
      <c r="AB32" s="123">
        <f>'Capacity charges'!AB269</f>
        <v>0</v>
      </c>
      <c r="AC32" s="123">
        <f>'Capacity charges'!AC269</f>
        <v>0</v>
      </c>
      <c r="AD32" s="123">
        <f>'Capacity charges'!AD269</f>
        <v>0</v>
      </c>
      <c r="AE32" s="123">
        <f>'Capacity charges'!AE269</f>
        <v>0</v>
      </c>
      <c r="AF32" s="123">
        <f>'Capacity charges'!AF269</f>
        <v>0</v>
      </c>
      <c r="AG32" s="123">
        <f>'Capacity charges'!AG269</f>
        <v>0</v>
      </c>
      <c r="AH32" s="123">
        <f>'Capacity charges'!AH269</f>
        <v>0</v>
      </c>
      <c r="AI32" s="123">
        <f>'Capacity charges'!AI269</f>
        <v>0</v>
      </c>
      <c r="AJ32" s="123">
        <f>'Capacity charges'!AJ269</f>
        <v>0</v>
      </c>
      <c r="AK32" s="123">
        <f>'Capacity charges'!AK269</f>
        <v>0</v>
      </c>
      <c r="AL32" s="123">
        <f>'Capacity charges'!AL269</f>
        <v>0</v>
      </c>
      <c r="AM32" s="123">
        <f>'Capacity charges'!AM269</f>
        <v>0</v>
      </c>
      <c r="AN32" s="123">
        <f>'Capacity charges'!AN269</f>
        <v>0</v>
      </c>
      <c r="AO32" s="123">
        <f>'Capacity charges'!AO269</f>
        <v>0</v>
      </c>
      <c r="AP32" s="123">
        <f>'Capacity charges'!AP269</f>
        <v>0</v>
      </c>
    </row>
    <row r="33" spans="3:42" x14ac:dyDescent="0.25">
      <c r="C33" s="91"/>
      <c r="E33" s="29"/>
      <c r="F33" t="s">
        <v>234</v>
      </c>
      <c r="G33" t="s">
        <v>329</v>
      </c>
      <c r="J33" s="123">
        <f>'Capacity charges'!J270</f>
        <v>0</v>
      </c>
      <c r="K33" s="123">
        <f>'Capacity charges'!K270</f>
        <v>0</v>
      </c>
      <c r="L33" s="123">
        <f>'Capacity charges'!L270</f>
        <v>0</v>
      </c>
      <c r="M33" s="123">
        <f>'Capacity charges'!M270</f>
        <v>0</v>
      </c>
      <c r="N33" s="123">
        <f>'Capacity charges'!N270</f>
        <v>0</v>
      </c>
      <c r="O33" s="123">
        <f>'Capacity charges'!O270</f>
        <v>0</v>
      </c>
      <c r="P33" s="123">
        <f>'Capacity charges'!P270</f>
        <v>0</v>
      </c>
      <c r="Q33" s="123">
        <f>'Capacity charges'!Q270</f>
        <v>0.2572239707261566</v>
      </c>
      <c r="R33" s="123">
        <f>'Capacity charges'!R270</f>
        <v>0</v>
      </c>
      <c r="S33" s="123">
        <f>'Capacity charges'!S270</f>
        <v>0</v>
      </c>
      <c r="T33" s="123">
        <f>'Capacity charges'!T270</f>
        <v>0</v>
      </c>
      <c r="U33" s="123">
        <f>'Capacity charges'!U270</f>
        <v>0</v>
      </c>
      <c r="V33" s="123">
        <f>'Capacity charges'!V270</f>
        <v>0</v>
      </c>
      <c r="W33" s="123">
        <f>'Capacity charges'!W270</f>
        <v>0</v>
      </c>
      <c r="X33" s="123">
        <f>'Capacity charges'!X270</f>
        <v>0</v>
      </c>
      <c r="Y33" s="123">
        <f>'Capacity charges'!Y270</f>
        <v>0</v>
      </c>
      <c r="Z33" s="123">
        <f>'Capacity charges'!Z270</f>
        <v>0</v>
      </c>
      <c r="AA33" s="123">
        <f>'Capacity charges'!AA270</f>
        <v>0</v>
      </c>
      <c r="AB33" s="123">
        <f>'Capacity charges'!AB270</f>
        <v>0</v>
      </c>
      <c r="AC33" s="123">
        <f>'Capacity charges'!AC270</f>
        <v>0</v>
      </c>
      <c r="AD33" s="123">
        <f>'Capacity charges'!AD270</f>
        <v>0</v>
      </c>
      <c r="AE33" s="123">
        <f>'Capacity charges'!AE270</f>
        <v>0</v>
      </c>
      <c r="AF33" s="123">
        <f>'Capacity charges'!AF270</f>
        <v>0</v>
      </c>
      <c r="AG33" s="123">
        <f>'Capacity charges'!AG270</f>
        <v>0</v>
      </c>
      <c r="AH33" s="123">
        <f>'Capacity charges'!AH270</f>
        <v>0</v>
      </c>
      <c r="AI33" s="123">
        <f>'Capacity charges'!AI270</f>
        <v>0</v>
      </c>
      <c r="AJ33" s="123">
        <f>'Capacity charges'!AJ270</f>
        <v>0</v>
      </c>
      <c r="AK33" s="123">
        <f>'Capacity charges'!AK270</f>
        <v>0</v>
      </c>
      <c r="AL33" s="123">
        <f>'Capacity charges'!AL270</f>
        <v>0</v>
      </c>
      <c r="AM33" s="123">
        <f>'Capacity charges'!AM270</f>
        <v>0</v>
      </c>
      <c r="AN33" s="123">
        <f>'Capacity charges'!AN270</f>
        <v>0</v>
      </c>
      <c r="AO33" s="123">
        <f>'Capacity charges'!AO270</f>
        <v>0</v>
      </c>
      <c r="AP33" s="123">
        <f>'Capacity charges'!AP270</f>
        <v>0</v>
      </c>
    </row>
    <row r="34" spans="3:42" x14ac:dyDescent="0.25">
      <c r="C34" s="91"/>
      <c r="E34" s="29"/>
      <c r="F34" t="s">
        <v>235</v>
      </c>
      <c r="G34" t="s">
        <v>329</v>
      </c>
      <c r="J34" s="123">
        <f>'Capacity charges'!J271</f>
        <v>8.9469823783937572E-2</v>
      </c>
      <c r="K34" s="123">
        <f>'Capacity charges'!K271</f>
        <v>8.9469823783937572E-2</v>
      </c>
      <c r="L34" s="123">
        <f>'Capacity charges'!L271</f>
        <v>0</v>
      </c>
      <c r="M34" s="123">
        <f>'Capacity charges'!M271</f>
        <v>8.9469823783937572E-2</v>
      </c>
      <c r="N34" s="123">
        <f>'Capacity charges'!N271</f>
        <v>8.9469823783937572E-2</v>
      </c>
      <c r="O34" s="123">
        <f>'Capacity charges'!O271</f>
        <v>0</v>
      </c>
      <c r="P34" s="123">
        <f>'Capacity charges'!P271</f>
        <v>8.9469823783937572E-2</v>
      </c>
      <c r="Q34" s="123">
        <f>'Capacity charges'!Q271</f>
        <v>0</v>
      </c>
      <c r="R34" s="123">
        <f>'Capacity charges'!R271</f>
        <v>0</v>
      </c>
      <c r="S34" s="123">
        <f>'Capacity charges'!S271</f>
        <v>8.9469823783937572E-2</v>
      </c>
      <c r="T34" s="123">
        <f>'Capacity charges'!T271</f>
        <v>8.9469823783937572E-2</v>
      </c>
      <c r="U34" s="123">
        <f>'Capacity charges'!U271</f>
        <v>0</v>
      </c>
      <c r="V34" s="123">
        <f>'Capacity charges'!V271</f>
        <v>0</v>
      </c>
      <c r="W34" s="123">
        <f>'Capacity charges'!W271</f>
        <v>0</v>
      </c>
      <c r="X34" s="123">
        <f>'Capacity charges'!X271</f>
        <v>0</v>
      </c>
      <c r="Y34" s="123">
        <f>'Capacity charges'!Y271</f>
        <v>0</v>
      </c>
      <c r="Z34" s="123">
        <f>'Capacity charges'!Z271</f>
        <v>0</v>
      </c>
      <c r="AA34" s="123">
        <f>'Capacity charges'!AA271</f>
        <v>0</v>
      </c>
      <c r="AB34" s="123">
        <f>'Capacity charges'!AB271</f>
        <v>0</v>
      </c>
      <c r="AC34" s="123">
        <f>'Capacity charges'!AC271</f>
        <v>0</v>
      </c>
      <c r="AD34" s="123">
        <f>'Capacity charges'!AD271</f>
        <v>0</v>
      </c>
      <c r="AE34" s="123">
        <f>'Capacity charges'!AE271</f>
        <v>0</v>
      </c>
      <c r="AF34" s="123">
        <f>'Capacity charges'!AF271</f>
        <v>0</v>
      </c>
      <c r="AG34" s="123">
        <f>'Capacity charges'!AG271</f>
        <v>0</v>
      </c>
      <c r="AH34" s="123">
        <f>'Capacity charges'!AH271</f>
        <v>0</v>
      </c>
      <c r="AI34" s="123">
        <f>'Capacity charges'!AI271</f>
        <v>0</v>
      </c>
      <c r="AJ34" s="123">
        <f>'Capacity charges'!AJ271</f>
        <v>0</v>
      </c>
      <c r="AK34" s="123">
        <f>'Capacity charges'!AK271</f>
        <v>0</v>
      </c>
      <c r="AL34" s="123">
        <f>'Capacity charges'!AL271</f>
        <v>0</v>
      </c>
      <c r="AM34" s="123">
        <f>'Capacity charges'!AM271</f>
        <v>0</v>
      </c>
      <c r="AN34" s="123">
        <f>'Capacity charges'!AN271</f>
        <v>0</v>
      </c>
      <c r="AO34" s="123">
        <f>'Capacity charges'!AO271</f>
        <v>0</v>
      </c>
      <c r="AP34" s="123">
        <f>'Capacity charges'!AP271</f>
        <v>0</v>
      </c>
    </row>
    <row r="35" spans="3:42" x14ac:dyDescent="0.25">
      <c r="C35" s="91"/>
      <c r="E35" s="29"/>
      <c r="F35" t="s">
        <v>436</v>
      </c>
      <c r="G35" t="s">
        <v>329</v>
      </c>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2" x14ac:dyDescent="0.25">
      <c r="C36" s="91"/>
      <c r="E36" s="29"/>
      <c r="F36" s="37" t="s">
        <v>437</v>
      </c>
      <c r="G36" s="37" t="s">
        <v>329</v>
      </c>
      <c r="H36" s="37"/>
      <c r="I36" s="37"/>
      <c r="J36" s="81"/>
      <c r="K36" s="81"/>
      <c r="L36" s="81"/>
      <c r="M36" s="81"/>
      <c r="N36" s="81"/>
      <c r="O36" s="81"/>
      <c r="P36" s="81"/>
      <c r="Q36" s="81"/>
      <c r="R36" s="81"/>
      <c r="S36" s="81"/>
      <c r="T36" s="81"/>
      <c r="U36" s="81"/>
      <c r="V36" s="81"/>
      <c r="W36" s="81"/>
      <c r="X36" s="81"/>
      <c r="Y36" s="81"/>
      <c r="Z36" s="81"/>
      <c r="AA36" s="81"/>
      <c r="AB36" s="81"/>
      <c r="AC36" s="81"/>
      <c r="AD36" s="81"/>
      <c r="AE36" s="81"/>
      <c r="AF36" s="81"/>
      <c r="AG36" s="81"/>
      <c r="AH36" s="81"/>
      <c r="AI36" s="81"/>
      <c r="AJ36" s="81"/>
      <c r="AK36" s="81"/>
      <c r="AL36" s="81"/>
      <c r="AM36" s="81"/>
      <c r="AN36" s="81"/>
      <c r="AO36" s="81"/>
      <c r="AP36" s="81"/>
    </row>
    <row r="37" spans="3:42" x14ac:dyDescent="0.25">
      <c r="C37" s="91"/>
      <c r="D37"/>
      <c r="E37" s="29"/>
      <c r="J37" s="92"/>
      <c r="K37" s="92"/>
      <c r="L37" s="92"/>
      <c r="M37" s="92"/>
      <c r="N37" s="92"/>
      <c r="O37" s="92"/>
      <c r="P37" s="92"/>
      <c r="Q37" s="92"/>
      <c r="R37" s="92"/>
      <c r="S37" s="92"/>
      <c r="T37" s="92"/>
      <c r="U37" s="92"/>
      <c r="V37" s="92"/>
      <c r="W37" s="92"/>
      <c r="X37" s="92"/>
      <c r="Y37" s="92"/>
      <c r="Z37" s="92"/>
      <c r="AA37" s="92"/>
      <c r="AB37" s="92"/>
      <c r="AC37" s="92"/>
      <c r="AD37" s="92"/>
      <c r="AE37" s="92"/>
      <c r="AF37" s="92"/>
      <c r="AG37" s="92"/>
      <c r="AH37" s="92"/>
      <c r="AI37" s="92"/>
      <c r="AJ37" s="92"/>
      <c r="AK37" s="92"/>
      <c r="AL37" s="92"/>
      <c r="AM37" s="92"/>
      <c r="AN37" s="92"/>
      <c r="AO37" s="92"/>
      <c r="AP37" s="92"/>
    </row>
    <row r="38" spans="3:42" x14ac:dyDescent="0.25">
      <c r="C38" s="91"/>
      <c r="E38" s="32" t="s">
        <v>734</v>
      </c>
      <c r="J38" s="92"/>
      <c r="K38" s="92"/>
      <c r="L38" s="92"/>
      <c r="M38" s="92"/>
      <c r="N38" s="92"/>
      <c r="O38" s="92"/>
      <c r="P38" s="92"/>
      <c r="Q38" s="92"/>
      <c r="R38" s="92"/>
      <c r="S38" s="92"/>
      <c r="T38" s="92"/>
      <c r="U38" s="92"/>
      <c r="V38" s="92"/>
      <c r="W38" s="92"/>
      <c r="X38" s="92"/>
      <c r="Y38" s="92"/>
      <c r="Z38" s="92"/>
      <c r="AA38" s="92"/>
      <c r="AB38" s="92"/>
      <c r="AC38" s="92"/>
      <c r="AD38" s="92"/>
      <c r="AE38" s="92"/>
      <c r="AF38" s="92"/>
      <c r="AG38" s="92"/>
      <c r="AH38" s="92"/>
      <c r="AI38" s="92"/>
      <c r="AJ38" s="92"/>
      <c r="AK38" s="92"/>
      <c r="AL38" s="92"/>
      <c r="AM38" s="92"/>
      <c r="AN38" s="92"/>
      <c r="AO38" s="92"/>
      <c r="AP38" s="92"/>
    </row>
    <row r="39" spans="3:42" x14ac:dyDescent="0.25">
      <c r="C39" s="91"/>
      <c r="F39" s="23" t="s">
        <v>225</v>
      </c>
      <c r="G39" s="23" t="s">
        <v>329</v>
      </c>
      <c r="H39" s="23"/>
      <c r="I39" s="23"/>
      <c r="J39" s="127">
        <f>'Capacity charges'!J276</f>
        <v>0</v>
      </c>
      <c r="K39" s="127">
        <f>'Capacity charges'!K276</f>
        <v>0</v>
      </c>
      <c r="L39" s="127">
        <f>'Capacity charges'!L276</f>
        <v>0</v>
      </c>
      <c r="M39" s="127">
        <f>'Capacity charges'!M276</f>
        <v>0</v>
      </c>
      <c r="N39" s="127">
        <f>'Capacity charges'!N276</f>
        <v>0</v>
      </c>
      <c r="O39" s="127">
        <f>'Capacity charges'!O276</f>
        <v>0</v>
      </c>
      <c r="P39" s="127">
        <f>'Capacity charges'!P276</f>
        <v>0</v>
      </c>
      <c r="Q39" s="127">
        <f>'Capacity charges'!Q276</f>
        <v>0</v>
      </c>
      <c r="R39" s="127">
        <f>'Capacity charges'!R276</f>
        <v>0</v>
      </c>
      <c r="S39" s="127">
        <f>'Capacity charges'!S276</f>
        <v>0</v>
      </c>
      <c r="T39" s="127">
        <f>'Capacity charges'!T276</f>
        <v>0</v>
      </c>
      <c r="U39" s="127">
        <f>'Capacity charges'!U276</f>
        <v>0</v>
      </c>
      <c r="V39" s="127">
        <f>'Capacity charges'!V276</f>
        <v>0</v>
      </c>
      <c r="W39" s="127">
        <f>'Capacity charges'!W276</f>
        <v>0</v>
      </c>
      <c r="X39" s="127">
        <f>'Capacity charges'!X276</f>
        <v>0</v>
      </c>
      <c r="Y39" s="127">
        <f>'Capacity charges'!Y276</f>
        <v>0</v>
      </c>
      <c r="Z39" s="127">
        <f>'Capacity charges'!Z276</f>
        <v>0</v>
      </c>
      <c r="AA39" s="127">
        <f>'Capacity charges'!AA276</f>
        <v>0</v>
      </c>
      <c r="AB39" s="127">
        <f>'Capacity charges'!AB276</f>
        <v>0</v>
      </c>
      <c r="AC39" s="127">
        <f>'Capacity charges'!AC276</f>
        <v>0</v>
      </c>
      <c r="AD39" s="127">
        <f>'Capacity charges'!AD276</f>
        <v>0</v>
      </c>
      <c r="AE39" s="127">
        <f>'Capacity charges'!AE276</f>
        <v>0</v>
      </c>
      <c r="AF39" s="127">
        <f>'Capacity charges'!AF276</f>
        <v>0</v>
      </c>
      <c r="AG39" s="127">
        <f>'Capacity charges'!AG276</f>
        <v>0</v>
      </c>
      <c r="AH39" s="127">
        <f>'Capacity charges'!AH276</f>
        <v>0</v>
      </c>
      <c r="AI39" s="127">
        <f>'Capacity charges'!AI276</f>
        <v>0</v>
      </c>
      <c r="AJ39" s="127">
        <f>'Capacity charges'!AJ276</f>
        <v>0</v>
      </c>
      <c r="AK39" s="127">
        <f>'Capacity charges'!AK276</f>
        <v>0</v>
      </c>
      <c r="AL39" s="127">
        <f>'Capacity charges'!AL276</f>
        <v>0</v>
      </c>
      <c r="AM39" s="127">
        <f>'Capacity charges'!AM276</f>
        <v>0</v>
      </c>
      <c r="AN39" s="127">
        <f>'Capacity charges'!AN276</f>
        <v>0</v>
      </c>
      <c r="AO39" s="127">
        <f>'Capacity charges'!AO276</f>
        <v>0</v>
      </c>
      <c r="AP39" s="127">
        <f>'Capacity charges'!AP276</f>
        <v>0</v>
      </c>
    </row>
    <row r="40" spans="3:42" x14ac:dyDescent="0.25">
      <c r="C40" s="91"/>
      <c r="F40" t="s">
        <v>227</v>
      </c>
      <c r="G40" t="s">
        <v>329</v>
      </c>
      <c r="J40" s="123">
        <f>'Capacity charges'!J277</f>
        <v>0</v>
      </c>
      <c r="K40" s="123">
        <f>'Capacity charges'!K277</f>
        <v>0</v>
      </c>
      <c r="L40" s="123">
        <f>'Capacity charges'!L277</f>
        <v>0</v>
      </c>
      <c r="M40" s="123">
        <f>'Capacity charges'!M277</f>
        <v>0</v>
      </c>
      <c r="N40" s="123">
        <f>'Capacity charges'!N277</f>
        <v>0</v>
      </c>
      <c r="O40" s="123">
        <f>'Capacity charges'!O277</f>
        <v>0</v>
      </c>
      <c r="P40" s="123">
        <f>'Capacity charges'!P277</f>
        <v>0</v>
      </c>
      <c r="Q40" s="123">
        <f>'Capacity charges'!Q277</f>
        <v>0</v>
      </c>
      <c r="R40" s="123">
        <f>'Capacity charges'!R277</f>
        <v>0</v>
      </c>
      <c r="S40" s="123">
        <f>'Capacity charges'!S277</f>
        <v>0</v>
      </c>
      <c r="T40" s="123">
        <f>'Capacity charges'!T277</f>
        <v>0</v>
      </c>
      <c r="U40" s="123">
        <f>'Capacity charges'!U277</f>
        <v>0</v>
      </c>
      <c r="V40" s="123">
        <f>'Capacity charges'!V277</f>
        <v>0</v>
      </c>
      <c r="W40" s="123">
        <f>'Capacity charges'!W277</f>
        <v>0</v>
      </c>
      <c r="X40" s="123">
        <f>'Capacity charges'!X277</f>
        <v>0</v>
      </c>
      <c r="Y40" s="123">
        <f>'Capacity charges'!Y277</f>
        <v>0</v>
      </c>
      <c r="Z40" s="123">
        <f>'Capacity charges'!Z277</f>
        <v>0</v>
      </c>
      <c r="AA40" s="123">
        <f>'Capacity charges'!AA277</f>
        <v>0</v>
      </c>
      <c r="AB40" s="123">
        <f>'Capacity charges'!AB277</f>
        <v>0</v>
      </c>
      <c r="AC40" s="123">
        <f>'Capacity charges'!AC277</f>
        <v>0</v>
      </c>
      <c r="AD40" s="123">
        <f>'Capacity charges'!AD277</f>
        <v>0</v>
      </c>
      <c r="AE40" s="123">
        <f>'Capacity charges'!AE277</f>
        <v>0</v>
      </c>
      <c r="AF40" s="123">
        <f>'Capacity charges'!AF277</f>
        <v>0</v>
      </c>
      <c r="AG40" s="123">
        <f>'Capacity charges'!AG277</f>
        <v>0</v>
      </c>
      <c r="AH40" s="123">
        <f>'Capacity charges'!AH277</f>
        <v>0</v>
      </c>
      <c r="AI40" s="123">
        <f>'Capacity charges'!AI277</f>
        <v>0</v>
      </c>
      <c r="AJ40" s="123">
        <f>'Capacity charges'!AJ277</f>
        <v>0</v>
      </c>
      <c r="AK40" s="123">
        <f>'Capacity charges'!AK277</f>
        <v>0</v>
      </c>
      <c r="AL40" s="123">
        <f>'Capacity charges'!AL277</f>
        <v>0</v>
      </c>
      <c r="AM40" s="123">
        <f>'Capacity charges'!AM277</f>
        <v>0</v>
      </c>
      <c r="AN40" s="123">
        <f>'Capacity charges'!AN277</f>
        <v>0</v>
      </c>
      <c r="AO40" s="123">
        <f>'Capacity charges'!AO277</f>
        <v>0</v>
      </c>
      <c r="AP40" s="123">
        <f>'Capacity charges'!AP277</f>
        <v>0</v>
      </c>
    </row>
    <row r="41" spans="3:42" x14ac:dyDescent="0.25">
      <c r="C41" s="91"/>
      <c r="F41" t="s">
        <v>228</v>
      </c>
      <c r="G41" t="s">
        <v>329</v>
      </c>
      <c r="J41" s="123">
        <f>'Capacity charges'!J278</f>
        <v>0</v>
      </c>
      <c r="K41" s="123">
        <f>'Capacity charges'!K278</f>
        <v>0</v>
      </c>
      <c r="L41" s="123">
        <f>'Capacity charges'!L278</f>
        <v>0</v>
      </c>
      <c r="M41" s="123">
        <f>'Capacity charges'!M278</f>
        <v>0</v>
      </c>
      <c r="N41" s="123">
        <f>'Capacity charges'!N278</f>
        <v>0</v>
      </c>
      <c r="O41" s="123">
        <f>'Capacity charges'!O278</f>
        <v>0</v>
      </c>
      <c r="P41" s="123">
        <f>'Capacity charges'!P278</f>
        <v>0</v>
      </c>
      <c r="Q41" s="123">
        <f>'Capacity charges'!Q278</f>
        <v>0</v>
      </c>
      <c r="R41" s="123">
        <f>'Capacity charges'!R278</f>
        <v>0</v>
      </c>
      <c r="S41" s="123">
        <f>'Capacity charges'!S278</f>
        <v>0</v>
      </c>
      <c r="T41" s="123">
        <f>'Capacity charges'!T278</f>
        <v>0</v>
      </c>
      <c r="U41" s="123">
        <f>'Capacity charges'!U278</f>
        <v>0</v>
      </c>
      <c r="V41" s="123">
        <f>'Capacity charges'!V278</f>
        <v>0</v>
      </c>
      <c r="W41" s="123">
        <f>'Capacity charges'!W278</f>
        <v>0</v>
      </c>
      <c r="X41" s="123">
        <f>'Capacity charges'!X278</f>
        <v>0</v>
      </c>
      <c r="Y41" s="123">
        <f>'Capacity charges'!Y278</f>
        <v>0</v>
      </c>
      <c r="Z41" s="123">
        <f>'Capacity charges'!Z278</f>
        <v>0</v>
      </c>
      <c r="AA41" s="123">
        <f>'Capacity charges'!AA278</f>
        <v>0</v>
      </c>
      <c r="AB41" s="123">
        <f>'Capacity charges'!AB278</f>
        <v>0</v>
      </c>
      <c r="AC41" s="123">
        <f>'Capacity charges'!AC278</f>
        <v>0</v>
      </c>
      <c r="AD41" s="123">
        <f>'Capacity charges'!AD278</f>
        <v>0</v>
      </c>
      <c r="AE41" s="123">
        <f>'Capacity charges'!AE278</f>
        <v>0</v>
      </c>
      <c r="AF41" s="123">
        <f>'Capacity charges'!AF278</f>
        <v>0</v>
      </c>
      <c r="AG41" s="123">
        <f>'Capacity charges'!AG278</f>
        <v>0</v>
      </c>
      <c r="AH41" s="123">
        <f>'Capacity charges'!AH278</f>
        <v>0</v>
      </c>
      <c r="AI41" s="123">
        <f>'Capacity charges'!AI278</f>
        <v>0</v>
      </c>
      <c r="AJ41" s="123">
        <f>'Capacity charges'!AJ278</f>
        <v>0</v>
      </c>
      <c r="AK41" s="123">
        <f>'Capacity charges'!AK278</f>
        <v>0</v>
      </c>
      <c r="AL41" s="123">
        <f>'Capacity charges'!AL278</f>
        <v>0</v>
      </c>
      <c r="AM41" s="123">
        <f>'Capacity charges'!AM278</f>
        <v>0</v>
      </c>
      <c r="AN41" s="123">
        <f>'Capacity charges'!AN278</f>
        <v>0</v>
      </c>
      <c r="AO41" s="123">
        <f>'Capacity charges'!AO278</f>
        <v>0</v>
      </c>
      <c r="AP41" s="123">
        <f>'Capacity charges'!AP278</f>
        <v>0</v>
      </c>
    </row>
    <row r="42" spans="3:42" x14ac:dyDescent="0.25">
      <c r="C42" s="91"/>
      <c r="F42" t="s">
        <v>229</v>
      </c>
      <c r="G42" t="s">
        <v>329</v>
      </c>
      <c r="J42" s="123">
        <f>'Capacity charges'!J279</f>
        <v>0</v>
      </c>
      <c r="K42" s="123">
        <f>'Capacity charges'!K279</f>
        <v>0</v>
      </c>
      <c r="L42" s="123">
        <f>'Capacity charges'!L279</f>
        <v>0</v>
      </c>
      <c r="M42" s="123">
        <f>'Capacity charges'!M279</f>
        <v>0</v>
      </c>
      <c r="N42" s="123">
        <f>'Capacity charges'!N279</f>
        <v>0</v>
      </c>
      <c r="O42" s="123">
        <f>'Capacity charges'!O279</f>
        <v>0</v>
      </c>
      <c r="P42" s="123">
        <f>'Capacity charges'!P279</f>
        <v>0</v>
      </c>
      <c r="Q42" s="123">
        <f>'Capacity charges'!Q279</f>
        <v>0</v>
      </c>
      <c r="R42" s="123">
        <f>'Capacity charges'!R279</f>
        <v>0</v>
      </c>
      <c r="S42" s="123">
        <f>'Capacity charges'!S279</f>
        <v>0</v>
      </c>
      <c r="T42" s="123">
        <f>'Capacity charges'!T279</f>
        <v>0</v>
      </c>
      <c r="U42" s="123">
        <f>'Capacity charges'!U279</f>
        <v>0</v>
      </c>
      <c r="V42" s="123">
        <f>'Capacity charges'!V279</f>
        <v>0</v>
      </c>
      <c r="W42" s="123">
        <f>'Capacity charges'!W279</f>
        <v>0</v>
      </c>
      <c r="X42" s="123">
        <f>'Capacity charges'!X279</f>
        <v>0</v>
      </c>
      <c r="Y42" s="123">
        <f>'Capacity charges'!Y279</f>
        <v>0</v>
      </c>
      <c r="Z42" s="123">
        <f>'Capacity charges'!Z279</f>
        <v>0</v>
      </c>
      <c r="AA42" s="123">
        <f>'Capacity charges'!AA279</f>
        <v>0</v>
      </c>
      <c r="AB42" s="123">
        <f>'Capacity charges'!AB279</f>
        <v>0</v>
      </c>
      <c r="AC42" s="123">
        <f>'Capacity charges'!AC279</f>
        <v>0</v>
      </c>
      <c r="AD42" s="123">
        <f>'Capacity charges'!AD279</f>
        <v>0</v>
      </c>
      <c r="AE42" s="123">
        <f>'Capacity charges'!AE279</f>
        <v>0</v>
      </c>
      <c r="AF42" s="123">
        <f>'Capacity charges'!AF279</f>
        <v>0</v>
      </c>
      <c r="AG42" s="123">
        <f>'Capacity charges'!AG279</f>
        <v>0</v>
      </c>
      <c r="AH42" s="123">
        <f>'Capacity charges'!AH279</f>
        <v>0</v>
      </c>
      <c r="AI42" s="123">
        <f>'Capacity charges'!AI279</f>
        <v>0</v>
      </c>
      <c r="AJ42" s="123">
        <f>'Capacity charges'!AJ279</f>
        <v>0</v>
      </c>
      <c r="AK42" s="123">
        <f>'Capacity charges'!AK279</f>
        <v>0</v>
      </c>
      <c r="AL42" s="123">
        <f>'Capacity charges'!AL279</f>
        <v>0</v>
      </c>
      <c r="AM42" s="123">
        <f>'Capacity charges'!AM279</f>
        <v>0</v>
      </c>
      <c r="AN42" s="123">
        <f>'Capacity charges'!AN279</f>
        <v>0</v>
      </c>
      <c r="AO42" s="123">
        <f>'Capacity charges'!AO279</f>
        <v>0</v>
      </c>
      <c r="AP42" s="123">
        <f>'Capacity charges'!AP279</f>
        <v>0</v>
      </c>
    </row>
    <row r="43" spans="3:42" x14ac:dyDescent="0.25">
      <c r="C43" s="91"/>
      <c r="F43" t="s">
        <v>230</v>
      </c>
      <c r="G43" t="s">
        <v>329</v>
      </c>
      <c r="J43" s="123">
        <f>'Capacity charges'!J280</f>
        <v>0</v>
      </c>
      <c r="K43" s="123">
        <f>'Capacity charges'!K280</f>
        <v>0</v>
      </c>
      <c r="L43" s="123">
        <f>'Capacity charges'!L280</f>
        <v>0</v>
      </c>
      <c r="M43" s="123">
        <f>'Capacity charges'!M280</f>
        <v>0</v>
      </c>
      <c r="N43" s="123">
        <f>'Capacity charges'!N280</f>
        <v>0</v>
      </c>
      <c r="O43" s="123">
        <f>'Capacity charges'!O280</f>
        <v>0</v>
      </c>
      <c r="P43" s="123">
        <f>'Capacity charges'!P280</f>
        <v>0</v>
      </c>
      <c r="Q43" s="123">
        <f>'Capacity charges'!Q280</f>
        <v>0</v>
      </c>
      <c r="R43" s="123">
        <f>'Capacity charges'!R280</f>
        <v>0.30596205351779326</v>
      </c>
      <c r="S43" s="123">
        <f>'Capacity charges'!S280</f>
        <v>0</v>
      </c>
      <c r="T43" s="123">
        <f>'Capacity charges'!T280</f>
        <v>0</v>
      </c>
      <c r="U43" s="123">
        <f>'Capacity charges'!U280</f>
        <v>0</v>
      </c>
      <c r="V43" s="123">
        <f>'Capacity charges'!V280</f>
        <v>0</v>
      </c>
      <c r="W43" s="123">
        <f>'Capacity charges'!W280</f>
        <v>0</v>
      </c>
      <c r="X43" s="123">
        <f>'Capacity charges'!X280</f>
        <v>0</v>
      </c>
      <c r="Y43" s="123">
        <f>'Capacity charges'!Y280</f>
        <v>0</v>
      </c>
      <c r="Z43" s="123">
        <f>'Capacity charges'!Z280</f>
        <v>0</v>
      </c>
      <c r="AA43" s="123">
        <f>'Capacity charges'!AA280</f>
        <v>0</v>
      </c>
      <c r="AB43" s="123">
        <f>'Capacity charges'!AB280</f>
        <v>0</v>
      </c>
      <c r="AC43" s="123">
        <f>'Capacity charges'!AC280</f>
        <v>0</v>
      </c>
      <c r="AD43" s="123">
        <f>'Capacity charges'!AD280</f>
        <v>0</v>
      </c>
      <c r="AE43" s="123">
        <f>'Capacity charges'!AE280</f>
        <v>0</v>
      </c>
      <c r="AF43" s="123">
        <f>'Capacity charges'!AF280</f>
        <v>0</v>
      </c>
      <c r="AG43" s="123">
        <f>'Capacity charges'!AG280</f>
        <v>0</v>
      </c>
      <c r="AH43" s="123">
        <f>'Capacity charges'!AH280</f>
        <v>0</v>
      </c>
      <c r="AI43" s="123">
        <f>'Capacity charges'!AI280</f>
        <v>0</v>
      </c>
      <c r="AJ43" s="123">
        <f>'Capacity charges'!AJ280</f>
        <v>0</v>
      </c>
      <c r="AK43" s="123">
        <f>'Capacity charges'!AK280</f>
        <v>0</v>
      </c>
      <c r="AL43" s="123">
        <f>'Capacity charges'!AL280</f>
        <v>0</v>
      </c>
      <c r="AM43" s="123">
        <f>'Capacity charges'!AM280</f>
        <v>0</v>
      </c>
      <c r="AN43" s="123">
        <f>'Capacity charges'!AN280</f>
        <v>0</v>
      </c>
      <c r="AO43" s="123">
        <f>'Capacity charges'!AO280</f>
        <v>0</v>
      </c>
      <c r="AP43" s="123">
        <f>'Capacity charges'!AP280</f>
        <v>0</v>
      </c>
    </row>
    <row r="44" spans="3:42" x14ac:dyDescent="0.25">
      <c r="C44" s="91"/>
      <c r="F44" t="s">
        <v>231</v>
      </c>
      <c r="G44" t="s">
        <v>329</v>
      </c>
      <c r="J44" s="123">
        <f>'Capacity charges'!J281</f>
        <v>0</v>
      </c>
      <c r="K44" s="123">
        <f>'Capacity charges'!K281</f>
        <v>0</v>
      </c>
      <c r="L44" s="123">
        <f>'Capacity charges'!L281</f>
        <v>0</v>
      </c>
      <c r="M44" s="123">
        <f>'Capacity charges'!M281</f>
        <v>0</v>
      </c>
      <c r="N44" s="123">
        <f>'Capacity charges'!N281</f>
        <v>0</v>
      </c>
      <c r="O44" s="123">
        <f>'Capacity charges'!O281</f>
        <v>0</v>
      </c>
      <c r="P44" s="123">
        <f>'Capacity charges'!P281</f>
        <v>0</v>
      </c>
      <c r="Q44" s="123">
        <f>'Capacity charges'!Q281</f>
        <v>0</v>
      </c>
      <c r="R44" s="123">
        <f>'Capacity charges'!R281</f>
        <v>1.3841666779358266</v>
      </c>
      <c r="S44" s="123">
        <f>'Capacity charges'!S281</f>
        <v>0</v>
      </c>
      <c r="T44" s="123">
        <f>'Capacity charges'!T281</f>
        <v>0</v>
      </c>
      <c r="U44" s="123">
        <f>'Capacity charges'!U281</f>
        <v>0</v>
      </c>
      <c r="V44" s="123">
        <f>'Capacity charges'!V281</f>
        <v>0</v>
      </c>
      <c r="W44" s="123">
        <f>'Capacity charges'!W281</f>
        <v>0</v>
      </c>
      <c r="X44" s="123">
        <f>'Capacity charges'!X281</f>
        <v>0</v>
      </c>
      <c r="Y44" s="123">
        <f>'Capacity charges'!Y281</f>
        <v>0</v>
      </c>
      <c r="Z44" s="123">
        <f>'Capacity charges'!Z281</f>
        <v>0</v>
      </c>
      <c r="AA44" s="123">
        <f>'Capacity charges'!AA281</f>
        <v>0</v>
      </c>
      <c r="AB44" s="123">
        <f>'Capacity charges'!AB281</f>
        <v>0</v>
      </c>
      <c r="AC44" s="123">
        <f>'Capacity charges'!AC281</f>
        <v>0</v>
      </c>
      <c r="AD44" s="123">
        <f>'Capacity charges'!AD281</f>
        <v>0</v>
      </c>
      <c r="AE44" s="123">
        <f>'Capacity charges'!AE281</f>
        <v>0</v>
      </c>
      <c r="AF44" s="123">
        <f>'Capacity charges'!AF281</f>
        <v>0</v>
      </c>
      <c r="AG44" s="123">
        <f>'Capacity charges'!AG281</f>
        <v>0</v>
      </c>
      <c r="AH44" s="123">
        <f>'Capacity charges'!AH281</f>
        <v>0</v>
      </c>
      <c r="AI44" s="123">
        <f>'Capacity charges'!AI281</f>
        <v>0</v>
      </c>
      <c r="AJ44" s="123">
        <f>'Capacity charges'!AJ281</f>
        <v>0</v>
      </c>
      <c r="AK44" s="123">
        <f>'Capacity charges'!AK281</f>
        <v>0</v>
      </c>
      <c r="AL44" s="123">
        <f>'Capacity charges'!AL281</f>
        <v>0</v>
      </c>
      <c r="AM44" s="123">
        <f>'Capacity charges'!AM281</f>
        <v>0</v>
      </c>
      <c r="AN44" s="123">
        <f>'Capacity charges'!AN281</f>
        <v>0</v>
      </c>
      <c r="AO44" s="123">
        <f>'Capacity charges'!AO281</f>
        <v>0</v>
      </c>
      <c r="AP44" s="123">
        <f>'Capacity charges'!AP281</f>
        <v>0</v>
      </c>
    </row>
    <row r="45" spans="3:42" x14ac:dyDescent="0.25">
      <c r="C45" s="91"/>
      <c r="F45" t="s">
        <v>232</v>
      </c>
      <c r="G45" t="s">
        <v>329</v>
      </c>
      <c r="J45" s="123">
        <f>'Capacity charges'!J282</f>
        <v>0</v>
      </c>
      <c r="K45" s="123">
        <f>'Capacity charges'!K282</f>
        <v>0</v>
      </c>
      <c r="L45" s="123">
        <f>'Capacity charges'!L282</f>
        <v>0</v>
      </c>
      <c r="M45" s="123">
        <f>'Capacity charges'!M282</f>
        <v>0</v>
      </c>
      <c r="N45" s="123">
        <f>'Capacity charges'!N282</f>
        <v>0</v>
      </c>
      <c r="O45" s="123">
        <f>'Capacity charges'!O282</f>
        <v>0</v>
      </c>
      <c r="P45" s="123">
        <f>'Capacity charges'!P282</f>
        <v>0</v>
      </c>
      <c r="Q45" s="123">
        <f>'Capacity charges'!Q282</f>
        <v>0</v>
      </c>
      <c r="R45" s="123">
        <f>'Capacity charges'!R282</f>
        <v>0</v>
      </c>
      <c r="S45" s="123">
        <f>'Capacity charges'!S282</f>
        <v>0</v>
      </c>
      <c r="T45" s="123">
        <f>'Capacity charges'!T282</f>
        <v>0</v>
      </c>
      <c r="U45" s="123">
        <f>'Capacity charges'!U282</f>
        <v>0</v>
      </c>
      <c r="V45" s="123">
        <f>'Capacity charges'!V282</f>
        <v>0</v>
      </c>
      <c r="W45" s="123">
        <f>'Capacity charges'!W282</f>
        <v>0</v>
      </c>
      <c r="X45" s="123">
        <f>'Capacity charges'!X282</f>
        <v>0</v>
      </c>
      <c r="Y45" s="123">
        <f>'Capacity charges'!Y282</f>
        <v>0</v>
      </c>
      <c r="Z45" s="123">
        <f>'Capacity charges'!Z282</f>
        <v>0</v>
      </c>
      <c r="AA45" s="123">
        <f>'Capacity charges'!AA282</f>
        <v>0</v>
      </c>
      <c r="AB45" s="123">
        <f>'Capacity charges'!AB282</f>
        <v>0</v>
      </c>
      <c r="AC45" s="123">
        <f>'Capacity charges'!AC282</f>
        <v>0</v>
      </c>
      <c r="AD45" s="123">
        <f>'Capacity charges'!AD282</f>
        <v>0</v>
      </c>
      <c r="AE45" s="123">
        <f>'Capacity charges'!AE282</f>
        <v>0</v>
      </c>
      <c r="AF45" s="123">
        <f>'Capacity charges'!AF282</f>
        <v>0</v>
      </c>
      <c r="AG45" s="123">
        <f>'Capacity charges'!AG282</f>
        <v>0</v>
      </c>
      <c r="AH45" s="123">
        <f>'Capacity charges'!AH282</f>
        <v>0</v>
      </c>
      <c r="AI45" s="123">
        <f>'Capacity charges'!AI282</f>
        <v>0</v>
      </c>
      <c r="AJ45" s="123">
        <f>'Capacity charges'!AJ282</f>
        <v>0</v>
      </c>
      <c r="AK45" s="123">
        <f>'Capacity charges'!AK282</f>
        <v>0</v>
      </c>
      <c r="AL45" s="123">
        <f>'Capacity charges'!AL282</f>
        <v>0</v>
      </c>
      <c r="AM45" s="123">
        <f>'Capacity charges'!AM282</f>
        <v>0</v>
      </c>
      <c r="AN45" s="123">
        <f>'Capacity charges'!AN282</f>
        <v>0</v>
      </c>
      <c r="AO45" s="123">
        <f>'Capacity charges'!AO282</f>
        <v>0</v>
      </c>
      <c r="AP45" s="123">
        <f>'Capacity charges'!AP282</f>
        <v>0</v>
      </c>
    </row>
    <row r="46" spans="3:42" x14ac:dyDescent="0.25">
      <c r="C46" s="91"/>
      <c r="F46" t="s">
        <v>233</v>
      </c>
      <c r="G46" t="s">
        <v>329</v>
      </c>
      <c r="J46" s="123">
        <f>'Capacity charges'!J283</f>
        <v>0</v>
      </c>
      <c r="K46" s="123">
        <f>'Capacity charges'!K283</f>
        <v>0</v>
      </c>
      <c r="L46" s="123">
        <f>'Capacity charges'!L283</f>
        <v>0</v>
      </c>
      <c r="M46" s="123">
        <f>'Capacity charges'!M283</f>
        <v>0</v>
      </c>
      <c r="N46" s="123">
        <f>'Capacity charges'!N283</f>
        <v>0</v>
      </c>
      <c r="O46" s="123">
        <f>'Capacity charges'!O283</f>
        <v>0</v>
      </c>
      <c r="P46" s="123">
        <f>'Capacity charges'!P283</f>
        <v>0</v>
      </c>
      <c r="Q46" s="123">
        <f>'Capacity charges'!Q283</f>
        <v>0</v>
      </c>
      <c r="R46" s="123">
        <f>'Capacity charges'!R283</f>
        <v>3.7225699529531289</v>
      </c>
      <c r="S46" s="123">
        <f>'Capacity charges'!S283</f>
        <v>0</v>
      </c>
      <c r="T46" s="123">
        <f>'Capacity charges'!T283</f>
        <v>0</v>
      </c>
      <c r="U46" s="123">
        <f>'Capacity charges'!U283</f>
        <v>0</v>
      </c>
      <c r="V46" s="123">
        <f>'Capacity charges'!V283</f>
        <v>0</v>
      </c>
      <c r="W46" s="123">
        <f>'Capacity charges'!W283</f>
        <v>0</v>
      </c>
      <c r="X46" s="123">
        <f>'Capacity charges'!X283</f>
        <v>0</v>
      </c>
      <c r="Y46" s="123">
        <f>'Capacity charges'!Y283</f>
        <v>0</v>
      </c>
      <c r="Z46" s="123">
        <f>'Capacity charges'!Z283</f>
        <v>0</v>
      </c>
      <c r="AA46" s="123">
        <f>'Capacity charges'!AA283</f>
        <v>0</v>
      </c>
      <c r="AB46" s="123">
        <f>'Capacity charges'!AB283</f>
        <v>0</v>
      </c>
      <c r="AC46" s="123">
        <f>'Capacity charges'!AC283</f>
        <v>0</v>
      </c>
      <c r="AD46" s="123">
        <f>'Capacity charges'!AD283</f>
        <v>0</v>
      </c>
      <c r="AE46" s="123">
        <f>'Capacity charges'!AE283</f>
        <v>0</v>
      </c>
      <c r="AF46" s="123">
        <f>'Capacity charges'!AF283</f>
        <v>0</v>
      </c>
      <c r="AG46" s="123">
        <f>'Capacity charges'!AG283</f>
        <v>0</v>
      </c>
      <c r="AH46" s="123">
        <f>'Capacity charges'!AH283</f>
        <v>0</v>
      </c>
      <c r="AI46" s="123">
        <f>'Capacity charges'!AI283</f>
        <v>0</v>
      </c>
      <c r="AJ46" s="123">
        <f>'Capacity charges'!AJ283</f>
        <v>0</v>
      </c>
      <c r="AK46" s="123">
        <f>'Capacity charges'!AK283</f>
        <v>0</v>
      </c>
      <c r="AL46" s="123">
        <f>'Capacity charges'!AL283</f>
        <v>0</v>
      </c>
      <c r="AM46" s="123">
        <f>'Capacity charges'!AM283</f>
        <v>0</v>
      </c>
      <c r="AN46" s="123">
        <f>'Capacity charges'!AN283</f>
        <v>0</v>
      </c>
      <c r="AO46" s="123">
        <f>'Capacity charges'!AO283</f>
        <v>0</v>
      </c>
      <c r="AP46" s="123">
        <f>'Capacity charges'!AP283</f>
        <v>0</v>
      </c>
    </row>
    <row r="47" spans="3:42" x14ac:dyDescent="0.25">
      <c r="C47" s="91"/>
      <c r="F47" t="s">
        <v>234</v>
      </c>
      <c r="G47" t="s">
        <v>329</v>
      </c>
      <c r="J47" s="123">
        <f>'Capacity charges'!J284</f>
        <v>0</v>
      </c>
      <c r="K47" s="123">
        <f>'Capacity charges'!K284</f>
        <v>0</v>
      </c>
      <c r="L47" s="123">
        <f>'Capacity charges'!L284</f>
        <v>0</v>
      </c>
      <c r="M47" s="123">
        <f>'Capacity charges'!M284</f>
        <v>0</v>
      </c>
      <c r="N47" s="123">
        <f>'Capacity charges'!N284</f>
        <v>0</v>
      </c>
      <c r="O47" s="123">
        <f>'Capacity charges'!O284</f>
        <v>0</v>
      </c>
      <c r="P47" s="123">
        <f>'Capacity charges'!P284</f>
        <v>0</v>
      </c>
      <c r="Q47" s="123">
        <f>'Capacity charges'!Q284</f>
        <v>0.92058689350217082</v>
      </c>
      <c r="R47" s="123">
        <f>'Capacity charges'!R284</f>
        <v>0</v>
      </c>
      <c r="S47" s="123">
        <f>'Capacity charges'!S284</f>
        <v>0</v>
      </c>
      <c r="T47" s="123">
        <f>'Capacity charges'!T284</f>
        <v>0</v>
      </c>
      <c r="U47" s="123">
        <f>'Capacity charges'!U284</f>
        <v>0</v>
      </c>
      <c r="V47" s="123">
        <f>'Capacity charges'!V284</f>
        <v>0</v>
      </c>
      <c r="W47" s="123">
        <f>'Capacity charges'!W284</f>
        <v>0</v>
      </c>
      <c r="X47" s="123">
        <f>'Capacity charges'!X284</f>
        <v>0</v>
      </c>
      <c r="Y47" s="123">
        <f>'Capacity charges'!Y284</f>
        <v>0</v>
      </c>
      <c r="Z47" s="123">
        <f>'Capacity charges'!Z284</f>
        <v>0</v>
      </c>
      <c r="AA47" s="123">
        <f>'Capacity charges'!AA284</f>
        <v>0</v>
      </c>
      <c r="AB47" s="123">
        <f>'Capacity charges'!AB284</f>
        <v>0</v>
      </c>
      <c r="AC47" s="123">
        <f>'Capacity charges'!AC284</f>
        <v>0</v>
      </c>
      <c r="AD47" s="123">
        <f>'Capacity charges'!AD284</f>
        <v>0</v>
      </c>
      <c r="AE47" s="123">
        <f>'Capacity charges'!AE284</f>
        <v>0</v>
      </c>
      <c r="AF47" s="123">
        <f>'Capacity charges'!AF284</f>
        <v>0</v>
      </c>
      <c r="AG47" s="123">
        <f>'Capacity charges'!AG284</f>
        <v>0</v>
      </c>
      <c r="AH47" s="123">
        <f>'Capacity charges'!AH284</f>
        <v>0</v>
      </c>
      <c r="AI47" s="123">
        <f>'Capacity charges'!AI284</f>
        <v>0</v>
      </c>
      <c r="AJ47" s="123">
        <f>'Capacity charges'!AJ284</f>
        <v>0</v>
      </c>
      <c r="AK47" s="123">
        <f>'Capacity charges'!AK284</f>
        <v>0</v>
      </c>
      <c r="AL47" s="123">
        <f>'Capacity charges'!AL284</f>
        <v>0</v>
      </c>
      <c r="AM47" s="123">
        <f>'Capacity charges'!AM284</f>
        <v>0</v>
      </c>
      <c r="AN47" s="123">
        <f>'Capacity charges'!AN284</f>
        <v>0</v>
      </c>
      <c r="AO47" s="123">
        <f>'Capacity charges'!AO284</f>
        <v>0</v>
      </c>
      <c r="AP47" s="123">
        <f>'Capacity charges'!AP284</f>
        <v>0</v>
      </c>
    </row>
    <row r="48" spans="3:42" x14ac:dyDescent="0.25">
      <c r="C48" s="91"/>
      <c r="F48" t="s">
        <v>235</v>
      </c>
      <c r="G48" t="s">
        <v>329</v>
      </c>
      <c r="J48" s="123">
        <f>'Capacity charges'!J285</f>
        <v>2.0930483819943402</v>
      </c>
      <c r="K48" s="123">
        <f>'Capacity charges'!K285</f>
        <v>2.0930483819943402</v>
      </c>
      <c r="L48" s="123">
        <f>'Capacity charges'!L285</f>
        <v>0</v>
      </c>
      <c r="M48" s="123">
        <f>'Capacity charges'!M285</f>
        <v>2.0930483819943402</v>
      </c>
      <c r="N48" s="123">
        <f>'Capacity charges'!N285</f>
        <v>2.0930483819943402</v>
      </c>
      <c r="O48" s="123">
        <f>'Capacity charges'!O285</f>
        <v>0</v>
      </c>
      <c r="P48" s="123">
        <f>'Capacity charges'!P285</f>
        <v>2.0930483819943402</v>
      </c>
      <c r="Q48" s="123">
        <f>'Capacity charges'!Q285</f>
        <v>0</v>
      </c>
      <c r="R48" s="123">
        <f>'Capacity charges'!R285</f>
        <v>0</v>
      </c>
      <c r="S48" s="123">
        <f>'Capacity charges'!S285</f>
        <v>2.0930483819943402</v>
      </c>
      <c r="T48" s="123">
        <f>'Capacity charges'!T285</f>
        <v>2.0930483819943402</v>
      </c>
      <c r="U48" s="123">
        <f>'Capacity charges'!U285</f>
        <v>0</v>
      </c>
      <c r="V48" s="123">
        <f>'Capacity charges'!V285</f>
        <v>0</v>
      </c>
      <c r="W48" s="123">
        <f>'Capacity charges'!W285</f>
        <v>0</v>
      </c>
      <c r="X48" s="123">
        <f>'Capacity charges'!X285</f>
        <v>0</v>
      </c>
      <c r="Y48" s="123">
        <f>'Capacity charges'!Y285</f>
        <v>0</v>
      </c>
      <c r="Z48" s="123">
        <f>'Capacity charges'!Z285</f>
        <v>0</v>
      </c>
      <c r="AA48" s="123">
        <f>'Capacity charges'!AA285</f>
        <v>0</v>
      </c>
      <c r="AB48" s="123">
        <f>'Capacity charges'!AB285</f>
        <v>0</v>
      </c>
      <c r="AC48" s="123">
        <f>'Capacity charges'!AC285</f>
        <v>0</v>
      </c>
      <c r="AD48" s="123">
        <f>'Capacity charges'!AD285</f>
        <v>0</v>
      </c>
      <c r="AE48" s="123">
        <f>'Capacity charges'!AE285</f>
        <v>0</v>
      </c>
      <c r="AF48" s="123">
        <f>'Capacity charges'!AF285</f>
        <v>0</v>
      </c>
      <c r="AG48" s="123">
        <f>'Capacity charges'!AG285</f>
        <v>0</v>
      </c>
      <c r="AH48" s="123">
        <f>'Capacity charges'!AH285</f>
        <v>0</v>
      </c>
      <c r="AI48" s="123">
        <f>'Capacity charges'!AI285</f>
        <v>0</v>
      </c>
      <c r="AJ48" s="123">
        <f>'Capacity charges'!AJ285</f>
        <v>0</v>
      </c>
      <c r="AK48" s="123">
        <f>'Capacity charges'!AK285</f>
        <v>0</v>
      </c>
      <c r="AL48" s="123">
        <f>'Capacity charges'!AL285</f>
        <v>0</v>
      </c>
      <c r="AM48" s="123">
        <f>'Capacity charges'!AM285</f>
        <v>0</v>
      </c>
      <c r="AN48" s="123">
        <f>'Capacity charges'!AN285</f>
        <v>0</v>
      </c>
      <c r="AO48" s="123">
        <f>'Capacity charges'!AO285</f>
        <v>0</v>
      </c>
      <c r="AP48" s="123">
        <f>'Capacity charges'!AP285</f>
        <v>0</v>
      </c>
    </row>
    <row r="49" spans="3:44" x14ac:dyDescent="0.25">
      <c r="C49" s="91"/>
      <c r="F49" t="s">
        <v>436</v>
      </c>
      <c r="G49" t="s">
        <v>329</v>
      </c>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79"/>
      <c r="AO49" s="79"/>
      <c r="AP49" s="79"/>
    </row>
    <row r="50" spans="3:44" x14ac:dyDescent="0.25">
      <c r="C50" s="91"/>
      <c r="F50" s="37" t="s">
        <v>437</v>
      </c>
      <c r="G50" s="37" t="s">
        <v>329</v>
      </c>
      <c r="H50" s="37"/>
      <c r="I50" s="37"/>
      <c r="J50" s="81"/>
      <c r="K50" s="81"/>
      <c r="L50" s="81"/>
      <c r="M50" s="81"/>
      <c r="N50" s="81"/>
      <c r="O50" s="81"/>
      <c r="P50" s="81"/>
      <c r="Q50" s="81"/>
      <c r="R50" s="81"/>
      <c r="S50" s="81"/>
      <c r="T50" s="81"/>
      <c r="U50" s="81"/>
      <c r="V50" s="81"/>
      <c r="W50" s="81"/>
      <c r="X50" s="81"/>
      <c r="Y50" s="81"/>
      <c r="Z50" s="81"/>
      <c r="AA50" s="81"/>
      <c r="AB50" s="81"/>
      <c r="AC50" s="81"/>
      <c r="AD50" s="81"/>
      <c r="AE50" s="81"/>
      <c r="AF50" s="81"/>
      <c r="AG50" s="81"/>
      <c r="AH50" s="81"/>
      <c r="AI50" s="81"/>
      <c r="AJ50" s="81"/>
      <c r="AK50" s="81"/>
      <c r="AL50" s="81"/>
      <c r="AM50" s="81"/>
      <c r="AN50" s="81"/>
      <c r="AO50" s="81"/>
      <c r="AP50" s="81"/>
    </row>
    <row r="51" spans="3:44" x14ac:dyDescent="0.25">
      <c r="C51" s="91"/>
      <c r="J51" s="92"/>
      <c r="K51" s="92"/>
      <c r="L51" s="92"/>
      <c r="M51" s="92"/>
      <c r="N51" s="92"/>
      <c r="O51" s="92"/>
      <c r="P51" s="92"/>
      <c r="Q51" s="92"/>
      <c r="R51" s="92"/>
      <c r="S51" s="92"/>
      <c r="T51" s="92"/>
      <c r="U51" s="92"/>
      <c r="V51" s="92"/>
      <c r="W51" s="92"/>
      <c r="X51" s="92"/>
      <c r="Y51" s="92"/>
      <c r="Z51" s="92"/>
      <c r="AA51" s="92"/>
      <c r="AB51" s="92"/>
      <c r="AC51" s="92"/>
      <c r="AD51" s="92"/>
      <c r="AE51" s="92"/>
      <c r="AF51" s="92"/>
      <c r="AG51" s="92"/>
      <c r="AH51" s="92"/>
      <c r="AI51" s="92"/>
      <c r="AJ51" s="92"/>
      <c r="AK51" s="92"/>
      <c r="AL51" s="92"/>
      <c r="AM51" s="92"/>
      <c r="AN51" s="92"/>
      <c r="AO51" s="92"/>
      <c r="AP51" s="92"/>
    </row>
    <row r="52" spans="3:44" x14ac:dyDescent="0.25">
      <c r="C52" s="31" t="str">
        <f ca="1">INDEX('Version control'!$H$34:$H$56,MATCH($A$1,'Version control'!$F$34:$F$56,0),1)&amp;"-C: Service model costs allocated to fixed charges"</f>
        <v>Section 114-C: Service model costs allocated to fixed charges</v>
      </c>
      <c r="D52" s="31"/>
      <c r="E52" s="31"/>
      <c r="F52" s="31"/>
      <c r="G52" s="31"/>
      <c r="H52" s="31"/>
      <c r="I52" s="31"/>
      <c r="J52" s="93"/>
      <c r="K52" s="93"/>
      <c r="L52" s="93"/>
      <c r="M52" s="93"/>
      <c r="N52" s="93"/>
      <c r="O52" s="93"/>
      <c r="P52" s="93"/>
      <c r="Q52" s="93"/>
      <c r="R52" s="93"/>
      <c r="S52" s="93"/>
      <c r="T52" s="93"/>
      <c r="U52" s="93"/>
      <c r="V52" s="93"/>
      <c r="W52" s="93"/>
      <c r="X52" s="93"/>
      <c r="Y52" s="93"/>
      <c r="Z52" s="93"/>
      <c r="AA52" s="93"/>
      <c r="AB52" s="93"/>
      <c r="AC52" s="93"/>
      <c r="AD52" s="93"/>
      <c r="AE52" s="93"/>
      <c r="AF52" s="93"/>
      <c r="AG52" s="93"/>
      <c r="AH52" s="93"/>
      <c r="AI52" s="93"/>
      <c r="AJ52" s="93"/>
      <c r="AK52" s="93"/>
      <c r="AL52" s="93"/>
      <c r="AM52" s="93"/>
      <c r="AN52" s="93"/>
      <c r="AO52" s="93"/>
      <c r="AP52" s="93"/>
      <c r="AQ52" s="31"/>
      <c r="AR52" s="31"/>
    </row>
    <row r="53" spans="3:44" x14ac:dyDescent="0.25">
      <c r="D53"/>
    </row>
    <row r="54" spans="3:44" x14ac:dyDescent="0.25">
      <c r="C54" s="32"/>
      <c r="D54"/>
      <c r="E54" s="32" t="s">
        <v>734</v>
      </c>
      <c r="I54" t="s">
        <v>190</v>
      </c>
      <c r="J54" s="92"/>
      <c r="K54" s="92"/>
      <c r="L54" s="92"/>
      <c r="M54" s="92"/>
      <c r="N54" s="92"/>
      <c r="O54" s="92"/>
      <c r="P54" s="92"/>
      <c r="Q54" s="92"/>
      <c r="R54" s="92"/>
      <c r="S54" s="92"/>
      <c r="T54" s="92"/>
      <c r="U54" s="92"/>
      <c r="V54" s="92"/>
      <c r="W54" s="92"/>
      <c r="X54" s="92"/>
      <c r="Y54" s="92"/>
      <c r="Z54" s="92"/>
      <c r="AA54" s="92"/>
      <c r="AB54" s="92"/>
      <c r="AC54" s="92"/>
      <c r="AD54" s="92"/>
      <c r="AE54" s="92"/>
      <c r="AF54" s="92"/>
      <c r="AG54" s="92"/>
      <c r="AH54" s="92"/>
      <c r="AI54" s="92"/>
      <c r="AJ54" s="92"/>
      <c r="AK54" s="92"/>
      <c r="AL54" s="92"/>
      <c r="AM54" s="92"/>
      <c r="AN54" s="92"/>
      <c r="AO54" s="92"/>
      <c r="AP54" s="92"/>
      <c r="AR54" t="s">
        <v>847</v>
      </c>
    </row>
    <row r="55" spans="3:44" x14ac:dyDescent="0.25">
      <c r="C55" s="91"/>
      <c r="D55"/>
      <c r="F55" s="23" t="s">
        <v>436</v>
      </c>
      <c r="G55" s="23" t="s">
        <v>328</v>
      </c>
      <c r="H55" s="23"/>
      <c r="I55" s="23"/>
      <c r="J55" s="127">
        <f>'Service model charges'!J42</f>
        <v>3.3750871163650373</v>
      </c>
      <c r="K55" s="127">
        <f>'Service model charges'!K42</f>
        <v>3.3750871163650373</v>
      </c>
      <c r="L55" s="127">
        <f>'Service model charges'!L42</f>
        <v>0</v>
      </c>
      <c r="M55" s="127">
        <f>'Service model charges'!M42</f>
        <v>6.1487913968736496</v>
      </c>
      <c r="N55" s="127">
        <f>'Service model charges'!N42</f>
        <v>6.1487913968736496</v>
      </c>
      <c r="O55" s="127">
        <f>'Service model charges'!O42</f>
        <v>0</v>
      </c>
      <c r="P55" s="127">
        <f>'Service model charges'!P42</f>
        <v>24.060147793224598</v>
      </c>
      <c r="Q55" s="127">
        <f>'Service model charges'!Q42</f>
        <v>50.973932528541532</v>
      </c>
      <c r="R55" s="127">
        <f>'Service model charges'!R42</f>
        <v>0</v>
      </c>
      <c r="S55" s="127">
        <f>'Service model charges'!S42</f>
        <v>3.3750871163650373</v>
      </c>
      <c r="T55" s="127">
        <f>'Service model charges'!T42</f>
        <v>6.1487913968736496</v>
      </c>
      <c r="U55" s="127">
        <f>'Service model charges'!U42</f>
        <v>26.853541752552729</v>
      </c>
      <c r="V55" s="127">
        <f>'Service model charges'!V42</f>
        <v>50.973932528541532</v>
      </c>
      <c r="W55" s="127">
        <f>'Service model charges'!W42</f>
        <v>0</v>
      </c>
      <c r="X55" s="83"/>
      <c r="Y55" s="83"/>
      <c r="Z55" s="83"/>
      <c r="AA55" s="83"/>
      <c r="AB55" s="83"/>
      <c r="AC55" s="127">
        <f>'Service model charges'!AC42</f>
        <v>0</v>
      </c>
      <c r="AD55" s="127">
        <f>'Service model charges'!AD42</f>
        <v>0</v>
      </c>
      <c r="AE55" s="127">
        <f>'Service model charges'!AE42</f>
        <v>0</v>
      </c>
      <c r="AF55" s="127">
        <f>'Service model charges'!AF42</f>
        <v>0</v>
      </c>
      <c r="AG55" s="127">
        <f>'Service model charges'!AG42</f>
        <v>0</v>
      </c>
      <c r="AH55" s="127">
        <f>'Service model charges'!AH42</f>
        <v>0</v>
      </c>
      <c r="AI55" s="127">
        <f>'Service model charges'!AI42</f>
        <v>0</v>
      </c>
      <c r="AJ55" s="127">
        <f>'Service model charges'!AJ42</f>
        <v>0</v>
      </c>
      <c r="AK55" s="127">
        <f>'Service model charges'!AK42</f>
        <v>0</v>
      </c>
      <c r="AL55" s="127">
        <f>'Service model charges'!AL42</f>
        <v>0</v>
      </c>
      <c r="AM55" s="127">
        <f>'Service model charges'!AM42</f>
        <v>0</v>
      </c>
      <c r="AN55" s="127">
        <f>'Service model charges'!AN42</f>
        <v>0</v>
      </c>
      <c r="AO55" s="127">
        <f>'Service model charges'!AO42</f>
        <v>0</v>
      </c>
      <c r="AP55" s="127">
        <f>'Service model charges'!AP42</f>
        <v>0</v>
      </c>
    </row>
    <row r="56" spans="3:44" x14ac:dyDescent="0.25">
      <c r="C56" s="91"/>
      <c r="D56"/>
      <c r="F56" s="37" t="s">
        <v>437</v>
      </c>
      <c r="G56" s="37" t="s">
        <v>328</v>
      </c>
      <c r="H56" s="37"/>
      <c r="I56" s="37"/>
      <c r="J56" s="128">
        <f>'Service model charges'!J43</f>
        <v>0</v>
      </c>
      <c r="K56" s="128">
        <f>'Service model charges'!K43</f>
        <v>0</v>
      </c>
      <c r="L56" s="128">
        <f>'Service model charges'!L43</f>
        <v>0</v>
      </c>
      <c r="M56" s="128">
        <f>'Service model charges'!M43</f>
        <v>0</v>
      </c>
      <c r="N56" s="128">
        <f>'Service model charges'!N43</f>
        <v>0</v>
      </c>
      <c r="O56" s="128">
        <f>'Service model charges'!O43</f>
        <v>0</v>
      </c>
      <c r="P56" s="128">
        <f>'Service model charges'!P43</f>
        <v>0</v>
      </c>
      <c r="Q56" s="128">
        <f>'Service model charges'!Q43</f>
        <v>0</v>
      </c>
      <c r="R56" s="128">
        <f>'Service model charges'!R43</f>
        <v>298.7414348318261</v>
      </c>
      <c r="S56" s="128">
        <f>'Service model charges'!S43</f>
        <v>0</v>
      </c>
      <c r="T56" s="128">
        <f>'Service model charges'!T43</f>
        <v>0</v>
      </c>
      <c r="U56" s="128">
        <f>'Service model charges'!U43</f>
        <v>0</v>
      </c>
      <c r="V56" s="128">
        <f>'Service model charges'!V43</f>
        <v>0</v>
      </c>
      <c r="W56" s="128">
        <f>'Service model charges'!W43</f>
        <v>298.7414348318261</v>
      </c>
      <c r="X56" s="81"/>
      <c r="Y56" s="81"/>
      <c r="Z56" s="81"/>
      <c r="AA56" s="81"/>
      <c r="AB56" s="81"/>
      <c r="AC56" s="128">
        <f>'Service model charges'!AC43</f>
        <v>0</v>
      </c>
      <c r="AD56" s="128">
        <f>'Service model charges'!AD43</f>
        <v>0</v>
      </c>
      <c r="AE56" s="128">
        <f>'Service model charges'!AE43</f>
        <v>0</v>
      </c>
      <c r="AF56" s="128">
        <f>'Service model charges'!AF43</f>
        <v>0</v>
      </c>
      <c r="AG56" s="128">
        <f>'Service model charges'!AG43</f>
        <v>0</v>
      </c>
      <c r="AH56" s="128">
        <f>'Service model charges'!AH43</f>
        <v>0</v>
      </c>
      <c r="AI56" s="128">
        <f>'Service model charges'!AI43</f>
        <v>0</v>
      </c>
      <c r="AJ56" s="128">
        <f>'Service model charges'!AJ43</f>
        <v>0</v>
      </c>
      <c r="AK56" s="128">
        <f>'Service model charges'!AK43</f>
        <v>0</v>
      </c>
      <c r="AL56" s="128">
        <f>'Service model charges'!AL43</f>
        <v>0</v>
      </c>
      <c r="AM56" s="128">
        <f>'Service model charges'!AM43</f>
        <v>414.58577923888919</v>
      </c>
      <c r="AN56" s="128">
        <f>'Service model charges'!AN43</f>
        <v>414.58577923888919</v>
      </c>
      <c r="AO56" s="128">
        <f>'Service model charges'!AO43</f>
        <v>414.58577923888919</v>
      </c>
      <c r="AP56" s="128">
        <f>'Service model charges'!AP43</f>
        <v>414.58577923888919</v>
      </c>
    </row>
    <row r="57" spans="3:44" x14ac:dyDescent="0.25">
      <c r="C57" s="91"/>
      <c r="D57"/>
      <c r="F57" s="2"/>
    </row>
    <row r="58" spans="3:44" x14ac:dyDescent="0.25">
      <c r="C58" s="31" t="str">
        <f ca="1">INDEX('Version control'!$H$34:$H$56,MATCH($A$1,'Version control'!$F$34:$F$56,0),1)&amp;"-D: Flags"</f>
        <v>Section 114-D: Flags</v>
      </c>
      <c r="D58" s="31"/>
      <c r="E58" s="31"/>
      <c r="F58" s="31"/>
      <c r="G58" s="31"/>
      <c r="H58" s="31"/>
      <c r="I58" s="31"/>
      <c r="J58" s="31"/>
      <c r="K58" s="31"/>
      <c r="L58" s="31"/>
      <c r="M58" s="31"/>
      <c r="N58" s="31"/>
      <c r="O58" s="31"/>
      <c r="P58" s="31"/>
      <c r="Q58" s="31"/>
      <c r="R58" s="31"/>
      <c r="S58" s="31"/>
      <c r="T58" s="31"/>
      <c r="U58" s="31"/>
      <c r="V58" s="31"/>
      <c r="W58" s="31"/>
      <c r="X58" s="31"/>
      <c r="Y58" s="31"/>
      <c r="Z58" s="31"/>
      <c r="AA58" s="31"/>
      <c r="AB58" s="31"/>
      <c r="AC58" s="31"/>
      <c r="AD58" s="31"/>
      <c r="AE58" s="31"/>
      <c r="AF58" s="31"/>
      <c r="AG58" s="31"/>
      <c r="AH58" s="31"/>
      <c r="AI58" s="31"/>
      <c r="AJ58" s="31"/>
      <c r="AK58" s="31"/>
      <c r="AL58" s="31"/>
      <c r="AM58" s="31"/>
      <c r="AN58" s="31"/>
      <c r="AO58" s="31"/>
      <c r="AP58" s="31"/>
      <c r="AQ58" s="31"/>
      <c r="AR58" s="31"/>
    </row>
    <row r="59" spans="3:44" x14ac:dyDescent="0.25">
      <c r="C59" s="32"/>
      <c r="D59"/>
      <c r="E59"/>
    </row>
    <row r="60" spans="3:44" x14ac:dyDescent="0.25">
      <c r="D60" s="29" t="s">
        <v>848</v>
      </c>
      <c r="E60"/>
    </row>
    <row r="61" spans="3:44" x14ac:dyDescent="0.25">
      <c r="D61" s="29" t="s">
        <v>849</v>
      </c>
      <c r="E61"/>
    </row>
    <row r="62" spans="3:44" x14ac:dyDescent="0.25">
      <c r="D62" s="29"/>
      <c r="E62"/>
    </row>
    <row r="63" spans="3:44" x14ac:dyDescent="0.25">
      <c r="E63" t="s">
        <v>850</v>
      </c>
      <c r="G63" t="s">
        <v>185</v>
      </c>
      <c r="I63" t="s">
        <v>190</v>
      </c>
      <c r="J63" s="51">
        <f>'Fixed inputs'!J150</f>
        <v>1</v>
      </c>
      <c r="K63" s="51">
        <f>'Fixed inputs'!K150</f>
        <v>1</v>
      </c>
      <c r="L63" s="51">
        <f>'Fixed inputs'!L150</f>
        <v>0</v>
      </c>
      <c r="M63" s="51">
        <f>'Fixed inputs'!M150</f>
        <v>1</v>
      </c>
      <c r="N63" s="51">
        <f>'Fixed inputs'!N150</f>
        <v>1</v>
      </c>
      <c r="O63" s="51">
        <f>'Fixed inputs'!O150</f>
        <v>0</v>
      </c>
      <c r="P63" s="51">
        <f>'Fixed inputs'!P150</f>
        <v>2</v>
      </c>
      <c r="Q63" s="51">
        <f>'Fixed inputs'!Q150</f>
        <v>3</v>
      </c>
      <c r="R63" s="51">
        <f>'Fixed inputs'!R150</f>
        <v>4</v>
      </c>
      <c r="S63" s="51">
        <f>'Fixed inputs'!S150</f>
        <v>1</v>
      </c>
      <c r="T63" s="51">
        <f>'Fixed inputs'!T150</f>
        <v>1</v>
      </c>
      <c r="U63" s="51">
        <f>'Fixed inputs'!U150</f>
        <v>0</v>
      </c>
      <c r="V63" s="51">
        <f>'Fixed inputs'!V150</f>
        <v>0</v>
      </c>
      <c r="W63" s="51">
        <f>'Fixed inputs'!W150</f>
        <v>0</v>
      </c>
      <c r="X63" s="51">
        <f>'Fixed inputs'!X150</f>
        <v>0</v>
      </c>
      <c r="Y63" s="51">
        <f>'Fixed inputs'!Y150</f>
        <v>0</v>
      </c>
      <c r="Z63" s="51">
        <f>'Fixed inputs'!Z150</f>
        <v>0</v>
      </c>
      <c r="AA63" s="51">
        <f>'Fixed inputs'!AA150</f>
        <v>0</v>
      </c>
      <c r="AB63" s="51">
        <f>'Fixed inputs'!AB150</f>
        <v>0</v>
      </c>
      <c r="AC63" s="51">
        <f>'Fixed inputs'!AC150</f>
        <v>0</v>
      </c>
      <c r="AD63" s="51">
        <f>'Fixed inputs'!AD150</f>
        <v>0</v>
      </c>
      <c r="AE63" s="51">
        <f>'Fixed inputs'!AE150</f>
        <v>0</v>
      </c>
      <c r="AF63" s="51">
        <f>'Fixed inputs'!AF150</f>
        <v>0</v>
      </c>
      <c r="AG63" s="51">
        <f>'Fixed inputs'!AG150</f>
        <v>0</v>
      </c>
      <c r="AH63" s="51">
        <f>'Fixed inputs'!AH150</f>
        <v>0</v>
      </c>
      <c r="AI63" s="51">
        <f>'Fixed inputs'!AI150</f>
        <v>0</v>
      </c>
      <c r="AJ63" s="51">
        <f>'Fixed inputs'!AJ150</f>
        <v>0</v>
      </c>
      <c r="AK63" s="51">
        <f>'Fixed inputs'!AK150</f>
        <v>0</v>
      </c>
      <c r="AL63" s="51">
        <f>'Fixed inputs'!AL150</f>
        <v>0</v>
      </c>
      <c r="AM63" s="51">
        <f>'Fixed inputs'!AM150</f>
        <v>0</v>
      </c>
      <c r="AN63" s="51">
        <f>'Fixed inputs'!AN150</f>
        <v>0</v>
      </c>
      <c r="AO63" s="51">
        <f>'Fixed inputs'!AO150</f>
        <v>0</v>
      </c>
      <c r="AP63" s="51">
        <f>'Fixed inputs'!AP150</f>
        <v>0</v>
      </c>
      <c r="AR63" t="s">
        <v>851</v>
      </c>
    </row>
    <row r="65" spans="2:44" x14ac:dyDescent="0.25">
      <c r="B65" s="30" t="s">
        <v>852</v>
      </c>
      <c r="C65" s="30"/>
      <c r="D65" s="30"/>
      <c r="E65" s="30"/>
      <c r="F65" s="30"/>
      <c r="G65" s="30"/>
      <c r="H65" s="30"/>
      <c r="I65" s="30"/>
      <c r="J65" s="30"/>
      <c r="K65" s="30"/>
      <c r="L65" s="30"/>
      <c r="M65" s="30"/>
      <c r="N65" s="30"/>
      <c r="O65" s="30"/>
      <c r="P65" s="30"/>
      <c r="Q65" s="30"/>
      <c r="R65" s="30"/>
      <c r="S65" s="30"/>
      <c r="T65" s="30"/>
      <c r="U65" s="30"/>
      <c r="V65" s="30"/>
      <c r="W65" s="30"/>
      <c r="X65" s="30"/>
      <c r="Y65" s="30"/>
      <c r="Z65" s="30"/>
      <c r="AA65" s="30"/>
      <c r="AB65" s="30"/>
      <c r="AC65" s="30"/>
      <c r="AD65" s="30"/>
      <c r="AE65" s="30"/>
      <c r="AF65" s="30"/>
      <c r="AG65" s="30"/>
      <c r="AH65" s="30"/>
      <c r="AI65" s="30"/>
      <c r="AJ65" s="30"/>
      <c r="AK65" s="30"/>
      <c r="AL65" s="30"/>
      <c r="AM65" s="30"/>
      <c r="AN65" s="30"/>
      <c r="AO65" s="30"/>
      <c r="AP65" s="30"/>
      <c r="AQ65" s="30"/>
      <c r="AR65" s="30"/>
    </row>
    <row r="66" spans="2:44" x14ac:dyDescent="0.25">
      <c r="J66" s="92"/>
      <c r="K66" s="92"/>
      <c r="L66" s="92"/>
      <c r="M66" s="92"/>
      <c r="N66" s="92"/>
      <c r="O66" s="92"/>
      <c r="P66" s="92"/>
      <c r="Q66" s="92"/>
      <c r="R66" s="92"/>
      <c r="S66" s="92"/>
      <c r="T66" s="92"/>
      <c r="U66" s="92"/>
      <c r="V66" s="92"/>
      <c r="W66" s="92"/>
      <c r="X66" s="92"/>
      <c r="Y66" s="92"/>
      <c r="Z66" s="92"/>
      <c r="AA66" s="92"/>
      <c r="AB66" s="92"/>
      <c r="AC66" s="92"/>
      <c r="AD66" s="92"/>
      <c r="AE66" s="92"/>
      <c r="AF66" s="92"/>
      <c r="AG66" s="92"/>
      <c r="AH66" s="92"/>
      <c r="AI66" s="92"/>
      <c r="AJ66" s="92"/>
      <c r="AK66" s="92"/>
      <c r="AL66" s="92"/>
      <c r="AM66" s="92"/>
      <c r="AN66" s="92"/>
      <c r="AO66" s="92"/>
      <c r="AP66" s="92"/>
    </row>
    <row r="67" spans="2:44" x14ac:dyDescent="0.25">
      <c r="C67" s="31" t="str">
        <f ca="1">INDEX('Version control'!$H$34:$H$56,MATCH($A$1,'Version control'!$F$34:$F$56,0),1)&amp;"-E: Revenue allocated to fixed charges"</f>
        <v>Section 114-E: Revenue allocated to fixed charges</v>
      </c>
      <c r="D67" s="31"/>
      <c r="E67" s="31"/>
      <c r="F67" s="31"/>
      <c r="G67" s="31"/>
      <c r="H67" s="31"/>
      <c r="I67" s="31"/>
      <c r="J67" s="93"/>
      <c r="K67" s="93"/>
      <c r="L67" s="93"/>
      <c r="M67" s="93"/>
      <c r="N67" s="93"/>
      <c r="O67" s="93"/>
      <c r="P67" s="93"/>
      <c r="Q67" s="93"/>
      <c r="R67" s="93"/>
      <c r="S67" s="93"/>
      <c r="T67" s="93"/>
      <c r="U67" s="93"/>
      <c r="V67" s="93"/>
      <c r="W67" s="93"/>
      <c r="X67" s="93"/>
      <c r="Y67" s="93"/>
      <c r="Z67" s="93"/>
      <c r="AA67" s="93"/>
      <c r="AB67" s="93"/>
      <c r="AC67" s="93"/>
      <c r="AD67" s="93"/>
      <c r="AE67" s="93"/>
      <c r="AF67" s="93"/>
      <c r="AG67" s="93"/>
      <c r="AH67" s="93"/>
      <c r="AI67" s="93"/>
      <c r="AJ67" s="93"/>
      <c r="AK67" s="93"/>
      <c r="AL67" s="93"/>
      <c r="AM67" s="93"/>
      <c r="AN67" s="93"/>
      <c r="AO67" s="93"/>
      <c r="AP67" s="93"/>
      <c r="AQ67" s="31"/>
      <c r="AR67" s="31"/>
    </row>
    <row r="68" spans="2:44" x14ac:dyDescent="0.25">
      <c r="D68"/>
      <c r="E68" s="32"/>
      <c r="I68" t="s">
        <v>190</v>
      </c>
      <c r="J68" s="92"/>
      <c r="K68" s="92"/>
      <c r="L68" s="92"/>
      <c r="M68" s="92"/>
      <c r="N68" s="92"/>
      <c r="O68" s="92"/>
      <c r="P68" s="92"/>
      <c r="Q68" s="92"/>
      <c r="R68" s="92"/>
      <c r="S68" s="92"/>
      <c r="T68" s="92"/>
      <c r="U68" s="92"/>
      <c r="V68" s="92"/>
      <c r="W68" s="92"/>
      <c r="X68" s="92"/>
      <c r="Y68" s="92"/>
      <c r="Z68" s="92"/>
      <c r="AA68" s="92"/>
      <c r="AB68" s="92"/>
      <c r="AC68" s="92"/>
      <c r="AD68" s="92"/>
      <c r="AE68" s="92"/>
      <c r="AF68" s="92"/>
      <c r="AG68" s="92"/>
      <c r="AH68" s="92"/>
      <c r="AI68" s="92"/>
      <c r="AJ68" s="92"/>
      <c r="AK68" s="92"/>
      <c r="AL68" s="92"/>
      <c r="AM68" s="92"/>
      <c r="AN68" s="92"/>
      <c r="AO68" s="92"/>
      <c r="AP68" s="92"/>
      <c r="AR68" t="s">
        <v>851</v>
      </c>
    </row>
    <row r="69" spans="2:44" x14ac:dyDescent="0.25">
      <c r="C69" s="91"/>
      <c r="D69"/>
      <c r="E69" s="32" t="s">
        <v>733</v>
      </c>
      <c r="J69" s="92"/>
      <c r="K69" s="92"/>
      <c r="L69" s="92"/>
      <c r="M69" s="92"/>
      <c r="N69" s="92"/>
      <c r="O69" s="92"/>
      <c r="P69" s="92"/>
      <c r="Q69" s="92"/>
      <c r="R69" s="92"/>
      <c r="S69" s="92"/>
      <c r="T69" s="92"/>
      <c r="U69" s="92"/>
      <c r="V69" s="92"/>
      <c r="W69" s="92"/>
      <c r="X69" s="92"/>
      <c r="Y69" s="92"/>
      <c r="Z69" s="92"/>
      <c r="AA69" s="92"/>
      <c r="AB69" s="92"/>
      <c r="AC69" s="92"/>
      <c r="AD69" s="92"/>
      <c r="AE69" s="92"/>
      <c r="AF69" s="92"/>
      <c r="AG69" s="92"/>
      <c r="AH69" s="92"/>
      <c r="AI69" s="92"/>
      <c r="AJ69" s="92"/>
      <c r="AK69" s="92"/>
      <c r="AL69" s="92"/>
      <c r="AM69" s="92"/>
      <c r="AN69" s="92"/>
      <c r="AO69" s="92"/>
      <c r="AP69" s="92"/>
    </row>
    <row r="70" spans="2:44" x14ac:dyDescent="0.25">
      <c r="C70" s="91"/>
      <c r="D70"/>
      <c r="E70" s="29"/>
      <c r="F70" s="23" t="s">
        <v>225</v>
      </c>
      <c r="G70" s="23" t="s">
        <v>853</v>
      </c>
      <c r="H70" s="23"/>
      <c r="I70" s="23"/>
      <c r="J70" s="83"/>
      <c r="K70" s="83"/>
      <c r="L70" s="83"/>
      <c r="M70" s="83"/>
      <c r="N70" s="83"/>
      <c r="O70" s="83"/>
      <c r="P70" s="83"/>
      <c r="Q70" s="83"/>
      <c r="R70" s="83"/>
      <c r="S70" s="83"/>
      <c r="T70" s="83"/>
      <c r="U70" s="83"/>
      <c r="V70" s="83"/>
      <c r="W70" s="83"/>
      <c r="X70" s="83"/>
      <c r="Y70" s="83"/>
      <c r="Z70" s="83"/>
      <c r="AA70" s="83"/>
      <c r="AB70" s="83"/>
      <c r="AC70" s="83"/>
      <c r="AD70" s="83"/>
      <c r="AE70" s="83"/>
      <c r="AF70" s="83"/>
      <c r="AG70" s="83"/>
      <c r="AH70" s="83"/>
      <c r="AI70" s="83"/>
      <c r="AJ70" s="83"/>
      <c r="AK70" s="83"/>
      <c r="AL70" s="83"/>
      <c r="AM70" s="83"/>
      <c r="AN70" s="83"/>
      <c r="AO70" s="83"/>
      <c r="AP70" s="83"/>
    </row>
    <row r="71" spans="2:44" x14ac:dyDescent="0.25">
      <c r="C71" s="91"/>
      <c r="D71"/>
      <c r="E71" s="29"/>
      <c r="F71" t="s">
        <v>227</v>
      </c>
      <c r="G71" t="s">
        <v>853</v>
      </c>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79"/>
      <c r="AO71" s="79"/>
      <c r="AP71" s="79"/>
    </row>
    <row r="72" spans="2:44" x14ac:dyDescent="0.25">
      <c r="C72" s="91"/>
      <c r="D72"/>
      <c r="E72" s="29"/>
      <c r="F72" t="s">
        <v>228</v>
      </c>
      <c r="G72" t="s">
        <v>853</v>
      </c>
      <c r="J72" s="101">
        <f t="shared" ref="J72:AP72" si="0">J$20 * J27 * thousand / PowerFactor</f>
        <v>0</v>
      </c>
      <c r="K72" s="101">
        <f t="shared" si="0"/>
        <v>0</v>
      </c>
      <c r="L72" s="101">
        <f t="shared" si="0"/>
        <v>0</v>
      </c>
      <c r="M72" s="101">
        <f t="shared" si="0"/>
        <v>0</v>
      </c>
      <c r="N72" s="101">
        <f t="shared" si="0"/>
        <v>0</v>
      </c>
      <c r="O72" s="101">
        <f t="shared" si="0"/>
        <v>0</v>
      </c>
      <c r="P72" s="101">
        <f t="shared" si="0"/>
        <v>0</v>
      </c>
      <c r="Q72" s="101">
        <f t="shared" si="0"/>
        <v>0</v>
      </c>
      <c r="R72" s="101">
        <f t="shared" si="0"/>
        <v>0</v>
      </c>
      <c r="S72" s="101">
        <f t="shared" si="0"/>
        <v>0</v>
      </c>
      <c r="T72" s="101">
        <f t="shared" si="0"/>
        <v>0</v>
      </c>
      <c r="U72" s="101">
        <f t="shared" si="0"/>
        <v>0</v>
      </c>
      <c r="V72" s="101">
        <f t="shared" si="0"/>
        <v>0</v>
      </c>
      <c r="W72" s="101">
        <f t="shared" si="0"/>
        <v>0</v>
      </c>
      <c r="X72" s="101">
        <f t="shared" si="0"/>
        <v>0</v>
      </c>
      <c r="Y72" s="101">
        <f t="shared" si="0"/>
        <v>0</v>
      </c>
      <c r="Z72" s="101">
        <f t="shared" si="0"/>
        <v>0</v>
      </c>
      <c r="AA72" s="101">
        <f t="shared" si="0"/>
        <v>0</v>
      </c>
      <c r="AB72" s="101">
        <f t="shared" si="0"/>
        <v>0</v>
      </c>
      <c r="AC72" s="101">
        <f t="shared" si="0"/>
        <v>0</v>
      </c>
      <c r="AD72" s="101">
        <f t="shared" si="0"/>
        <v>0</v>
      </c>
      <c r="AE72" s="101">
        <f t="shared" si="0"/>
        <v>0</v>
      </c>
      <c r="AF72" s="101">
        <f t="shared" si="0"/>
        <v>0</v>
      </c>
      <c r="AG72" s="101">
        <f t="shared" si="0"/>
        <v>0</v>
      </c>
      <c r="AH72" s="101">
        <f t="shared" si="0"/>
        <v>0</v>
      </c>
      <c r="AI72" s="101">
        <f t="shared" si="0"/>
        <v>0</v>
      </c>
      <c r="AJ72" s="101">
        <f t="shared" si="0"/>
        <v>0</v>
      </c>
      <c r="AK72" s="101">
        <f t="shared" si="0"/>
        <v>0</v>
      </c>
      <c r="AL72" s="101">
        <f t="shared" si="0"/>
        <v>0</v>
      </c>
      <c r="AM72" s="101">
        <f t="shared" si="0"/>
        <v>0</v>
      </c>
      <c r="AN72" s="101">
        <f t="shared" si="0"/>
        <v>0</v>
      </c>
      <c r="AO72" s="101">
        <f t="shared" si="0"/>
        <v>0</v>
      </c>
      <c r="AP72" s="101">
        <f t="shared" si="0"/>
        <v>0</v>
      </c>
    </row>
    <row r="73" spans="2:44" x14ac:dyDescent="0.25">
      <c r="C73" s="91"/>
      <c r="D73"/>
      <c r="E73" s="29"/>
      <c r="F73" t="s">
        <v>229</v>
      </c>
      <c r="G73" t="s">
        <v>853</v>
      </c>
      <c r="J73" s="101">
        <f t="shared" ref="J73:AP73" si="1">J$20 * J28 * thousand / PowerFactor</f>
        <v>0</v>
      </c>
      <c r="K73" s="101">
        <f t="shared" si="1"/>
        <v>0</v>
      </c>
      <c r="L73" s="101">
        <f t="shared" si="1"/>
        <v>0</v>
      </c>
      <c r="M73" s="101">
        <f t="shared" si="1"/>
        <v>0</v>
      </c>
      <c r="N73" s="101">
        <f t="shared" si="1"/>
        <v>0</v>
      </c>
      <c r="O73" s="101">
        <f t="shared" si="1"/>
        <v>0</v>
      </c>
      <c r="P73" s="101">
        <f t="shared" si="1"/>
        <v>0</v>
      </c>
      <c r="Q73" s="101">
        <f t="shared" si="1"/>
        <v>0</v>
      </c>
      <c r="R73" s="101">
        <f t="shared" si="1"/>
        <v>0</v>
      </c>
      <c r="S73" s="101">
        <f t="shared" si="1"/>
        <v>0</v>
      </c>
      <c r="T73" s="101">
        <f t="shared" si="1"/>
        <v>0</v>
      </c>
      <c r="U73" s="101">
        <f t="shared" si="1"/>
        <v>0</v>
      </c>
      <c r="V73" s="101">
        <f t="shared" si="1"/>
        <v>0</v>
      </c>
      <c r="W73" s="101">
        <f t="shared" si="1"/>
        <v>0</v>
      </c>
      <c r="X73" s="101">
        <f t="shared" si="1"/>
        <v>0</v>
      </c>
      <c r="Y73" s="101">
        <f t="shared" si="1"/>
        <v>0</v>
      </c>
      <c r="Z73" s="101">
        <f t="shared" si="1"/>
        <v>0</v>
      </c>
      <c r="AA73" s="101">
        <f t="shared" si="1"/>
        <v>0</v>
      </c>
      <c r="AB73" s="101">
        <f t="shared" si="1"/>
        <v>0</v>
      </c>
      <c r="AC73" s="101">
        <f t="shared" si="1"/>
        <v>0</v>
      </c>
      <c r="AD73" s="101">
        <f t="shared" si="1"/>
        <v>0</v>
      </c>
      <c r="AE73" s="101">
        <f t="shared" si="1"/>
        <v>0</v>
      </c>
      <c r="AF73" s="101">
        <f t="shared" si="1"/>
        <v>0</v>
      </c>
      <c r="AG73" s="101">
        <f t="shared" si="1"/>
        <v>0</v>
      </c>
      <c r="AH73" s="101">
        <f t="shared" si="1"/>
        <v>0</v>
      </c>
      <c r="AI73" s="101">
        <f t="shared" si="1"/>
        <v>0</v>
      </c>
      <c r="AJ73" s="101">
        <f t="shared" si="1"/>
        <v>0</v>
      </c>
      <c r="AK73" s="101">
        <f t="shared" si="1"/>
        <v>0</v>
      </c>
      <c r="AL73" s="101">
        <f t="shared" si="1"/>
        <v>0</v>
      </c>
      <c r="AM73" s="101">
        <f t="shared" si="1"/>
        <v>0</v>
      </c>
      <c r="AN73" s="101">
        <f t="shared" si="1"/>
        <v>0</v>
      </c>
      <c r="AO73" s="101">
        <f t="shared" si="1"/>
        <v>0</v>
      </c>
      <c r="AP73" s="101">
        <f t="shared" si="1"/>
        <v>0</v>
      </c>
    </row>
    <row r="74" spans="2:44" x14ac:dyDescent="0.25">
      <c r="C74" s="91"/>
      <c r="D74"/>
      <c r="E74" s="29"/>
      <c r="F74" t="s">
        <v>230</v>
      </c>
      <c r="G74" t="s">
        <v>853</v>
      </c>
      <c r="J74" s="101">
        <f t="shared" ref="J74:AP74" si="2">J$20 * J29 * thousand / PowerFactor</f>
        <v>0</v>
      </c>
      <c r="K74" s="101">
        <f t="shared" si="2"/>
        <v>0</v>
      </c>
      <c r="L74" s="101">
        <f t="shared" si="2"/>
        <v>0</v>
      </c>
      <c r="M74" s="101">
        <f t="shared" si="2"/>
        <v>0</v>
      </c>
      <c r="N74" s="101">
        <f t="shared" si="2"/>
        <v>0</v>
      </c>
      <c r="O74" s="101">
        <f t="shared" si="2"/>
        <v>0</v>
      </c>
      <c r="P74" s="101">
        <f t="shared" si="2"/>
        <v>0</v>
      </c>
      <c r="Q74" s="101">
        <f t="shared" si="2"/>
        <v>0</v>
      </c>
      <c r="R74" s="101">
        <f t="shared" si="2"/>
        <v>81.665847807350104</v>
      </c>
      <c r="S74" s="101">
        <f t="shared" si="2"/>
        <v>0</v>
      </c>
      <c r="T74" s="101">
        <f t="shared" si="2"/>
        <v>0</v>
      </c>
      <c r="U74" s="101">
        <f t="shared" si="2"/>
        <v>0</v>
      </c>
      <c r="V74" s="101">
        <f t="shared" si="2"/>
        <v>0</v>
      </c>
      <c r="W74" s="101">
        <f t="shared" si="2"/>
        <v>0</v>
      </c>
      <c r="X74" s="101">
        <f t="shared" si="2"/>
        <v>0</v>
      </c>
      <c r="Y74" s="101">
        <f t="shared" si="2"/>
        <v>0</v>
      </c>
      <c r="Z74" s="101">
        <f t="shared" si="2"/>
        <v>0</v>
      </c>
      <c r="AA74" s="101">
        <f t="shared" si="2"/>
        <v>0</v>
      </c>
      <c r="AB74" s="101">
        <f t="shared" si="2"/>
        <v>0</v>
      </c>
      <c r="AC74" s="101">
        <f t="shared" si="2"/>
        <v>0</v>
      </c>
      <c r="AD74" s="101">
        <f t="shared" si="2"/>
        <v>0</v>
      </c>
      <c r="AE74" s="101">
        <f t="shared" si="2"/>
        <v>0</v>
      </c>
      <c r="AF74" s="101">
        <f t="shared" si="2"/>
        <v>0</v>
      </c>
      <c r="AG74" s="101">
        <f t="shared" si="2"/>
        <v>0</v>
      </c>
      <c r="AH74" s="101">
        <f t="shared" si="2"/>
        <v>0</v>
      </c>
      <c r="AI74" s="101">
        <f t="shared" si="2"/>
        <v>0</v>
      </c>
      <c r="AJ74" s="101">
        <f t="shared" si="2"/>
        <v>0</v>
      </c>
      <c r="AK74" s="101">
        <f t="shared" si="2"/>
        <v>0</v>
      </c>
      <c r="AL74" s="101">
        <f t="shared" si="2"/>
        <v>0</v>
      </c>
      <c r="AM74" s="101">
        <f t="shared" si="2"/>
        <v>0</v>
      </c>
      <c r="AN74" s="101">
        <f t="shared" si="2"/>
        <v>0</v>
      </c>
      <c r="AO74" s="101">
        <f t="shared" si="2"/>
        <v>0</v>
      </c>
      <c r="AP74" s="101">
        <f t="shared" si="2"/>
        <v>0</v>
      </c>
    </row>
    <row r="75" spans="2:44" x14ac:dyDescent="0.25">
      <c r="C75" s="91"/>
      <c r="D75"/>
      <c r="E75" s="29"/>
      <c r="F75" t="s">
        <v>231</v>
      </c>
      <c r="G75" t="s">
        <v>853</v>
      </c>
      <c r="J75" s="101">
        <f t="shared" ref="J75:AP75" si="3">J$20 * J30 * thousand / PowerFactor</f>
        <v>0</v>
      </c>
      <c r="K75" s="101">
        <f t="shared" si="3"/>
        <v>0</v>
      </c>
      <c r="L75" s="101">
        <f t="shared" si="3"/>
        <v>0</v>
      </c>
      <c r="M75" s="101">
        <f t="shared" si="3"/>
        <v>0</v>
      </c>
      <c r="N75" s="101">
        <f t="shared" si="3"/>
        <v>0</v>
      </c>
      <c r="O75" s="101">
        <f t="shared" si="3"/>
        <v>0</v>
      </c>
      <c r="P75" s="101">
        <f t="shared" si="3"/>
        <v>0</v>
      </c>
      <c r="Q75" s="101">
        <f t="shared" si="3"/>
        <v>0</v>
      </c>
      <c r="R75" s="101">
        <f t="shared" si="3"/>
        <v>370.99911100874107</v>
      </c>
      <c r="S75" s="101">
        <f t="shared" si="3"/>
        <v>0</v>
      </c>
      <c r="T75" s="101">
        <f t="shared" si="3"/>
        <v>0</v>
      </c>
      <c r="U75" s="101">
        <f t="shared" si="3"/>
        <v>0</v>
      </c>
      <c r="V75" s="101">
        <f t="shared" si="3"/>
        <v>0</v>
      </c>
      <c r="W75" s="101">
        <f t="shared" si="3"/>
        <v>0</v>
      </c>
      <c r="X75" s="101">
        <f t="shared" si="3"/>
        <v>0</v>
      </c>
      <c r="Y75" s="101">
        <f t="shared" si="3"/>
        <v>0</v>
      </c>
      <c r="Z75" s="101">
        <f t="shared" si="3"/>
        <v>0</v>
      </c>
      <c r="AA75" s="101">
        <f t="shared" si="3"/>
        <v>0</v>
      </c>
      <c r="AB75" s="101">
        <f t="shared" si="3"/>
        <v>0</v>
      </c>
      <c r="AC75" s="101">
        <f t="shared" si="3"/>
        <v>0</v>
      </c>
      <c r="AD75" s="101">
        <f t="shared" si="3"/>
        <v>0</v>
      </c>
      <c r="AE75" s="101">
        <f t="shared" si="3"/>
        <v>0</v>
      </c>
      <c r="AF75" s="101">
        <f t="shared" si="3"/>
        <v>0</v>
      </c>
      <c r="AG75" s="101">
        <f t="shared" si="3"/>
        <v>0</v>
      </c>
      <c r="AH75" s="101">
        <f t="shared" si="3"/>
        <v>0</v>
      </c>
      <c r="AI75" s="101">
        <f t="shared" si="3"/>
        <v>0</v>
      </c>
      <c r="AJ75" s="101">
        <f t="shared" si="3"/>
        <v>0</v>
      </c>
      <c r="AK75" s="101">
        <f t="shared" si="3"/>
        <v>0</v>
      </c>
      <c r="AL75" s="101">
        <f t="shared" si="3"/>
        <v>0</v>
      </c>
      <c r="AM75" s="101">
        <f t="shared" si="3"/>
        <v>0</v>
      </c>
      <c r="AN75" s="101">
        <f t="shared" si="3"/>
        <v>0</v>
      </c>
      <c r="AO75" s="101">
        <f t="shared" si="3"/>
        <v>0</v>
      </c>
      <c r="AP75" s="101">
        <f t="shared" si="3"/>
        <v>0</v>
      </c>
    </row>
    <row r="76" spans="2:44" x14ac:dyDescent="0.25">
      <c r="C76" s="91"/>
      <c r="D76"/>
      <c r="E76" s="29"/>
      <c r="F76" t="s">
        <v>232</v>
      </c>
      <c r="G76" t="s">
        <v>853</v>
      </c>
      <c r="J76" s="101">
        <f t="shared" ref="J76:AP76" si="4">J$20 * J31 * thousand / PowerFactor</f>
        <v>0</v>
      </c>
      <c r="K76" s="101">
        <f t="shared" si="4"/>
        <v>0</v>
      </c>
      <c r="L76" s="101">
        <f t="shared" si="4"/>
        <v>0</v>
      </c>
      <c r="M76" s="101">
        <f t="shared" si="4"/>
        <v>0</v>
      </c>
      <c r="N76" s="101">
        <f t="shared" si="4"/>
        <v>0</v>
      </c>
      <c r="O76" s="101">
        <f t="shared" si="4"/>
        <v>0</v>
      </c>
      <c r="P76" s="101">
        <f t="shared" si="4"/>
        <v>0</v>
      </c>
      <c r="Q76" s="101">
        <f t="shared" si="4"/>
        <v>0</v>
      </c>
      <c r="R76" s="101">
        <f t="shared" si="4"/>
        <v>0</v>
      </c>
      <c r="S76" s="101">
        <f t="shared" si="4"/>
        <v>0</v>
      </c>
      <c r="T76" s="101">
        <f t="shared" si="4"/>
        <v>0</v>
      </c>
      <c r="U76" s="101">
        <f t="shared" si="4"/>
        <v>0</v>
      </c>
      <c r="V76" s="101">
        <f t="shared" si="4"/>
        <v>0</v>
      </c>
      <c r="W76" s="101">
        <f t="shared" si="4"/>
        <v>0</v>
      </c>
      <c r="X76" s="101">
        <f t="shared" si="4"/>
        <v>0</v>
      </c>
      <c r="Y76" s="101">
        <f t="shared" si="4"/>
        <v>0</v>
      </c>
      <c r="Z76" s="101">
        <f t="shared" si="4"/>
        <v>0</v>
      </c>
      <c r="AA76" s="101">
        <f t="shared" si="4"/>
        <v>0</v>
      </c>
      <c r="AB76" s="101">
        <f t="shared" si="4"/>
        <v>0</v>
      </c>
      <c r="AC76" s="101">
        <f t="shared" si="4"/>
        <v>0</v>
      </c>
      <c r="AD76" s="101">
        <f t="shared" si="4"/>
        <v>0</v>
      </c>
      <c r="AE76" s="101">
        <f t="shared" si="4"/>
        <v>0</v>
      </c>
      <c r="AF76" s="101">
        <f t="shared" si="4"/>
        <v>0</v>
      </c>
      <c r="AG76" s="101">
        <f t="shared" si="4"/>
        <v>0</v>
      </c>
      <c r="AH76" s="101">
        <f t="shared" si="4"/>
        <v>0</v>
      </c>
      <c r="AI76" s="101">
        <f t="shared" si="4"/>
        <v>0</v>
      </c>
      <c r="AJ76" s="101">
        <f t="shared" si="4"/>
        <v>0</v>
      </c>
      <c r="AK76" s="101">
        <f t="shared" si="4"/>
        <v>0</v>
      </c>
      <c r="AL76" s="101">
        <f t="shared" si="4"/>
        <v>0</v>
      </c>
      <c r="AM76" s="101">
        <f t="shared" si="4"/>
        <v>0</v>
      </c>
      <c r="AN76" s="101">
        <f t="shared" si="4"/>
        <v>0</v>
      </c>
      <c r="AO76" s="101">
        <f t="shared" si="4"/>
        <v>0</v>
      </c>
      <c r="AP76" s="101">
        <f t="shared" si="4"/>
        <v>0</v>
      </c>
    </row>
    <row r="77" spans="2:44" x14ac:dyDescent="0.25">
      <c r="C77" s="91"/>
      <c r="D77"/>
      <c r="E77" s="29"/>
      <c r="F77" t="s">
        <v>233</v>
      </c>
      <c r="G77" t="s">
        <v>853</v>
      </c>
      <c r="J77" s="101">
        <f t="shared" ref="J77:AP77" si="5">J$20 * J32 * thousand / PowerFactor</f>
        <v>0</v>
      </c>
      <c r="K77" s="101">
        <f t="shared" si="5"/>
        <v>0</v>
      </c>
      <c r="L77" s="101">
        <f t="shared" si="5"/>
        <v>0</v>
      </c>
      <c r="M77" s="101">
        <f t="shared" si="5"/>
        <v>0</v>
      </c>
      <c r="N77" s="101">
        <f t="shared" si="5"/>
        <v>0</v>
      </c>
      <c r="O77" s="101">
        <f t="shared" si="5"/>
        <v>0</v>
      </c>
      <c r="P77" s="101">
        <f t="shared" si="5"/>
        <v>0</v>
      </c>
      <c r="Q77" s="101">
        <f t="shared" si="5"/>
        <v>0</v>
      </c>
      <c r="R77" s="101">
        <f t="shared" si="5"/>
        <v>614.3125624816131</v>
      </c>
      <c r="S77" s="101">
        <f t="shared" si="5"/>
        <v>0</v>
      </c>
      <c r="T77" s="101">
        <f t="shared" si="5"/>
        <v>0</v>
      </c>
      <c r="U77" s="101">
        <f t="shared" si="5"/>
        <v>0</v>
      </c>
      <c r="V77" s="101">
        <f t="shared" si="5"/>
        <v>0</v>
      </c>
      <c r="W77" s="101">
        <f t="shared" si="5"/>
        <v>0</v>
      </c>
      <c r="X77" s="101">
        <f t="shared" si="5"/>
        <v>0</v>
      </c>
      <c r="Y77" s="101">
        <f t="shared" si="5"/>
        <v>0</v>
      </c>
      <c r="Z77" s="101">
        <f t="shared" si="5"/>
        <v>0</v>
      </c>
      <c r="AA77" s="101">
        <f t="shared" si="5"/>
        <v>0</v>
      </c>
      <c r="AB77" s="101">
        <f t="shared" si="5"/>
        <v>0</v>
      </c>
      <c r="AC77" s="101">
        <f t="shared" si="5"/>
        <v>0</v>
      </c>
      <c r="AD77" s="101">
        <f t="shared" si="5"/>
        <v>0</v>
      </c>
      <c r="AE77" s="101">
        <f t="shared" si="5"/>
        <v>0</v>
      </c>
      <c r="AF77" s="101">
        <f t="shared" si="5"/>
        <v>0</v>
      </c>
      <c r="AG77" s="101">
        <f t="shared" si="5"/>
        <v>0</v>
      </c>
      <c r="AH77" s="101">
        <f t="shared" si="5"/>
        <v>0</v>
      </c>
      <c r="AI77" s="101">
        <f t="shared" si="5"/>
        <v>0</v>
      </c>
      <c r="AJ77" s="101">
        <f t="shared" si="5"/>
        <v>0</v>
      </c>
      <c r="AK77" s="101">
        <f t="shared" si="5"/>
        <v>0</v>
      </c>
      <c r="AL77" s="101">
        <f t="shared" si="5"/>
        <v>0</v>
      </c>
      <c r="AM77" s="101">
        <f t="shared" si="5"/>
        <v>0</v>
      </c>
      <c r="AN77" s="101">
        <f t="shared" si="5"/>
        <v>0</v>
      </c>
      <c r="AO77" s="101">
        <f t="shared" si="5"/>
        <v>0</v>
      </c>
      <c r="AP77" s="101">
        <f t="shared" si="5"/>
        <v>0</v>
      </c>
    </row>
    <row r="78" spans="2:44" x14ac:dyDescent="0.25">
      <c r="C78" s="91"/>
      <c r="D78"/>
      <c r="E78" s="29"/>
      <c r="F78" t="s">
        <v>234</v>
      </c>
      <c r="G78" t="s">
        <v>853</v>
      </c>
      <c r="J78" s="101">
        <f t="shared" ref="J78:AP78" si="6">J$20 * J33 * thousand / PowerFactor</f>
        <v>0</v>
      </c>
      <c r="K78" s="101">
        <f t="shared" si="6"/>
        <v>0</v>
      </c>
      <c r="L78" s="101">
        <f t="shared" si="6"/>
        <v>0</v>
      </c>
      <c r="M78" s="101">
        <f t="shared" si="6"/>
        <v>0</v>
      </c>
      <c r="N78" s="101">
        <f t="shared" si="6"/>
        <v>0</v>
      </c>
      <c r="O78" s="101">
        <f t="shared" si="6"/>
        <v>0</v>
      </c>
      <c r="P78" s="101">
        <f t="shared" si="6"/>
        <v>0</v>
      </c>
      <c r="Q78" s="101">
        <f t="shared" si="6"/>
        <v>0</v>
      </c>
      <c r="R78" s="101">
        <f t="shared" si="6"/>
        <v>0</v>
      </c>
      <c r="S78" s="101">
        <f t="shared" si="6"/>
        <v>0</v>
      </c>
      <c r="T78" s="101">
        <f t="shared" si="6"/>
        <v>0</v>
      </c>
      <c r="U78" s="101">
        <f t="shared" si="6"/>
        <v>0</v>
      </c>
      <c r="V78" s="101">
        <f t="shared" si="6"/>
        <v>0</v>
      </c>
      <c r="W78" s="101">
        <f t="shared" si="6"/>
        <v>0</v>
      </c>
      <c r="X78" s="101">
        <f t="shared" si="6"/>
        <v>0</v>
      </c>
      <c r="Y78" s="101">
        <f t="shared" si="6"/>
        <v>0</v>
      </c>
      <c r="Z78" s="101">
        <f t="shared" si="6"/>
        <v>0</v>
      </c>
      <c r="AA78" s="101">
        <f t="shared" si="6"/>
        <v>0</v>
      </c>
      <c r="AB78" s="101">
        <f t="shared" si="6"/>
        <v>0</v>
      </c>
      <c r="AC78" s="101">
        <f t="shared" si="6"/>
        <v>0</v>
      </c>
      <c r="AD78" s="101">
        <f t="shared" si="6"/>
        <v>0</v>
      </c>
      <c r="AE78" s="101">
        <f t="shared" si="6"/>
        <v>0</v>
      </c>
      <c r="AF78" s="101">
        <f t="shared" si="6"/>
        <v>0</v>
      </c>
      <c r="AG78" s="101">
        <f t="shared" si="6"/>
        <v>0</v>
      </c>
      <c r="AH78" s="101">
        <f t="shared" si="6"/>
        <v>0</v>
      </c>
      <c r="AI78" s="101">
        <f t="shared" si="6"/>
        <v>0</v>
      </c>
      <c r="AJ78" s="101">
        <f t="shared" si="6"/>
        <v>0</v>
      </c>
      <c r="AK78" s="101">
        <f t="shared" si="6"/>
        <v>0</v>
      </c>
      <c r="AL78" s="101">
        <f t="shared" si="6"/>
        <v>0</v>
      </c>
      <c r="AM78" s="101">
        <f t="shared" si="6"/>
        <v>0</v>
      </c>
      <c r="AN78" s="101">
        <f t="shared" si="6"/>
        <v>0</v>
      </c>
      <c r="AO78" s="101">
        <f t="shared" si="6"/>
        <v>0</v>
      </c>
      <c r="AP78" s="101">
        <f t="shared" si="6"/>
        <v>0</v>
      </c>
    </row>
    <row r="79" spans="2:44" x14ac:dyDescent="0.25">
      <c r="C79" s="91"/>
      <c r="D79"/>
      <c r="E79" s="29"/>
      <c r="F79" t="s">
        <v>235</v>
      </c>
      <c r="G79" t="s">
        <v>853</v>
      </c>
      <c r="J79" s="101">
        <f t="shared" ref="J79:AP79" si="7">J$20 * J34 * thousand / PowerFactor</f>
        <v>61102.392167208673</v>
      </c>
      <c r="K79" s="101">
        <f t="shared" si="7"/>
        <v>14235.901152387158</v>
      </c>
      <c r="L79" s="101">
        <f t="shared" si="7"/>
        <v>0</v>
      </c>
      <c r="M79" s="101">
        <f t="shared" si="7"/>
        <v>24342.235472443317</v>
      </c>
      <c r="N79" s="101">
        <f t="shared" si="7"/>
        <v>5729.0279095381902</v>
      </c>
      <c r="O79" s="101">
        <f t="shared" si="7"/>
        <v>0</v>
      </c>
      <c r="P79" s="101">
        <f t="shared" si="7"/>
        <v>975.70520475692126</v>
      </c>
      <c r="Q79" s="101">
        <f t="shared" si="7"/>
        <v>0</v>
      </c>
      <c r="R79" s="101">
        <f t="shared" si="7"/>
        <v>0</v>
      </c>
      <c r="S79" s="101">
        <f t="shared" si="7"/>
        <v>13.093918445733042</v>
      </c>
      <c r="T79" s="101">
        <f t="shared" si="7"/>
        <v>1989.3878247244722</v>
      </c>
      <c r="U79" s="101">
        <f t="shared" si="7"/>
        <v>0</v>
      </c>
      <c r="V79" s="101">
        <f t="shared" si="7"/>
        <v>0</v>
      </c>
      <c r="W79" s="101">
        <f t="shared" si="7"/>
        <v>0</v>
      </c>
      <c r="X79" s="101">
        <f t="shared" si="7"/>
        <v>0</v>
      </c>
      <c r="Y79" s="101">
        <f t="shared" si="7"/>
        <v>0</v>
      </c>
      <c r="Z79" s="101">
        <f t="shared" si="7"/>
        <v>0</v>
      </c>
      <c r="AA79" s="101">
        <f t="shared" si="7"/>
        <v>0</v>
      </c>
      <c r="AB79" s="101">
        <f t="shared" si="7"/>
        <v>0</v>
      </c>
      <c r="AC79" s="101">
        <f t="shared" si="7"/>
        <v>0</v>
      </c>
      <c r="AD79" s="101">
        <f t="shared" si="7"/>
        <v>0</v>
      </c>
      <c r="AE79" s="101">
        <f t="shared" si="7"/>
        <v>0</v>
      </c>
      <c r="AF79" s="101">
        <f t="shared" si="7"/>
        <v>0</v>
      </c>
      <c r="AG79" s="101">
        <f t="shared" si="7"/>
        <v>0</v>
      </c>
      <c r="AH79" s="101">
        <f t="shared" si="7"/>
        <v>0</v>
      </c>
      <c r="AI79" s="101">
        <f t="shared" si="7"/>
        <v>0</v>
      </c>
      <c r="AJ79" s="101">
        <f t="shared" si="7"/>
        <v>0</v>
      </c>
      <c r="AK79" s="101">
        <f t="shared" si="7"/>
        <v>0</v>
      </c>
      <c r="AL79" s="101">
        <f t="shared" si="7"/>
        <v>0</v>
      </c>
      <c r="AM79" s="101">
        <f t="shared" si="7"/>
        <v>0</v>
      </c>
      <c r="AN79" s="101">
        <f t="shared" si="7"/>
        <v>0</v>
      </c>
      <c r="AO79" s="101">
        <f t="shared" si="7"/>
        <v>0</v>
      </c>
      <c r="AP79" s="101">
        <f t="shared" si="7"/>
        <v>0</v>
      </c>
    </row>
    <row r="80" spans="2:44" x14ac:dyDescent="0.25">
      <c r="C80" s="91"/>
      <c r="D80"/>
      <c r="E80" s="29"/>
      <c r="F80" t="s">
        <v>436</v>
      </c>
      <c r="G80" t="s">
        <v>853</v>
      </c>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79"/>
      <c r="AO80" s="79"/>
      <c r="AP80" s="79"/>
    </row>
    <row r="81" spans="3:42" x14ac:dyDescent="0.25">
      <c r="C81" s="91"/>
      <c r="D81"/>
      <c r="E81" s="29"/>
      <c r="F81" s="37" t="s">
        <v>437</v>
      </c>
      <c r="G81" s="37" t="s">
        <v>853</v>
      </c>
      <c r="H81" s="37"/>
      <c r="I81" s="37"/>
      <c r="J81" s="81"/>
      <c r="K81" s="81"/>
      <c r="L81" s="81"/>
      <c r="M81" s="81"/>
      <c r="N81" s="81"/>
      <c r="O81" s="81"/>
      <c r="P81" s="81"/>
      <c r="Q81" s="81"/>
      <c r="R81" s="81"/>
      <c r="S81" s="81"/>
      <c r="T81" s="81"/>
      <c r="U81" s="81"/>
      <c r="V81" s="81"/>
      <c r="W81" s="81"/>
      <c r="X81" s="81"/>
      <c r="Y81" s="81"/>
      <c r="Z81" s="81"/>
      <c r="AA81" s="81"/>
      <c r="AB81" s="81"/>
      <c r="AC81" s="81"/>
      <c r="AD81" s="81"/>
      <c r="AE81" s="81"/>
      <c r="AF81" s="81"/>
      <c r="AG81" s="81"/>
      <c r="AH81" s="81"/>
      <c r="AI81" s="81"/>
      <c r="AJ81" s="81"/>
      <c r="AK81" s="81"/>
      <c r="AL81" s="81"/>
      <c r="AM81" s="81"/>
      <c r="AN81" s="81"/>
      <c r="AO81" s="81"/>
      <c r="AP81" s="81"/>
    </row>
    <row r="82" spans="3:42" x14ac:dyDescent="0.25">
      <c r="C82" s="91"/>
      <c r="D82"/>
      <c r="E82" s="29"/>
      <c r="J82" s="92"/>
      <c r="K82" s="92"/>
      <c r="L82" s="92"/>
      <c r="M82" s="92"/>
      <c r="N82" s="92"/>
      <c r="O82" s="92"/>
      <c r="P82" s="92"/>
      <c r="Q82" s="92"/>
      <c r="R82" s="92"/>
      <c r="S82" s="92"/>
      <c r="T82" s="92"/>
      <c r="U82" s="92"/>
      <c r="V82" s="92"/>
      <c r="W82" s="92"/>
      <c r="X82" s="92"/>
      <c r="Y82" s="92"/>
      <c r="Z82" s="92"/>
      <c r="AA82" s="92"/>
      <c r="AB82" s="92"/>
      <c r="AC82" s="92"/>
      <c r="AD82" s="92"/>
      <c r="AE82" s="92"/>
      <c r="AF82" s="92"/>
      <c r="AG82" s="92"/>
      <c r="AH82" s="92"/>
      <c r="AI82" s="92"/>
      <c r="AJ82" s="92"/>
      <c r="AK82" s="92"/>
      <c r="AL82" s="92"/>
      <c r="AM82" s="92"/>
      <c r="AN82" s="92"/>
      <c r="AO82" s="92"/>
      <c r="AP82" s="92"/>
    </row>
    <row r="83" spans="3:42" x14ac:dyDescent="0.25">
      <c r="C83" s="91"/>
      <c r="D83"/>
      <c r="E83" s="32" t="s">
        <v>734</v>
      </c>
      <c r="J83" s="92"/>
      <c r="K83" s="92"/>
      <c r="L83" s="92"/>
      <c r="M83" s="92"/>
      <c r="N83" s="92"/>
      <c r="O83" s="92"/>
      <c r="P83" s="92"/>
      <c r="Q83" s="92"/>
      <c r="R83" s="92"/>
      <c r="S83" s="92"/>
      <c r="T83" s="92"/>
      <c r="U83" s="92"/>
      <c r="V83" s="92"/>
      <c r="W83" s="92"/>
      <c r="X83" s="92"/>
      <c r="Y83" s="92"/>
      <c r="Z83" s="92"/>
      <c r="AA83" s="92"/>
      <c r="AB83" s="92"/>
      <c r="AC83" s="92"/>
      <c r="AD83" s="92"/>
      <c r="AE83" s="92"/>
      <c r="AF83" s="92"/>
      <c r="AG83" s="92"/>
      <c r="AH83" s="92"/>
      <c r="AI83" s="92"/>
      <c r="AJ83" s="92"/>
      <c r="AK83" s="92"/>
      <c r="AL83" s="92"/>
      <c r="AM83" s="92"/>
      <c r="AN83" s="92"/>
      <c r="AO83" s="92"/>
      <c r="AP83" s="92"/>
    </row>
    <row r="84" spans="3:42" x14ac:dyDescent="0.25">
      <c r="C84" s="91"/>
      <c r="D84"/>
      <c r="F84" s="23" t="s">
        <v>225</v>
      </c>
      <c r="G84" s="23" t="s">
        <v>853</v>
      </c>
      <c r="H84" s="23"/>
      <c r="I84" s="23"/>
      <c r="J84" s="129">
        <f t="shared" ref="J84:AP84" si="8">J$20 * J39 * thousand / PowerFactor</f>
        <v>0</v>
      </c>
      <c r="K84" s="129">
        <f t="shared" si="8"/>
        <v>0</v>
      </c>
      <c r="L84" s="129">
        <f t="shared" si="8"/>
        <v>0</v>
      </c>
      <c r="M84" s="129">
        <f t="shared" si="8"/>
        <v>0</v>
      </c>
      <c r="N84" s="129">
        <f t="shared" si="8"/>
        <v>0</v>
      </c>
      <c r="O84" s="129">
        <f t="shared" si="8"/>
        <v>0</v>
      </c>
      <c r="P84" s="129">
        <f t="shared" si="8"/>
        <v>0</v>
      </c>
      <c r="Q84" s="129">
        <f t="shared" si="8"/>
        <v>0</v>
      </c>
      <c r="R84" s="129">
        <f t="shared" si="8"/>
        <v>0</v>
      </c>
      <c r="S84" s="129">
        <f t="shared" si="8"/>
        <v>0</v>
      </c>
      <c r="T84" s="129">
        <f t="shared" si="8"/>
        <v>0</v>
      </c>
      <c r="U84" s="129">
        <f t="shared" si="8"/>
        <v>0</v>
      </c>
      <c r="V84" s="129">
        <f t="shared" si="8"/>
        <v>0</v>
      </c>
      <c r="W84" s="129">
        <f t="shared" si="8"/>
        <v>0</v>
      </c>
      <c r="X84" s="129">
        <f t="shared" si="8"/>
        <v>0</v>
      </c>
      <c r="Y84" s="129">
        <f t="shared" si="8"/>
        <v>0</v>
      </c>
      <c r="Z84" s="129">
        <f t="shared" si="8"/>
        <v>0</v>
      </c>
      <c r="AA84" s="129">
        <f t="shared" si="8"/>
        <v>0</v>
      </c>
      <c r="AB84" s="129">
        <f t="shared" si="8"/>
        <v>0</v>
      </c>
      <c r="AC84" s="129">
        <f t="shared" si="8"/>
        <v>0</v>
      </c>
      <c r="AD84" s="129">
        <f t="shared" si="8"/>
        <v>0</v>
      </c>
      <c r="AE84" s="129">
        <f t="shared" si="8"/>
        <v>0</v>
      </c>
      <c r="AF84" s="129">
        <f t="shared" si="8"/>
        <v>0</v>
      </c>
      <c r="AG84" s="129">
        <f t="shared" si="8"/>
        <v>0</v>
      </c>
      <c r="AH84" s="129">
        <f t="shared" si="8"/>
        <v>0</v>
      </c>
      <c r="AI84" s="129">
        <f t="shared" si="8"/>
        <v>0</v>
      </c>
      <c r="AJ84" s="129">
        <f t="shared" si="8"/>
        <v>0</v>
      </c>
      <c r="AK84" s="129">
        <f t="shared" si="8"/>
        <v>0</v>
      </c>
      <c r="AL84" s="129">
        <f t="shared" si="8"/>
        <v>0</v>
      </c>
      <c r="AM84" s="129">
        <f t="shared" si="8"/>
        <v>0</v>
      </c>
      <c r="AN84" s="129">
        <f t="shared" si="8"/>
        <v>0</v>
      </c>
      <c r="AO84" s="129">
        <f t="shared" si="8"/>
        <v>0</v>
      </c>
      <c r="AP84" s="129">
        <f t="shared" si="8"/>
        <v>0</v>
      </c>
    </row>
    <row r="85" spans="3:42" x14ac:dyDescent="0.25">
      <c r="C85" s="91"/>
      <c r="D85"/>
      <c r="F85" t="s">
        <v>227</v>
      </c>
      <c r="G85" t="s">
        <v>853</v>
      </c>
      <c r="J85" s="101">
        <f t="shared" ref="J85:AP85" si="9">J$20 * J40 * thousand / PowerFactor</f>
        <v>0</v>
      </c>
      <c r="K85" s="101">
        <f t="shared" si="9"/>
        <v>0</v>
      </c>
      <c r="L85" s="101">
        <f t="shared" si="9"/>
        <v>0</v>
      </c>
      <c r="M85" s="101">
        <f t="shared" si="9"/>
        <v>0</v>
      </c>
      <c r="N85" s="101">
        <f t="shared" si="9"/>
        <v>0</v>
      </c>
      <c r="O85" s="101">
        <f t="shared" si="9"/>
        <v>0</v>
      </c>
      <c r="P85" s="101">
        <f t="shared" si="9"/>
        <v>0</v>
      </c>
      <c r="Q85" s="101">
        <f t="shared" si="9"/>
        <v>0</v>
      </c>
      <c r="R85" s="101">
        <f t="shared" si="9"/>
        <v>0</v>
      </c>
      <c r="S85" s="101">
        <f t="shared" si="9"/>
        <v>0</v>
      </c>
      <c r="T85" s="101">
        <f t="shared" si="9"/>
        <v>0</v>
      </c>
      <c r="U85" s="101">
        <f t="shared" si="9"/>
        <v>0</v>
      </c>
      <c r="V85" s="101">
        <f t="shared" si="9"/>
        <v>0</v>
      </c>
      <c r="W85" s="101">
        <f t="shared" si="9"/>
        <v>0</v>
      </c>
      <c r="X85" s="101">
        <f t="shared" si="9"/>
        <v>0</v>
      </c>
      <c r="Y85" s="101">
        <f t="shared" si="9"/>
        <v>0</v>
      </c>
      <c r="Z85" s="101">
        <f t="shared" si="9"/>
        <v>0</v>
      </c>
      <c r="AA85" s="101">
        <f t="shared" si="9"/>
        <v>0</v>
      </c>
      <c r="AB85" s="101">
        <f t="shared" si="9"/>
        <v>0</v>
      </c>
      <c r="AC85" s="101">
        <f t="shared" si="9"/>
        <v>0</v>
      </c>
      <c r="AD85" s="101">
        <f t="shared" si="9"/>
        <v>0</v>
      </c>
      <c r="AE85" s="101">
        <f t="shared" si="9"/>
        <v>0</v>
      </c>
      <c r="AF85" s="101">
        <f t="shared" si="9"/>
        <v>0</v>
      </c>
      <c r="AG85" s="101">
        <f t="shared" si="9"/>
        <v>0</v>
      </c>
      <c r="AH85" s="101">
        <f t="shared" si="9"/>
        <v>0</v>
      </c>
      <c r="AI85" s="101">
        <f t="shared" si="9"/>
        <v>0</v>
      </c>
      <c r="AJ85" s="101">
        <f t="shared" si="9"/>
        <v>0</v>
      </c>
      <c r="AK85" s="101">
        <f t="shared" si="9"/>
        <v>0</v>
      </c>
      <c r="AL85" s="101">
        <f t="shared" si="9"/>
        <v>0</v>
      </c>
      <c r="AM85" s="101">
        <f t="shared" si="9"/>
        <v>0</v>
      </c>
      <c r="AN85" s="101">
        <f t="shared" si="9"/>
        <v>0</v>
      </c>
      <c r="AO85" s="101">
        <f t="shared" si="9"/>
        <v>0</v>
      </c>
      <c r="AP85" s="101">
        <f t="shared" si="9"/>
        <v>0</v>
      </c>
    </row>
    <row r="86" spans="3:42" x14ac:dyDescent="0.25">
      <c r="C86" s="91"/>
      <c r="D86"/>
      <c r="F86" t="s">
        <v>228</v>
      </c>
      <c r="G86" t="s">
        <v>853</v>
      </c>
      <c r="J86" s="101">
        <f t="shared" ref="J86:AP86" si="10">J$20 * J41 * thousand / PowerFactor</f>
        <v>0</v>
      </c>
      <c r="K86" s="101">
        <f t="shared" si="10"/>
        <v>0</v>
      </c>
      <c r="L86" s="101">
        <f t="shared" si="10"/>
        <v>0</v>
      </c>
      <c r="M86" s="101">
        <f t="shared" si="10"/>
        <v>0</v>
      </c>
      <c r="N86" s="101">
        <f t="shared" si="10"/>
        <v>0</v>
      </c>
      <c r="O86" s="101">
        <f t="shared" si="10"/>
        <v>0</v>
      </c>
      <c r="P86" s="101">
        <f t="shared" si="10"/>
        <v>0</v>
      </c>
      <c r="Q86" s="101">
        <f t="shared" si="10"/>
        <v>0</v>
      </c>
      <c r="R86" s="101">
        <f t="shared" si="10"/>
        <v>0</v>
      </c>
      <c r="S86" s="101">
        <f t="shared" si="10"/>
        <v>0</v>
      </c>
      <c r="T86" s="101">
        <f t="shared" si="10"/>
        <v>0</v>
      </c>
      <c r="U86" s="101">
        <f t="shared" si="10"/>
        <v>0</v>
      </c>
      <c r="V86" s="101">
        <f t="shared" si="10"/>
        <v>0</v>
      </c>
      <c r="W86" s="101">
        <f t="shared" si="10"/>
        <v>0</v>
      </c>
      <c r="X86" s="101">
        <f t="shared" si="10"/>
        <v>0</v>
      </c>
      <c r="Y86" s="101">
        <f t="shared" si="10"/>
        <v>0</v>
      </c>
      <c r="Z86" s="101">
        <f t="shared" si="10"/>
        <v>0</v>
      </c>
      <c r="AA86" s="101">
        <f t="shared" si="10"/>
        <v>0</v>
      </c>
      <c r="AB86" s="101">
        <f t="shared" si="10"/>
        <v>0</v>
      </c>
      <c r="AC86" s="101">
        <f t="shared" si="10"/>
        <v>0</v>
      </c>
      <c r="AD86" s="101">
        <f t="shared" si="10"/>
        <v>0</v>
      </c>
      <c r="AE86" s="101">
        <f t="shared" si="10"/>
        <v>0</v>
      </c>
      <c r="AF86" s="101">
        <f t="shared" si="10"/>
        <v>0</v>
      </c>
      <c r="AG86" s="101">
        <f t="shared" si="10"/>
        <v>0</v>
      </c>
      <c r="AH86" s="101">
        <f t="shared" si="10"/>
        <v>0</v>
      </c>
      <c r="AI86" s="101">
        <f t="shared" si="10"/>
        <v>0</v>
      </c>
      <c r="AJ86" s="101">
        <f t="shared" si="10"/>
        <v>0</v>
      </c>
      <c r="AK86" s="101">
        <f t="shared" si="10"/>
        <v>0</v>
      </c>
      <c r="AL86" s="101">
        <f t="shared" si="10"/>
        <v>0</v>
      </c>
      <c r="AM86" s="101">
        <f t="shared" si="10"/>
        <v>0</v>
      </c>
      <c r="AN86" s="101">
        <f t="shared" si="10"/>
        <v>0</v>
      </c>
      <c r="AO86" s="101">
        <f t="shared" si="10"/>
        <v>0</v>
      </c>
      <c r="AP86" s="101">
        <f t="shared" si="10"/>
        <v>0</v>
      </c>
    </row>
    <row r="87" spans="3:42" x14ac:dyDescent="0.25">
      <c r="C87" s="91"/>
      <c r="D87"/>
      <c r="F87" t="s">
        <v>229</v>
      </c>
      <c r="G87" t="s">
        <v>853</v>
      </c>
      <c r="J87" s="101">
        <f t="shared" ref="J87:AP87" si="11">J$20 * J42 * thousand / PowerFactor</f>
        <v>0</v>
      </c>
      <c r="K87" s="101">
        <f t="shared" si="11"/>
        <v>0</v>
      </c>
      <c r="L87" s="101">
        <f t="shared" si="11"/>
        <v>0</v>
      </c>
      <c r="M87" s="101">
        <f t="shared" si="11"/>
        <v>0</v>
      </c>
      <c r="N87" s="101">
        <f t="shared" si="11"/>
        <v>0</v>
      </c>
      <c r="O87" s="101">
        <f t="shared" si="11"/>
        <v>0</v>
      </c>
      <c r="P87" s="101">
        <f t="shared" si="11"/>
        <v>0</v>
      </c>
      <c r="Q87" s="101">
        <f t="shared" si="11"/>
        <v>0</v>
      </c>
      <c r="R87" s="101">
        <f t="shared" si="11"/>
        <v>0</v>
      </c>
      <c r="S87" s="101">
        <f t="shared" si="11"/>
        <v>0</v>
      </c>
      <c r="T87" s="101">
        <f t="shared" si="11"/>
        <v>0</v>
      </c>
      <c r="U87" s="101">
        <f t="shared" si="11"/>
        <v>0</v>
      </c>
      <c r="V87" s="101">
        <f t="shared" si="11"/>
        <v>0</v>
      </c>
      <c r="W87" s="101">
        <f t="shared" si="11"/>
        <v>0</v>
      </c>
      <c r="X87" s="101">
        <f t="shared" si="11"/>
        <v>0</v>
      </c>
      <c r="Y87" s="101">
        <f t="shared" si="11"/>
        <v>0</v>
      </c>
      <c r="Z87" s="101">
        <f t="shared" si="11"/>
        <v>0</v>
      </c>
      <c r="AA87" s="101">
        <f t="shared" si="11"/>
        <v>0</v>
      </c>
      <c r="AB87" s="101">
        <f t="shared" si="11"/>
        <v>0</v>
      </c>
      <c r="AC87" s="101">
        <f t="shared" si="11"/>
        <v>0</v>
      </c>
      <c r="AD87" s="101">
        <f t="shared" si="11"/>
        <v>0</v>
      </c>
      <c r="AE87" s="101">
        <f t="shared" si="11"/>
        <v>0</v>
      </c>
      <c r="AF87" s="101">
        <f t="shared" si="11"/>
        <v>0</v>
      </c>
      <c r="AG87" s="101">
        <f t="shared" si="11"/>
        <v>0</v>
      </c>
      <c r="AH87" s="101">
        <f t="shared" si="11"/>
        <v>0</v>
      </c>
      <c r="AI87" s="101">
        <f t="shared" si="11"/>
        <v>0</v>
      </c>
      <c r="AJ87" s="101">
        <f t="shared" si="11"/>
        <v>0</v>
      </c>
      <c r="AK87" s="101">
        <f t="shared" si="11"/>
        <v>0</v>
      </c>
      <c r="AL87" s="101">
        <f t="shared" si="11"/>
        <v>0</v>
      </c>
      <c r="AM87" s="101">
        <f t="shared" si="11"/>
        <v>0</v>
      </c>
      <c r="AN87" s="101">
        <f t="shared" si="11"/>
        <v>0</v>
      </c>
      <c r="AO87" s="101">
        <f t="shared" si="11"/>
        <v>0</v>
      </c>
      <c r="AP87" s="101">
        <f t="shared" si="11"/>
        <v>0</v>
      </c>
    </row>
    <row r="88" spans="3:42" x14ac:dyDescent="0.25">
      <c r="C88" s="91"/>
      <c r="D88"/>
      <c r="F88" t="s">
        <v>230</v>
      </c>
      <c r="G88" t="s">
        <v>853</v>
      </c>
      <c r="J88" s="101">
        <f t="shared" ref="J88:AP88" si="12">J$20 * J43 * thousand / PowerFactor</f>
        <v>0</v>
      </c>
      <c r="K88" s="101">
        <f t="shared" si="12"/>
        <v>0</v>
      </c>
      <c r="L88" s="101">
        <f t="shared" si="12"/>
        <v>0</v>
      </c>
      <c r="M88" s="101">
        <f t="shared" si="12"/>
        <v>0</v>
      </c>
      <c r="N88" s="101">
        <f t="shared" si="12"/>
        <v>0</v>
      </c>
      <c r="O88" s="101">
        <f t="shared" si="12"/>
        <v>0</v>
      </c>
      <c r="P88" s="101">
        <f t="shared" si="12"/>
        <v>0</v>
      </c>
      <c r="Q88" s="101">
        <f t="shared" si="12"/>
        <v>0</v>
      </c>
      <c r="R88" s="101">
        <f t="shared" si="12"/>
        <v>64.290419181409277</v>
      </c>
      <c r="S88" s="101">
        <f t="shared" si="12"/>
        <v>0</v>
      </c>
      <c r="T88" s="101">
        <f t="shared" si="12"/>
        <v>0</v>
      </c>
      <c r="U88" s="101">
        <f t="shared" si="12"/>
        <v>0</v>
      </c>
      <c r="V88" s="101">
        <f t="shared" si="12"/>
        <v>0</v>
      </c>
      <c r="W88" s="101">
        <f t="shared" si="12"/>
        <v>0</v>
      </c>
      <c r="X88" s="101">
        <f t="shared" si="12"/>
        <v>0</v>
      </c>
      <c r="Y88" s="101">
        <f t="shared" si="12"/>
        <v>0</v>
      </c>
      <c r="Z88" s="101">
        <f t="shared" si="12"/>
        <v>0</v>
      </c>
      <c r="AA88" s="101">
        <f t="shared" si="12"/>
        <v>0</v>
      </c>
      <c r="AB88" s="101">
        <f t="shared" si="12"/>
        <v>0</v>
      </c>
      <c r="AC88" s="101">
        <f t="shared" si="12"/>
        <v>0</v>
      </c>
      <c r="AD88" s="101">
        <f t="shared" si="12"/>
        <v>0</v>
      </c>
      <c r="AE88" s="101">
        <f t="shared" si="12"/>
        <v>0</v>
      </c>
      <c r="AF88" s="101">
        <f t="shared" si="12"/>
        <v>0</v>
      </c>
      <c r="AG88" s="101">
        <f t="shared" si="12"/>
        <v>0</v>
      </c>
      <c r="AH88" s="101">
        <f t="shared" si="12"/>
        <v>0</v>
      </c>
      <c r="AI88" s="101">
        <f t="shared" si="12"/>
        <v>0</v>
      </c>
      <c r="AJ88" s="101">
        <f t="shared" si="12"/>
        <v>0</v>
      </c>
      <c r="AK88" s="101">
        <f t="shared" si="12"/>
        <v>0</v>
      </c>
      <c r="AL88" s="101">
        <f t="shared" si="12"/>
        <v>0</v>
      </c>
      <c r="AM88" s="101">
        <f t="shared" si="12"/>
        <v>0</v>
      </c>
      <c r="AN88" s="101">
        <f t="shared" si="12"/>
        <v>0</v>
      </c>
      <c r="AO88" s="101">
        <f t="shared" si="12"/>
        <v>0</v>
      </c>
      <c r="AP88" s="101">
        <f t="shared" si="12"/>
        <v>0</v>
      </c>
    </row>
    <row r="89" spans="3:42" x14ac:dyDescent="0.25">
      <c r="C89" s="91"/>
      <c r="D89"/>
      <c r="F89" t="s">
        <v>231</v>
      </c>
      <c r="G89" t="s">
        <v>853</v>
      </c>
      <c r="J89" s="101">
        <f t="shared" ref="J89:AP89" si="13">J$20 * J44 * thousand / PowerFactor</f>
        <v>0</v>
      </c>
      <c r="K89" s="101">
        <f t="shared" si="13"/>
        <v>0</v>
      </c>
      <c r="L89" s="101">
        <f t="shared" si="13"/>
        <v>0</v>
      </c>
      <c r="M89" s="101">
        <f t="shared" si="13"/>
        <v>0</v>
      </c>
      <c r="N89" s="101">
        <f t="shared" si="13"/>
        <v>0</v>
      </c>
      <c r="O89" s="101">
        <f t="shared" si="13"/>
        <v>0</v>
      </c>
      <c r="P89" s="101">
        <f t="shared" si="13"/>
        <v>0</v>
      </c>
      <c r="Q89" s="101">
        <f t="shared" si="13"/>
        <v>0</v>
      </c>
      <c r="R89" s="101">
        <f t="shared" si="13"/>
        <v>290.84866871001663</v>
      </c>
      <c r="S89" s="101">
        <f t="shared" si="13"/>
        <v>0</v>
      </c>
      <c r="T89" s="101">
        <f t="shared" si="13"/>
        <v>0</v>
      </c>
      <c r="U89" s="101">
        <f t="shared" si="13"/>
        <v>0</v>
      </c>
      <c r="V89" s="101">
        <f t="shared" si="13"/>
        <v>0</v>
      </c>
      <c r="W89" s="101">
        <f t="shared" si="13"/>
        <v>0</v>
      </c>
      <c r="X89" s="101">
        <f t="shared" si="13"/>
        <v>0</v>
      </c>
      <c r="Y89" s="101">
        <f t="shared" si="13"/>
        <v>0</v>
      </c>
      <c r="Z89" s="101">
        <f t="shared" si="13"/>
        <v>0</v>
      </c>
      <c r="AA89" s="101">
        <f t="shared" si="13"/>
        <v>0</v>
      </c>
      <c r="AB89" s="101">
        <f t="shared" si="13"/>
        <v>0</v>
      </c>
      <c r="AC89" s="101">
        <f t="shared" si="13"/>
        <v>0</v>
      </c>
      <c r="AD89" s="101">
        <f t="shared" si="13"/>
        <v>0</v>
      </c>
      <c r="AE89" s="101">
        <f t="shared" si="13"/>
        <v>0</v>
      </c>
      <c r="AF89" s="101">
        <f t="shared" si="13"/>
        <v>0</v>
      </c>
      <c r="AG89" s="101">
        <f t="shared" si="13"/>
        <v>0</v>
      </c>
      <c r="AH89" s="101">
        <f t="shared" si="13"/>
        <v>0</v>
      </c>
      <c r="AI89" s="101">
        <f t="shared" si="13"/>
        <v>0</v>
      </c>
      <c r="AJ89" s="101">
        <f t="shared" si="13"/>
        <v>0</v>
      </c>
      <c r="AK89" s="101">
        <f t="shared" si="13"/>
        <v>0</v>
      </c>
      <c r="AL89" s="101">
        <f t="shared" si="13"/>
        <v>0</v>
      </c>
      <c r="AM89" s="101">
        <f t="shared" si="13"/>
        <v>0</v>
      </c>
      <c r="AN89" s="101">
        <f t="shared" si="13"/>
        <v>0</v>
      </c>
      <c r="AO89" s="101">
        <f t="shared" si="13"/>
        <v>0</v>
      </c>
      <c r="AP89" s="101">
        <f t="shared" si="13"/>
        <v>0</v>
      </c>
    </row>
    <row r="90" spans="3:42" x14ac:dyDescent="0.25">
      <c r="C90" s="91"/>
      <c r="D90"/>
      <c r="F90" t="s">
        <v>232</v>
      </c>
      <c r="G90" t="s">
        <v>853</v>
      </c>
      <c r="J90" s="101">
        <f t="shared" ref="J90:AP90" si="14">J$20 * J45 * thousand / PowerFactor</f>
        <v>0</v>
      </c>
      <c r="K90" s="101">
        <f t="shared" si="14"/>
        <v>0</v>
      </c>
      <c r="L90" s="101">
        <f t="shared" si="14"/>
        <v>0</v>
      </c>
      <c r="M90" s="101">
        <f t="shared" si="14"/>
        <v>0</v>
      </c>
      <c r="N90" s="101">
        <f t="shared" si="14"/>
        <v>0</v>
      </c>
      <c r="O90" s="101">
        <f t="shared" si="14"/>
        <v>0</v>
      </c>
      <c r="P90" s="101">
        <f t="shared" si="14"/>
        <v>0</v>
      </c>
      <c r="Q90" s="101">
        <f t="shared" si="14"/>
        <v>0</v>
      </c>
      <c r="R90" s="101">
        <f t="shared" si="14"/>
        <v>0</v>
      </c>
      <c r="S90" s="101">
        <f t="shared" si="14"/>
        <v>0</v>
      </c>
      <c r="T90" s="101">
        <f t="shared" si="14"/>
        <v>0</v>
      </c>
      <c r="U90" s="101">
        <f t="shared" si="14"/>
        <v>0</v>
      </c>
      <c r="V90" s="101">
        <f t="shared" si="14"/>
        <v>0</v>
      </c>
      <c r="W90" s="101">
        <f t="shared" si="14"/>
        <v>0</v>
      </c>
      <c r="X90" s="101">
        <f t="shared" si="14"/>
        <v>0</v>
      </c>
      <c r="Y90" s="101">
        <f t="shared" si="14"/>
        <v>0</v>
      </c>
      <c r="Z90" s="101">
        <f t="shared" si="14"/>
        <v>0</v>
      </c>
      <c r="AA90" s="101">
        <f t="shared" si="14"/>
        <v>0</v>
      </c>
      <c r="AB90" s="101">
        <f t="shared" si="14"/>
        <v>0</v>
      </c>
      <c r="AC90" s="101">
        <f t="shared" si="14"/>
        <v>0</v>
      </c>
      <c r="AD90" s="101">
        <f t="shared" si="14"/>
        <v>0</v>
      </c>
      <c r="AE90" s="101">
        <f t="shared" si="14"/>
        <v>0</v>
      </c>
      <c r="AF90" s="101">
        <f t="shared" si="14"/>
        <v>0</v>
      </c>
      <c r="AG90" s="101">
        <f t="shared" si="14"/>
        <v>0</v>
      </c>
      <c r="AH90" s="101">
        <f t="shared" si="14"/>
        <v>0</v>
      </c>
      <c r="AI90" s="101">
        <f t="shared" si="14"/>
        <v>0</v>
      </c>
      <c r="AJ90" s="101">
        <f t="shared" si="14"/>
        <v>0</v>
      </c>
      <c r="AK90" s="101">
        <f t="shared" si="14"/>
        <v>0</v>
      </c>
      <c r="AL90" s="101">
        <f t="shared" si="14"/>
        <v>0</v>
      </c>
      <c r="AM90" s="101">
        <f t="shared" si="14"/>
        <v>0</v>
      </c>
      <c r="AN90" s="101">
        <f t="shared" si="14"/>
        <v>0</v>
      </c>
      <c r="AO90" s="101">
        <f t="shared" si="14"/>
        <v>0</v>
      </c>
      <c r="AP90" s="101">
        <f t="shared" si="14"/>
        <v>0</v>
      </c>
    </row>
    <row r="91" spans="3:42" x14ac:dyDescent="0.25">
      <c r="C91" s="91"/>
      <c r="D91"/>
      <c r="F91" t="s">
        <v>233</v>
      </c>
      <c r="G91" t="s">
        <v>853</v>
      </c>
      <c r="J91" s="101">
        <f t="shared" ref="J91:AP91" si="15">J$20 * J46 * thousand / PowerFactor</f>
        <v>0</v>
      </c>
      <c r="K91" s="101">
        <f t="shared" si="15"/>
        <v>0</v>
      </c>
      <c r="L91" s="101">
        <f t="shared" si="15"/>
        <v>0</v>
      </c>
      <c r="M91" s="101">
        <f t="shared" si="15"/>
        <v>0</v>
      </c>
      <c r="N91" s="101">
        <f t="shared" si="15"/>
        <v>0</v>
      </c>
      <c r="O91" s="101">
        <f t="shared" si="15"/>
        <v>0</v>
      </c>
      <c r="P91" s="101">
        <f t="shared" si="15"/>
        <v>0</v>
      </c>
      <c r="Q91" s="101">
        <f t="shared" si="15"/>
        <v>0</v>
      </c>
      <c r="R91" s="101">
        <f t="shared" si="15"/>
        <v>782.20674739182198</v>
      </c>
      <c r="S91" s="101">
        <f t="shared" si="15"/>
        <v>0</v>
      </c>
      <c r="T91" s="101">
        <f t="shared" si="15"/>
        <v>0</v>
      </c>
      <c r="U91" s="101">
        <f t="shared" si="15"/>
        <v>0</v>
      </c>
      <c r="V91" s="101">
        <f t="shared" si="15"/>
        <v>0</v>
      </c>
      <c r="W91" s="101">
        <f t="shared" si="15"/>
        <v>0</v>
      </c>
      <c r="X91" s="101">
        <f t="shared" si="15"/>
        <v>0</v>
      </c>
      <c r="Y91" s="101">
        <f t="shared" si="15"/>
        <v>0</v>
      </c>
      <c r="Z91" s="101">
        <f t="shared" si="15"/>
        <v>0</v>
      </c>
      <c r="AA91" s="101">
        <f t="shared" si="15"/>
        <v>0</v>
      </c>
      <c r="AB91" s="101">
        <f t="shared" si="15"/>
        <v>0</v>
      </c>
      <c r="AC91" s="101">
        <f t="shared" si="15"/>
        <v>0</v>
      </c>
      <c r="AD91" s="101">
        <f t="shared" si="15"/>
        <v>0</v>
      </c>
      <c r="AE91" s="101">
        <f t="shared" si="15"/>
        <v>0</v>
      </c>
      <c r="AF91" s="101">
        <f t="shared" si="15"/>
        <v>0</v>
      </c>
      <c r="AG91" s="101">
        <f t="shared" si="15"/>
        <v>0</v>
      </c>
      <c r="AH91" s="101">
        <f t="shared" si="15"/>
        <v>0</v>
      </c>
      <c r="AI91" s="101">
        <f t="shared" si="15"/>
        <v>0</v>
      </c>
      <c r="AJ91" s="101">
        <f t="shared" si="15"/>
        <v>0</v>
      </c>
      <c r="AK91" s="101">
        <f t="shared" si="15"/>
        <v>0</v>
      </c>
      <c r="AL91" s="101">
        <f t="shared" si="15"/>
        <v>0</v>
      </c>
      <c r="AM91" s="101">
        <f t="shared" si="15"/>
        <v>0</v>
      </c>
      <c r="AN91" s="101">
        <f t="shared" si="15"/>
        <v>0</v>
      </c>
      <c r="AO91" s="101">
        <f t="shared" si="15"/>
        <v>0</v>
      </c>
      <c r="AP91" s="101">
        <f t="shared" si="15"/>
        <v>0</v>
      </c>
    </row>
    <row r="92" spans="3:42" x14ac:dyDescent="0.25">
      <c r="C92" s="91"/>
      <c r="D92"/>
      <c r="F92" t="s">
        <v>234</v>
      </c>
      <c r="G92" t="s">
        <v>853</v>
      </c>
      <c r="J92" s="101">
        <f t="shared" ref="J92:AP92" si="16">J$20 * J47 * thousand / PowerFactor</f>
        <v>0</v>
      </c>
      <c r="K92" s="101">
        <f t="shared" si="16"/>
        <v>0</v>
      </c>
      <c r="L92" s="101">
        <f t="shared" si="16"/>
        <v>0</v>
      </c>
      <c r="M92" s="101">
        <f t="shared" si="16"/>
        <v>0</v>
      </c>
      <c r="N92" s="101">
        <f t="shared" si="16"/>
        <v>0</v>
      </c>
      <c r="O92" s="101">
        <f t="shared" si="16"/>
        <v>0</v>
      </c>
      <c r="P92" s="101">
        <f t="shared" si="16"/>
        <v>0</v>
      </c>
      <c r="Q92" s="101">
        <f t="shared" si="16"/>
        <v>0</v>
      </c>
      <c r="R92" s="101">
        <f t="shared" si="16"/>
        <v>0</v>
      </c>
      <c r="S92" s="101">
        <f t="shared" si="16"/>
        <v>0</v>
      </c>
      <c r="T92" s="101">
        <f t="shared" si="16"/>
        <v>0</v>
      </c>
      <c r="U92" s="101">
        <f t="shared" si="16"/>
        <v>0</v>
      </c>
      <c r="V92" s="101">
        <f t="shared" si="16"/>
        <v>0</v>
      </c>
      <c r="W92" s="101">
        <f t="shared" si="16"/>
        <v>0</v>
      </c>
      <c r="X92" s="101">
        <f t="shared" si="16"/>
        <v>0</v>
      </c>
      <c r="Y92" s="101">
        <f t="shared" si="16"/>
        <v>0</v>
      </c>
      <c r="Z92" s="101">
        <f t="shared" si="16"/>
        <v>0</v>
      </c>
      <c r="AA92" s="101">
        <f t="shared" si="16"/>
        <v>0</v>
      </c>
      <c r="AB92" s="101">
        <f t="shared" si="16"/>
        <v>0</v>
      </c>
      <c r="AC92" s="101">
        <f t="shared" si="16"/>
        <v>0</v>
      </c>
      <c r="AD92" s="101">
        <f t="shared" si="16"/>
        <v>0</v>
      </c>
      <c r="AE92" s="101">
        <f t="shared" si="16"/>
        <v>0</v>
      </c>
      <c r="AF92" s="101">
        <f t="shared" si="16"/>
        <v>0</v>
      </c>
      <c r="AG92" s="101">
        <f t="shared" si="16"/>
        <v>0</v>
      </c>
      <c r="AH92" s="101">
        <f t="shared" si="16"/>
        <v>0</v>
      </c>
      <c r="AI92" s="101">
        <f t="shared" si="16"/>
        <v>0</v>
      </c>
      <c r="AJ92" s="101">
        <f t="shared" si="16"/>
        <v>0</v>
      </c>
      <c r="AK92" s="101">
        <f t="shared" si="16"/>
        <v>0</v>
      </c>
      <c r="AL92" s="101">
        <f t="shared" si="16"/>
        <v>0</v>
      </c>
      <c r="AM92" s="101">
        <f t="shared" si="16"/>
        <v>0</v>
      </c>
      <c r="AN92" s="101">
        <f t="shared" si="16"/>
        <v>0</v>
      </c>
      <c r="AO92" s="101">
        <f t="shared" si="16"/>
        <v>0</v>
      </c>
      <c r="AP92" s="101">
        <f t="shared" si="16"/>
        <v>0</v>
      </c>
    </row>
    <row r="93" spans="3:42" x14ac:dyDescent="0.25">
      <c r="C93" s="91"/>
      <c r="D93"/>
      <c r="F93" t="s">
        <v>235</v>
      </c>
      <c r="G93" t="s">
        <v>853</v>
      </c>
      <c r="J93" s="101">
        <f t="shared" ref="J93:AP93" si="17">J$20 * J48 * thousand / PowerFactor</f>
        <v>1429423.4374531067</v>
      </c>
      <c r="K93" s="101">
        <f t="shared" si="17"/>
        <v>333033.29114843562</v>
      </c>
      <c r="L93" s="101">
        <f t="shared" si="17"/>
        <v>0</v>
      </c>
      <c r="M93" s="101">
        <f t="shared" si="17"/>
        <v>569459.89625241247</v>
      </c>
      <c r="N93" s="101">
        <f t="shared" si="17"/>
        <v>134024.32338993924</v>
      </c>
      <c r="O93" s="101">
        <f t="shared" si="17"/>
        <v>0</v>
      </c>
      <c r="P93" s="101">
        <f t="shared" si="17"/>
        <v>22825.552949021949</v>
      </c>
      <c r="Q93" s="101">
        <f t="shared" si="17"/>
        <v>0</v>
      </c>
      <c r="R93" s="101">
        <f t="shared" si="17"/>
        <v>0</v>
      </c>
      <c r="S93" s="101">
        <f t="shared" si="17"/>
        <v>306.31785844343636</v>
      </c>
      <c r="T93" s="101">
        <f t="shared" si="17"/>
        <v>46539.545866930996</v>
      </c>
      <c r="U93" s="101">
        <f t="shared" si="17"/>
        <v>0</v>
      </c>
      <c r="V93" s="101">
        <f t="shared" si="17"/>
        <v>0</v>
      </c>
      <c r="W93" s="101">
        <f t="shared" si="17"/>
        <v>0</v>
      </c>
      <c r="X93" s="101">
        <f t="shared" si="17"/>
        <v>0</v>
      </c>
      <c r="Y93" s="101">
        <f t="shared" si="17"/>
        <v>0</v>
      </c>
      <c r="Z93" s="101">
        <f t="shared" si="17"/>
        <v>0</v>
      </c>
      <c r="AA93" s="101">
        <f t="shared" si="17"/>
        <v>0</v>
      </c>
      <c r="AB93" s="101">
        <f t="shared" si="17"/>
        <v>0</v>
      </c>
      <c r="AC93" s="101">
        <f t="shared" si="17"/>
        <v>0</v>
      </c>
      <c r="AD93" s="101">
        <f t="shared" si="17"/>
        <v>0</v>
      </c>
      <c r="AE93" s="101">
        <f t="shared" si="17"/>
        <v>0</v>
      </c>
      <c r="AF93" s="101">
        <f t="shared" si="17"/>
        <v>0</v>
      </c>
      <c r="AG93" s="101">
        <f t="shared" si="17"/>
        <v>0</v>
      </c>
      <c r="AH93" s="101">
        <f t="shared" si="17"/>
        <v>0</v>
      </c>
      <c r="AI93" s="101">
        <f t="shared" si="17"/>
        <v>0</v>
      </c>
      <c r="AJ93" s="101">
        <f t="shared" si="17"/>
        <v>0</v>
      </c>
      <c r="AK93" s="101">
        <f t="shared" si="17"/>
        <v>0</v>
      </c>
      <c r="AL93" s="101">
        <f t="shared" si="17"/>
        <v>0</v>
      </c>
      <c r="AM93" s="101">
        <f t="shared" si="17"/>
        <v>0</v>
      </c>
      <c r="AN93" s="101">
        <f t="shared" si="17"/>
        <v>0</v>
      </c>
      <c r="AO93" s="101">
        <f t="shared" si="17"/>
        <v>0</v>
      </c>
      <c r="AP93" s="101">
        <f t="shared" si="17"/>
        <v>0</v>
      </c>
    </row>
    <row r="94" spans="3:42" x14ac:dyDescent="0.25">
      <c r="C94" s="91"/>
      <c r="D94"/>
      <c r="F94" t="s">
        <v>436</v>
      </c>
      <c r="G94" t="s">
        <v>853</v>
      </c>
      <c r="J94" s="79"/>
      <c r="K94" s="79"/>
      <c r="L94" s="79"/>
      <c r="M94" s="79"/>
      <c r="N94" s="79"/>
      <c r="O94" s="79"/>
      <c r="P94" s="79"/>
      <c r="Q94" s="79"/>
      <c r="R94" s="79"/>
      <c r="S94" s="79"/>
      <c r="T94" s="79"/>
      <c r="U94" s="79"/>
      <c r="V94" s="79"/>
      <c r="W94" s="79"/>
      <c r="X94" s="79"/>
      <c r="Y94" s="79"/>
      <c r="Z94" s="79"/>
      <c r="AA94" s="79"/>
      <c r="AB94" s="79"/>
      <c r="AC94" s="79"/>
      <c r="AD94" s="79"/>
      <c r="AE94" s="79"/>
      <c r="AF94" s="79"/>
      <c r="AG94" s="79"/>
      <c r="AH94" s="79"/>
      <c r="AI94" s="79"/>
      <c r="AJ94" s="79"/>
      <c r="AK94" s="79"/>
      <c r="AL94" s="79"/>
      <c r="AM94" s="79"/>
      <c r="AN94" s="79"/>
      <c r="AO94" s="79"/>
      <c r="AP94" s="79"/>
    </row>
    <row r="95" spans="3:42" x14ac:dyDescent="0.25">
      <c r="C95" s="91"/>
      <c r="D95"/>
      <c r="F95" s="37" t="s">
        <v>437</v>
      </c>
      <c r="G95" s="37" t="s">
        <v>853</v>
      </c>
      <c r="H95" s="37"/>
      <c r="I95" s="37"/>
      <c r="J95" s="81"/>
      <c r="K95" s="81"/>
      <c r="L95" s="81"/>
      <c r="M95" s="81"/>
      <c r="N95" s="81"/>
      <c r="O95" s="81"/>
      <c r="P95" s="81"/>
      <c r="Q95" s="81"/>
      <c r="R95" s="81"/>
      <c r="S95" s="81"/>
      <c r="T95" s="81"/>
      <c r="U95" s="81"/>
      <c r="V95" s="81"/>
      <c r="W95" s="81"/>
      <c r="X95" s="81"/>
      <c r="Y95" s="81"/>
      <c r="Z95" s="81"/>
      <c r="AA95" s="81"/>
      <c r="AB95" s="81"/>
      <c r="AC95" s="81"/>
      <c r="AD95" s="81"/>
      <c r="AE95" s="81"/>
      <c r="AF95" s="81"/>
      <c r="AG95" s="81"/>
      <c r="AH95" s="81"/>
      <c r="AI95" s="81"/>
      <c r="AJ95" s="81"/>
      <c r="AK95" s="81"/>
      <c r="AL95" s="81"/>
      <c r="AM95" s="81"/>
      <c r="AN95" s="81"/>
      <c r="AO95" s="81"/>
      <c r="AP95" s="81"/>
    </row>
    <row r="96" spans="3:42" x14ac:dyDescent="0.25">
      <c r="C96" s="91"/>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C97" s="31" t="str">
        <f ca="1">INDEX('Version control'!$H$34:$H$56,MATCH($A$1,'Version control'!$F$34:$F$56,0),1)&amp;"-F: Revenue allocated to fixed charges, by aggregation group"</f>
        <v>Section 114-F: Revenue allocated to fixed charges, by aggregation group</v>
      </c>
      <c r="D97" s="31"/>
      <c r="E97" s="31"/>
      <c r="F97" s="31"/>
      <c r="G97" s="31"/>
      <c r="H97" s="31"/>
      <c r="I97" s="31"/>
      <c r="J97" s="93"/>
      <c r="K97" s="93"/>
      <c r="L97" s="93"/>
      <c r="M97" s="93"/>
      <c r="N97" s="93"/>
      <c r="O97" s="93"/>
      <c r="P97" s="93"/>
      <c r="Q97" s="93"/>
      <c r="R97" s="93"/>
      <c r="S97" s="93"/>
      <c r="T97" s="93"/>
      <c r="U97" s="93"/>
      <c r="V97" s="93"/>
      <c r="W97" s="93"/>
      <c r="X97" s="93"/>
      <c r="Y97" s="93"/>
      <c r="Z97" s="93"/>
      <c r="AA97" s="93"/>
      <c r="AB97" s="93"/>
      <c r="AC97" s="93"/>
      <c r="AD97" s="93"/>
      <c r="AE97" s="93"/>
      <c r="AF97" s="93"/>
      <c r="AG97" s="93"/>
      <c r="AH97" s="93"/>
      <c r="AI97" s="93"/>
      <c r="AJ97" s="93"/>
      <c r="AK97" s="93"/>
      <c r="AL97" s="93"/>
      <c r="AM97" s="93"/>
      <c r="AN97" s="93"/>
      <c r="AO97" s="93"/>
      <c r="AP97" s="93"/>
      <c r="AQ97" s="31"/>
      <c r="AR97" s="31"/>
    </row>
    <row r="98" spans="3:44" x14ac:dyDescent="0.25">
      <c r="D98"/>
      <c r="E98" s="32"/>
      <c r="I98" t="s">
        <v>190</v>
      </c>
      <c r="J98" s="92"/>
      <c r="K98" s="92"/>
      <c r="L98" s="92"/>
      <c r="M98" s="92"/>
      <c r="N98" s="92"/>
      <c r="O98" s="92"/>
      <c r="P98" s="92"/>
      <c r="Q98" s="92"/>
      <c r="R98" s="92"/>
      <c r="S98" s="92"/>
      <c r="T98" s="92"/>
      <c r="U98" s="92"/>
      <c r="V98" s="92"/>
      <c r="W98" s="92"/>
      <c r="X98" s="92"/>
      <c r="Y98" s="92"/>
      <c r="Z98" s="92"/>
      <c r="AA98" s="92"/>
      <c r="AB98" s="92"/>
      <c r="AC98" s="92"/>
      <c r="AD98" s="92"/>
      <c r="AE98" s="92"/>
      <c r="AF98" s="92"/>
      <c r="AG98" s="92"/>
      <c r="AH98" s="92"/>
      <c r="AI98" s="92"/>
      <c r="AJ98" s="92"/>
      <c r="AK98" s="92"/>
      <c r="AL98" s="92"/>
      <c r="AM98" s="92"/>
      <c r="AN98" s="92"/>
      <c r="AO98" s="92"/>
      <c r="AP98" s="92"/>
      <c r="AR98" t="s">
        <v>851</v>
      </c>
    </row>
    <row r="99" spans="3:44" x14ac:dyDescent="0.25">
      <c r="C99" s="91"/>
      <c r="D99"/>
      <c r="E99" s="32" t="s">
        <v>733</v>
      </c>
      <c r="J99" s="92"/>
      <c r="K99" s="92"/>
      <c r="L99" s="92"/>
      <c r="M99" s="92"/>
      <c r="N99" s="92"/>
      <c r="O99" s="92"/>
      <c r="P99" s="92"/>
      <c r="Q99" s="92"/>
      <c r="R99" s="92"/>
      <c r="S99" s="92"/>
      <c r="T99" s="92"/>
      <c r="U99" s="92"/>
      <c r="V99" s="92"/>
      <c r="W99" s="92"/>
      <c r="X99" s="92"/>
      <c r="Y99" s="92"/>
      <c r="Z99" s="92"/>
      <c r="AA99" s="92"/>
      <c r="AB99" s="92"/>
      <c r="AC99" s="92"/>
      <c r="AD99" s="92"/>
      <c r="AE99" s="92"/>
      <c r="AF99" s="92"/>
      <c r="AG99" s="92"/>
      <c r="AH99" s="92"/>
      <c r="AI99" s="92"/>
      <c r="AJ99" s="92"/>
      <c r="AK99" s="92"/>
      <c r="AL99" s="92"/>
      <c r="AM99" s="92"/>
      <c r="AN99" s="92"/>
      <c r="AO99" s="92"/>
      <c r="AP99" s="92"/>
    </row>
    <row r="100" spans="3:44" x14ac:dyDescent="0.25">
      <c r="C100" s="91"/>
      <c r="D100"/>
      <c r="E100" s="29"/>
      <c r="F100" s="23" t="s">
        <v>225</v>
      </c>
      <c r="G100" s="23" t="s">
        <v>853</v>
      </c>
      <c r="H100" s="23"/>
      <c r="I100" s="23"/>
      <c r="J100" s="83"/>
      <c r="K100" s="83"/>
      <c r="L100" s="83"/>
      <c r="M100" s="83"/>
      <c r="N100" s="83"/>
      <c r="O100" s="83"/>
      <c r="P100" s="83"/>
      <c r="Q100" s="83"/>
      <c r="R100" s="83"/>
      <c r="S100" s="83"/>
      <c r="T100" s="83"/>
      <c r="U100" s="83"/>
      <c r="V100" s="83"/>
      <c r="W100" s="83"/>
      <c r="X100" s="83"/>
      <c r="Y100" s="83"/>
      <c r="Z100" s="83"/>
      <c r="AA100" s="83"/>
      <c r="AB100" s="83"/>
      <c r="AC100" s="83"/>
      <c r="AD100" s="83"/>
      <c r="AE100" s="83"/>
      <c r="AF100" s="83"/>
      <c r="AG100" s="83"/>
      <c r="AH100" s="83"/>
      <c r="AI100" s="83"/>
      <c r="AJ100" s="83"/>
      <c r="AK100" s="83"/>
      <c r="AL100" s="83"/>
      <c r="AM100" s="83"/>
      <c r="AN100" s="83"/>
      <c r="AO100" s="83"/>
      <c r="AP100" s="83"/>
    </row>
    <row r="101" spans="3:44" x14ac:dyDescent="0.25">
      <c r="C101" s="91"/>
      <c r="D101"/>
      <c r="E101" s="29"/>
      <c r="F101" t="s">
        <v>227</v>
      </c>
      <c r="G101" t="s">
        <v>853</v>
      </c>
      <c r="J101" s="79"/>
      <c r="K101" s="79"/>
      <c r="L101" s="79"/>
      <c r="M101" s="79"/>
      <c r="N101" s="79"/>
      <c r="O101" s="79"/>
      <c r="P101" s="79"/>
      <c r="Q101" s="79"/>
      <c r="R101" s="79"/>
      <c r="S101" s="79"/>
      <c r="T101" s="79"/>
      <c r="U101" s="79"/>
      <c r="V101" s="79"/>
      <c r="W101" s="79"/>
      <c r="X101" s="79"/>
      <c r="Y101" s="79"/>
      <c r="Z101" s="79"/>
      <c r="AA101" s="79"/>
      <c r="AB101" s="79"/>
      <c r="AC101" s="79"/>
      <c r="AD101" s="79"/>
      <c r="AE101" s="79"/>
      <c r="AF101" s="79"/>
      <c r="AG101" s="79"/>
      <c r="AH101" s="79"/>
      <c r="AI101" s="79"/>
      <c r="AJ101" s="79"/>
      <c r="AK101" s="79"/>
      <c r="AL101" s="79"/>
      <c r="AM101" s="79"/>
      <c r="AN101" s="79"/>
      <c r="AO101" s="79"/>
      <c r="AP101" s="79"/>
    </row>
    <row r="102" spans="3:44" x14ac:dyDescent="0.25">
      <c r="C102" s="91"/>
      <c r="D102"/>
      <c r="E102" s="29"/>
      <c r="F102" t="s">
        <v>228</v>
      </c>
      <c r="G102" t="s">
        <v>853</v>
      </c>
      <c r="J102" s="101">
        <f t="shared" ref="J102:AP102" si="18">SUMIFS($J72:$AP72,$J$63:$AP$63,J$63)</f>
        <v>0</v>
      </c>
      <c r="K102" s="101">
        <f t="shared" si="18"/>
        <v>0</v>
      </c>
      <c r="L102" s="101">
        <f t="shared" si="18"/>
        <v>0</v>
      </c>
      <c r="M102" s="101">
        <f t="shared" si="18"/>
        <v>0</v>
      </c>
      <c r="N102" s="101">
        <f t="shared" si="18"/>
        <v>0</v>
      </c>
      <c r="O102" s="101">
        <f t="shared" si="18"/>
        <v>0</v>
      </c>
      <c r="P102" s="101">
        <f t="shared" si="18"/>
        <v>0</v>
      </c>
      <c r="Q102" s="101">
        <f t="shared" si="18"/>
        <v>0</v>
      </c>
      <c r="R102" s="101">
        <f t="shared" si="18"/>
        <v>0</v>
      </c>
      <c r="S102" s="101">
        <f t="shared" si="18"/>
        <v>0</v>
      </c>
      <c r="T102" s="101">
        <f t="shared" si="18"/>
        <v>0</v>
      </c>
      <c r="U102" s="101">
        <f t="shared" si="18"/>
        <v>0</v>
      </c>
      <c r="V102" s="101">
        <f t="shared" si="18"/>
        <v>0</v>
      </c>
      <c r="W102" s="101">
        <f t="shared" si="18"/>
        <v>0</v>
      </c>
      <c r="X102" s="101">
        <f t="shared" si="18"/>
        <v>0</v>
      </c>
      <c r="Y102" s="101">
        <f t="shared" si="18"/>
        <v>0</v>
      </c>
      <c r="Z102" s="101">
        <f t="shared" si="18"/>
        <v>0</v>
      </c>
      <c r="AA102" s="101">
        <f t="shared" si="18"/>
        <v>0</v>
      </c>
      <c r="AB102" s="101">
        <f t="shared" si="18"/>
        <v>0</v>
      </c>
      <c r="AC102" s="101">
        <f t="shared" si="18"/>
        <v>0</v>
      </c>
      <c r="AD102" s="101">
        <f t="shared" si="18"/>
        <v>0</v>
      </c>
      <c r="AE102" s="101">
        <f t="shared" si="18"/>
        <v>0</v>
      </c>
      <c r="AF102" s="101">
        <f t="shared" si="18"/>
        <v>0</v>
      </c>
      <c r="AG102" s="101">
        <f t="shared" si="18"/>
        <v>0</v>
      </c>
      <c r="AH102" s="101">
        <f t="shared" si="18"/>
        <v>0</v>
      </c>
      <c r="AI102" s="101">
        <f t="shared" si="18"/>
        <v>0</v>
      </c>
      <c r="AJ102" s="101">
        <f t="shared" si="18"/>
        <v>0</v>
      </c>
      <c r="AK102" s="101">
        <f t="shared" si="18"/>
        <v>0</v>
      </c>
      <c r="AL102" s="101">
        <f t="shared" si="18"/>
        <v>0</v>
      </c>
      <c r="AM102" s="101">
        <f t="shared" si="18"/>
        <v>0</v>
      </c>
      <c r="AN102" s="101">
        <f t="shared" si="18"/>
        <v>0</v>
      </c>
      <c r="AO102" s="101">
        <f t="shared" si="18"/>
        <v>0</v>
      </c>
      <c r="AP102" s="101">
        <f t="shared" si="18"/>
        <v>0</v>
      </c>
    </row>
    <row r="103" spans="3:44" x14ac:dyDescent="0.25">
      <c r="C103" s="91"/>
      <c r="D103"/>
      <c r="E103" s="29"/>
      <c r="F103" t="s">
        <v>229</v>
      </c>
      <c r="G103" t="s">
        <v>853</v>
      </c>
      <c r="J103" s="101">
        <f t="shared" ref="J103:AP103" si="19">SUMIFS($J73:$AP73,$J$63:$AP$63,J$63)</f>
        <v>0</v>
      </c>
      <c r="K103" s="101">
        <f t="shared" si="19"/>
        <v>0</v>
      </c>
      <c r="L103" s="101">
        <f t="shared" si="19"/>
        <v>0</v>
      </c>
      <c r="M103" s="101">
        <f t="shared" si="19"/>
        <v>0</v>
      </c>
      <c r="N103" s="101">
        <f t="shared" si="19"/>
        <v>0</v>
      </c>
      <c r="O103" s="101">
        <f t="shared" si="19"/>
        <v>0</v>
      </c>
      <c r="P103" s="101">
        <f t="shared" si="19"/>
        <v>0</v>
      </c>
      <c r="Q103" s="101">
        <f t="shared" si="19"/>
        <v>0</v>
      </c>
      <c r="R103" s="101">
        <f t="shared" si="19"/>
        <v>0</v>
      </c>
      <c r="S103" s="101">
        <f t="shared" si="19"/>
        <v>0</v>
      </c>
      <c r="T103" s="101">
        <f t="shared" si="19"/>
        <v>0</v>
      </c>
      <c r="U103" s="101">
        <f t="shared" si="19"/>
        <v>0</v>
      </c>
      <c r="V103" s="101">
        <f t="shared" si="19"/>
        <v>0</v>
      </c>
      <c r="W103" s="101">
        <f t="shared" si="19"/>
        <v>0</v>
      </c>
      <c r="X103" s="101">
        <f t="shared" si="19"/>
        <v>0</v>
      </c>
      <c r="Y103" s="101">
        <f t="shared" si="19"/>
        <v>0</v>
      </c>
      <c r="Z103" s="101">
        <f t="shared" si="19"/>
        <v>0</v>
      </c>
      <c r="AA103" s="101">
        <f t="shared" si="19"/>
        <v>0</v>
      </c>
      <c r="AB103" s="101">
        <f t="shared" si="19"/>
        <v>0</v>
      </c>
      <c r="AC103" s="101">
        <f t="shared" si="19"/>
        <v>0</v>
      </c>
      <c r="AD103" s="101">
        <f t="shared" si="19"/>
        <v>0</v>
      </c>
      <c r="AE103" s="101">
        <f t="shared" si="19"/>
        <v>0</v>
      </c>
      <c r="AF103" s="101">
        <f t="shared" si="19"/>
        <v>0</v>
      </c>
      <c r="AG103" s="101">
        <f t="shared" si="19"/>
        <v>0</v>
      </c>
      <c r="AH103" s="101">
        <f t="shared" si="19"/>
        <v>0</v>
      </c>
      <c r="AI103" s="101">
        <f t="shared" si="19"/>
        <v>0</v>
      </c>
      <c r="AJ103" s="101">
        <f t="shared" si="19"/>
        <v>0</v>
      </c>
      <c r="AK103" s="101">
        <f t="shared" si="19"/>
        <v>0</v>
      </c>
      <c r="AL103" s="101">
        <f t="shared" si="19"/>
        <v>0</v>
      </c>
      <c r="AM103" s="101">
        <f t="shared" si="19"/>
        <v>0</v>
      </c>
      <c r="AN103" s="101">
        <f t="shared" si="19"/>
        <v>0</v>
      </c>
      <c r="AO103" s="101">
        <f t="shared" si="19"/>
        <v>0</v>
      </c>
      <c r="AP103" s="101">
        <f t="shared" si="19"/>
        <v>0</v>
      </c>
    </row>
    <row r="104" spans="3:44" x14ac:dyDescent="0.25">
      <c r="C104" s="91"/>
      <c r="D104"/>
      <c r="E104" s="29"/>
      <c r="F104" t="s">
        <v>230</v>
      </c>
      <c r="G104" t="s">
        <v>853</v>
      </c>
      <c r="J104" s="101">
        <f t="shared" ref="J104:AP104" si="20">SUMIFS($J74:$AP74,$J$63:$AP$63,J$63)</f>
        <v>0</v>
      </c>
      <c r="K104" s="101">
        <f t="shared" si="20"/>
        <v>0</v>
      </c>
      <c r="L104" s="101">
        <f t="shared" si="20"/>
        <v>0</v>
      </c>
      <c r="M104" s="101">
        <f t="shared" si="20"/>
        <v>0</v>
      </c>
      <c r="N104" s="101">
        <f t="shared" si="20"/>
        <v>0</v>
      </c>
      <c r="O104" s="101">
        <f t="shared" si="20"/>
        <v>0</v>
      </c>
      <c r="P104" s="101">
        <f t="shared" si="20"/>
        <v>0</v>
      </c>
      <c r="Q104" s="101">
        <f t="shared" si="20"/>
        <v>0</v>
      </c>
      <c r="R104" s="101">
        <f t="shared" si="20"/>
        <v>81.665847807350104</v>
      </c>
      <c r="S104" s="101">
        <f t="shared" si="20"/>
        <v>0</v>
      </c>
      <c r="T104" s="101">
        <f t="shared" si="20"/>
        <v>0</v>
      </c>
      <c r="U104" s="101">
        <f t="shared" si="20"/>
        <v>0</v>
      </c>
      <c r="V104" s="101">
        <f t="shared" si="20"/>
        <v>0</v>
      </c>
      <c r="W104" s="101">
        <f t="shared" si="20"/>
        <v>0</v>
      </c>
      <c r="X104" s="101">
        <f t="shared" si="20"/>
        <v>0</v>
      </c>
      <c r="Y104" s="101">
        <f t="shared" si="20"/>
        <v>0</v>
      </c>
      <c r="Z104" s="101">
        <f t="shared" si="20"/>
        <v>0</v>
      </c>
      <c r="AA104" s="101">
        <f t="shared" si="20"/>
        <v>0</v>
      </c>
      <c r="AB104" s="101">
        <f t="shared" si="20"/>
        <v>0</v>
      </c>
      <c r="AC104" s="101">
        <f t="shared" si="20"/>
        <v>0</v>
      </c>
      <c r="AD104" s="101">
        <f t="shared" si="20"/>
        <v>0</v>
      </c>
      <c r="AE104" s="101">
        <f t="shared" si="20"/>
        <v>0</v>
      </c>
      <c r="AF104" s="101">
        <f t="shared" si="20"/>
        <v>0</v>
      </c>
      <c r="AG104" s="101">
        <f t="shared" si="20"/>
        <v>0</v>
      </c>
      <c r="AH104" s="101">
        <f t="shared" si="20"/>
        <v>0</v>
      </c>
      <c r="AI104" s="101">
        <f t="shared" si="20"/>
        <v>0</v>
      </c>
      <c r="AJ104" s="101">
        <f t="shared" si="20"/>
        <v>0</v>
      </c>
      <c r="AK104" s="101">
        <f t="shared" si="20"/>
        <v>0</v>
      </c>
      <c r="AL104" s="101">
        <f t="shared" si="20"/>
        <v>0</v>
      </c>
      <c r="AM104" s="101">
        <f t="shared" si="20"/>
        <v>0</v>
      </c>
      <c r="AN104" s="101">
        <f t="shared" si="20"/>
        <v>0</v>
      </c>
      <c r="AO104" s="101">
        <f t="shared" si="20"/>
        <v>0</v>
      </c>
      <c r="AP104" s="101">
        <f t="shared" si="20"/>
        <v>0</v>
      </c>
    </row>
    <row r="105" spans="3:44" x14ac:dyDescent="0.25">
      <c r="C105" s="91"/>
      <c r="D105"/>
      <c r="E105" s="29"/>
      <c r="F105" t="s">
        <v>231</v>
      </c>
      <c r="G105" t="s">
        <v>853</v>
      </c>
      <c r="J105" s="101">
        <f t="shared" ref="J105:AP105" si="21">SUMIFS($J75:$AP75,$J$63:$AP$63,J$63)</f>
        <v>0</v>
      </c>
      <c r="K105" s="101">
        <f t="shared" si="21"/>
        <v>0</v>
      </c>
      <c r="L105" s="101">
        <f t="shared" si="21"/>
        <v>0</v>
      </c>
      <c r="M105" s="101">
        <f t="shared" si="21"/>
        <v>0</v>
      </c>
      <c r="N105" s="101">
        <f t="shared" si="21"/>
        <v>0</v>
      </c>
      <c r="O105" s="101">
        <f t="shared" si="21"/>
        <v>0</v>
      </c>
      <c r="P105" s="101">
        <f t="shared" si="21"/>
        <v>0</v>
      </c>
      <c r="Q105" s="101">
        <f t="shared" si="21"/>
        <v>0</v>
      </c>
      <c r="R105" s="101">
        <f t="shared" si="21"/>
        <v>370.99911100874107</v>
      </c>
      <c r="S105" s="101">
        <f t="shared" si="21"/>
        <v>0</v>
      </c>
      <c r="T105" s="101">
        <f t="shared" si="21"/>
        <v>0</v>
      </c>
      <c r="U105" s="101">
        <f t="shared" si="21"/>
        <v>0</v>
      </c>
      <c r="V105" s="101">
        <f t="shared" si="21"/>
        <v>0</v>
      </c>
      <c r="W105" s="101">
        <f t="shared" si="21"/>
        <v>0</v>
      </c>
      <c r="X105" s="101">
        <f t="shared" si="21"/>
        <v>0</v>
      </c>
      <c r="Y105" s="101">
        <f t="shared" si="21"/>
        <v>0</v>
      </c>
      <c r="Z105" s="101">
        <f t="shared" si="21"/>
        <v>0</v>
      </c>
      <c r="AA105" s="101">
        <f t="shared" si="21"/>
        <v>0</v>
      </c>
      <c r="AB105" s="101">
        <f t="shared" si="21"/>
        <v>0</v>
      </c>
      <c r="AC105" s="101">
        <f t="shared" si="21"/>
        <v>0</v>
      </c>
      <c r="AD105" s="101">
        <f t="shared" si="21"/>
        <v>0</v>
      </c>
      <c r="AE105" s="101">
        <f t="shared" si="21"/>
        <v>0</v>
      </c>
      <c r="AF105" s="101">
        <f t="shared" si="21"/>
        <v>0</v>
      </c>
      <c r="AG105" s="101">
        <f t="shared" si="21"/>
        <v>0</v>
      </c>
      <c r="AH105" s="101">
        <f t="shared" si="21"/>
        <v>0</v>
      </c>
      <c r="AI105" s="101">
        <f t="shared" si="21"/>
        <v>0</v>
      </c>
      <c r="AJ105" s="101">
        <f t="shared" si="21"/>
        <v>0</v>
      </c>
      <c r="AK105" s="101">
        <f t="shared" si="21"/>
        <v>0</v>
      </c>
      <c r="AL105" s="101">
        <f t="shared" si="21"/>
        <v>0</v>
      </c>
      <c r="AM105" s="101">
        <f t="shared" si="21"/>
        <v>0</v>
      </c>
      <c r="AN105" s="101">
        <f t="shared" si="21"/>
        <v>0</v>
      </c>
      <c r="AO105" s="101">
        <f t="shared" si="21"/>
        <v>0</v>
      </c>
      <c r="AP105" s="101">
        <f t="shared" si="21"/>
        <v>0</v>
      </c>
    </row>
    <row r="106" spans="3:44" x14ac:dyDescent="0.25">
      <c r="C106" s="91"/>
      <c r="D106"/>
      <c r="E106" s="29"/>
      <c r="F106" t="s">
        <v>232</v>
      </c>
      <c r="G106" t="s">
        <v>853</v>
      </c>
      <c r="J106" s="101">
        <f t="shared" ref="J106:AP106" si="22">SUMIFS($J76:$AP76,$J$63:$AP$63,J$63)</f>
        <v>0</v>
      </c>
      <c r="K106" s="101">
        <f t="shared" si="22"/>
        <v>0</v>
      </c>
      <c r="L106" s="101">
        <f t="shared" si="22"/>
        <v>0</v>
      </c>
      <c r="M106" s="101">
        <f t="shared" si="22"/>
        <v>0</v>
      </c>
      <c r="N106" s="101">
        <f t="shared" si="22"/>
        <v>0</v>
      </c>
      <c r="O106" s="101">
        <f t="shared" si="22"/>
        <v>0</v>
      </c>
      <c r="P106" s="101">
        <f t="shared" si="22"/>
        <v>0</v>
      </c>
      <c r="Q106" s="101">
        <f t="shared" si="22"/>
        <v>0</v>
      </c>
      <c r="R106" s="101">
        <f t="shared" si="22"/>
        <v>0</v>
      </c>
      <c r="S106" s="101">
        <f t="shared" si="22"/>
        <v>0</v>
      </c>
      <c r="T106" s="101">
        <f t="shared" si="22"/>
        <v>0</v>
      </c>
      <c r="U106" s="101">
        <f t="shared" si="22"/>
        <v>0</v>
      </c>
      <c r="V106" s="101">
        <f t="shared" si="22"/>
        <v>0</v>
      </c>
      <c r="W106" s="101">
        <f t="shared" si="22"/>
        <v>0</v>
      </c>
      <c r="X106" s="101">
        <f t="shared" si="22"/>
        <v>0</v>
      </c>
      <c r="Y106" s="101">
        <f t="shared" si="22"/>
        <v>0</v>
      </c>
      <c r="Z106" s="101">
        <f t="shared" si="22"/>
        <v>0</v>
      </c>
      <c r="AA106" s="101">
        <f t="shared" si="22"/>
        <v>0</v>
      </c>
      <c r="AB106" s="101">
        <f t="shared" si="22"/>
        <v>0</v>
      </c>
      <c r="AC106" s="101">
        <f t="shared" si="22"/>
        <v>0</v>
      </c>
      <c r="AD106" s="101">
        <f t="shared" si="22"/>
        <v>0</v>
      </c>
      <c r="AE106" s="101">
        <f t="shared" si="22"/>
        <v>0</v>
      </c>
      <c r="AF106" s="101">
        <f t="shared" si="22"/>
        <v>0</v>
      </c>
      <c r="AG106" s="101">
        <f t="shared" si="22"/>
        <v>0</v>
      </c>
      <c r="AH106" s="101">
        <f t="shared" si="22"/>
        <v>0</v>
      </c>
      <c r="AI106" s="101">
        <f t="shared" si="22"/>
        <v>0</v>
      </c>
      <c r="AJ106" s="101">
        <f t="shared" si="22"/>
        <v>0</v>
      </c>
      <c r="AK106" s="101">
        <f t="shared" si="22"/>
        <v>0</v>
      </c>
      <c r="AL106" s="101">
        <f t="shared" si="22"/>
        <v>0</v>
      </c>
      <c r="AM106" s="101">
        <f t="shared" si="22"/>
        <v>0</v>
      </c>
      <c r="AN106" s="101">
        <f t="shared" si="22"/>
        <v>0</v>
      </c>
      <c r="AO106" s="101">
        <f t="shared" si="22"/>
        <v>0</v>
      </c>
      <c r="AP106" s="101">
        <f t="shared" si="22"/>
        <v>0</v>
      </c>
    </row>
    <row r="107" spans="3:44" x14ac:dyDescent="0.25">
      <c r="C107" s="91"/>
      <c r="D107"/>
      <c r="E107" s="29"/>
      <c r="F107" t="s">
        <v>233</v>
      </c>
      <c r="G107" t="s">
        <v>853</v>
      </c>
      <c r="J107" s="101">
        <f t="shared" ref="J107:AP107" si="23">SUMIFS($J77:$AP77,$J$63:$AP$63,J$63)</f>
        <v>0</v>
      </c>
      <c r="K107" s="101">
        <f t="shared" si="23"/>
        <v>0</v>
      </c>
      <c r="L107" s="101">
        <f t="shared" si="23"/>
        <v>0</v>
      </c>
      <c r="M107" s="101">
        <f t="shared" si="23"/>
        <v>0</v>
      </c>
      <c r="N107" s="101">
        <f t="shared" si="23"/>
        <v>0</v>
      </c>
      <c r="O107" s="101">
        <f t="shared" si="23"/>
        <v>0</v>
      </c>
      <c r="P107" s="101">
        <f t="shared" si="23"/>
        <v>0</v>
      </c>
      <c r="Q107" s="101">
        <f t="shared" si="23"/>
        <v>0</v>
      </c>
      <c r="R107" s="101">
        <f t="shared" si="23"/>
        <v>614.3125624816131</v>
      </c>
      <c r="S107" s="101">
        <f t="shared" si="23"/>
        <v>0</v>
      </c>
      <c r="T107" s="101">
        <f t="shared" si="23"/>
        <v>0</v>
      </c>
      <c r="U107" s="101">
        <f t="shared" si="23"/>
        <v>0</v>
      </c>
      <c r="V107" s="101">
        <f t="shared" si="23"/>
        <v>0</v>
      </c>
      <c r="W107" s="101">
        <f t="shared" si="23"/>
        <v>0</v>
      </c>
      <c r="X107" s="101">
        <f t="shared" si="23"/>
        <v>0</v>
      </c>
      <c r="Y107" s="101">
        <f t="shared" si="23"/>
        <v>0</v>
      </c>
      <c r="Z107" s="101">
        <f t="shared" si="23"/>
        <v>0</v>
      </c>
      <c r="AA107" s="101">
        <f t="shared" si="23"/>
        <v>0</v>
      </c>
      <c r="AB107" s="101">
        <f t="shared" si="23"/>
        <v>0</v>
      </c>
      <c r="AC107" s="101">
        <f t="shared" si="23"/>
        <v>0</v>
      </c>
      <c r="AD107" s="101">
        <f t="shared" si="23"/>
        <v>0</v>
      </c>
      <c r="AE107" s="101">
        <f t="shared" si="23"/>
        <v>0</v>
      </c>
      <c r="AF107" s="101">
        <f t="shared" si="23"/>
        <v>0</v>
      </c>
      <c r="AG107" s="101">
        <f t="shared" si="23"/>
        <v>0</v>
      </c>
      <c r="AH107" s="101">
        <f t="shared" si="23"/>
        <v>0</v>
      </c>
      <c r="AI107" s="101">
        <f t="shared" si="23"/>
        <v>0</v>
      </c>
      <c r="AJ107" s="101">
        <f t="shared" si="23"/>
        <v>0</v>
      </c>
      <c r="AK107" s="101">
        <f t="shared" si="23"/>
        <v>0</v>
      </c>
      <c r="AL107" s="101">
        <f t="shared" si="23"/>
        <v>0</v>
      </c>
      <c r="AM107" s="101">
        <f t="shared" si="23"/>
        <v>0</v>
      </c>
      <c r="AN107" s="101">
        <f t="shared" si="23"/>
        <v>0</v>
      </c>
      <c r="AO107" s="101">
        <f t="shared" si="23"/>
        <v>0</v>
      </c>
      <c r="AP107" s="101">
        <f t="shared" si="23"/>
        <v>0</v>
      </c>
    </row>
    <row r="108" spans="3:44" x14ac:dyDescent="0.25">
      <c r="C108" s="91"/>
      <c r="D108"/>
      <c r="E108" s="29"/>
      <c r="F108" t="s">
        <v>234</v>
      </c>
      <c r="G108" t="s">
        <v>853</v>
      </c>
      <c r="J108" s="101">
        <f t="shared" ref="J108:AP108" si="24">SUMIFS($J78:$AP78,$J$63:$AP$63,J$63)</f>
        <v>0</v>
      </c>
      <c r="K108" s="101">
        <f t="shared" si="24"/>
        <v>0</v>
      </c>
      <c r="L108" s="101">
        <f t="shared" si="24"/>
        <v>0</v>
      </c>
      <c r="M108" s="101">
        <f t="shared" si="24"/>
        <v>0</v>
      </c>
      <c r="N108" s="101">
        <f t="shared" si="24"/>
        <v>0</v>
      </c>
      <c r="O108" s="101">
        <f t="shared" si="24"/>
        <v>0</v>
      </c>
      <c r="P108" s="101">
        <f t="shared" si="24"/>
        <v>0</v>
      </c>
      <c r="Q108" s="101">
        <f t="shared" si="24"/>
        <v>0</v>
      </c>
      <c r="R108" s="101">
        <f t="shared" si="24"/>
        <v>0</v>
      </c>
      <c r="S108" s="101">
        <f t="shared" si="24"/>
        <v>0</v>
      </c>
      <c r="T108" s="101">
        <f t="shared" si="24"/>
        <v>0</v>
      </c>
      <c r="U108" s="101">
        <f t="shared" si="24"/>
        <v>0</v>
      </c>
      <c r="V108" s="101">
        <f t="shared" si="24"/>
        <v>0</v>
      </c>
      <c r="W108" s="101">
        <f t="shared" si="24"/>
        <v>0</v>
      </c>
      <c r="X108" s="101">
        <f t="shared" si="24"/>
        <v>0</v>
      </c>
      <c r="Y108" s="101">
        <f t="shared" si="24"/>
        <v>0</v>
      </c>
      <c r="Z108" s="101">
        <f t="shared" si="24"/>
        <v>0</v>
      </c>
      <c r="AA108" s="101">
        <f t="shared" si="24"/>
        <v>0</v>
      </c>
      <c r="AB108" s="101">
        <f t="shared" si="24"/>
        <v>0</v>
      </c>
      <c r="AC108" s="101">
        <f t="shared" si="24"/>
        <v>0</v>
      </c>
      <c r="AD108" s="101">
        <f t="shared" si="24"/>
        <v>0</v>
      </c>
      <c r="AE108" s="101">
        <f t="shared" si="24"/>
        <v>0</v>
      </c>
      <c r="AF108" s="101">
        <f t="shared" si="24"/>
        <v>0</v>
      </c>
      <c r="AG108" s="101">
        <f t="shared" si="24"/>
        <v>0</v>
      </c>
      <c r="AH108" s="101">
        <f t="shared" si="24"/>
        <v>0</v>
      </c>
      <c r="AI108" s="101">
        <f t="shared" si="24"/>
        <v>0</v>
      </c>
      <c r="AJ108" s="101">
        <f t="shared" si="24"/>
        <v>0</v>
      </c>
      <c r="AK108" s="101">
        <f t="shared" si="24"/>
        <v>0</v>
      </c>
      <c r="AL108" s="101">
        <f t="shared" si="24"/>
        <v>0</v>
      </c>
      <c r="AM108" s="101">
        <f t="shared" si="24"/>
        <v>0</v>
      </c>
      <c r="AN108" s="101">
        <f t="shared" si="24"/>
        <v>0</v>
      </c>
      <c r="AO108" s="101">
        <f t="shared" si="24"/>
        <v>0</v>
      </c>
      <c r="AP108" s="101">
        <f t="shared" si="24"/>
        <v>0</v>
      </c>
    </row>
    <row r="109" spans="3:44" x14ac:dyDescent="0.25">
      <c r="C109" s="91"/>
      <c r="D109"/>
      <c r="E109" s="29"/>
      <c r="F109" t="s">
        <v>235</v>
      </c>
      <c r="G109" t="s">
        <v>853</v>
      </c>
      <c r="J109" s="101">
        <f t="shared" ref="J109:AP109" si="25">SUMIFS($J79:$AP79,$J$63:$AP$63,J$63)</f>
        <v>107412.03844474754</v>
      </c>
      <c r="K109" s="101">
        <f t="shared" si="25"/>
        <v>107412.03844474754</v>
      </c>
      <c r="L109" s="101">
        <f t="shared" si="25"/>
        <v>0</v>
      </c>
      <c r="M109" s="101">
        <f t="shared" si="25"/>
        <v>107412.03844474754</v>
      </c>
      <c r="N109" s="101">
        <f t="shared" si="25"/>
        <v>107412.03844474754</v>
      </c>
      <c r="O109" s="101">
        <f t="shared" si="25"/>
        <v>0</v>
      </c>
      <c r="P109" s="101">
        <f t="shared" si="25"/>
        <v>975.70520475692126</v>
      </c>
      <c r="Q109" s="101">
        <f t="shared" si="25"/>
        <v>0</v>
      </c>
      <c r="R109" s="101">
        <f t="shared" si="25"/>
        <v>0</v>
      </c>
      <c r="S109" s="101">
        <f t="shared" si="25"/>
        <v>107412.03844474754</v>
      </c>
      <c r="T109" s="101">
        <f t="shared" si="25"/>
        <v>107412.03844474754</v>
      </c>
      <c r="U109" s="101">
        <f t="shared" si="25"/>
        <v>0</v>
      </c>
      <c r="V109" s="101">
        <f t="shared" si="25"/>
        <v>0</v>
      </c>
      <c r="W109" s="101">
        <f t="shared" si="25"/>
        <v>0</v>
      </c>
      <c r="X109" s="101">
        <f t="shared" si="25"/>
        <v>0</v>
      </c>
      <c r="Y109" s="101">
        <f t="shared" si="25"/>
        <v>0</v>
      </c>
      <c r="Z109" s="101">
        <f t="shared" si="25"/>
        <v>0</v>
      </c>
      <c r="AA109" s="101">
        <f t="shared" si="25"/>
        <v>0</v>
      </c>
      <c r="AB109" s="101">
        <f t="shared" si="25"/>
        <v>0</v>
      </c>
      <c r="AC109" s="101">
        <f t="shared" si="25"/>
        <v>0</v>
      </c>
      <c r="AD109" s="101">
        <f t="shared" si="25"/>
        <v>0</v>
      </c>
      <c r="AE109" s="101">
        <f t="shared" si="25"/>
        <v>0</v>
      </c>
      <c r="AF109" s="101">
        <f t="shared" si="25"/>
        <v>0</v>
      </c>
      <c r="AG109" s="101">
        <f t="shared" si="25"/>
        <v>0</v>
      </c>
      <c r="AH109" s="101">
        <f t="shared" si="25"/>
        <v>0</v>
      </c>
      <c r="AI109" s="101">
        <f t="shared" si="25"/>
        <v>0</v>
      </c>
      <c r="AJ109" s="101">
        <f t="shared" si="25"/>
        <v>0</v>
      </c>
      <c r="AK109" s="101">
        <f t="shared" si="25"/>
        <v>0</v>
      </c>
      <c r="AL109" s="101">
        <f t="shared" si="25"/>
        <v>0</v>
      </c>
      <c r="AM109" s="101">
        <f t="shared" si="25"/>
        <v>0</v>
      </c>
      <c r="AN109" s="101">
        <f t="shared" si="25"/>
        <v>0</v>
      </c>
      <c r="AO109" s="101">
        <f t="shared" si="25"/>
        <v>0</v>
      </c>
      <c r="AP109" s="101">
        <f t="shared" si="25"/>
        <v>0</v>
      </c>
    </row>
    <row r="110" spans="3:44" x14ac:dyDescent="0.25">
      <c r="C110" s="91"/>
      <c r="D110"/>
      <c r="E110" s="29"/>
      <c r="F110" t="s">
        <v>436</v>
      </c>
      <c r="G110" t="s">
        <v>853</v>
      </c>
      <c r="J110" s="79"/>
      <c r="K110" s="79"/>
      <c r="L110" s="79"/>
      <c r="M110" s="79"/>
      <c r="N110" s="79"/>
      <c r="O110" s="79"/>
      <c r="P110" s="79"/>
      <c r="Q110" s="79"/>
      <c r="R110" s="79"/>
      <c r="S110" s="79"/>
      <c r="T110" s="79"/>
      <c r="U110" s="79"/>
      <c r="V110" s="79"/>
      <c r="W110" s="79"/>
      <c r="X110" s="79"/>
      <c r="Y110" s="79"/>
      <c r="Z110" s="79"/>
      <c r="AA110" s="79"/>
      <c r="AB110" s="79"/>
      <c r="AC110" s="79"/>
      <c r="AD110" s="79"/>
      <c r="AE110" s="79"/>
      <c r="AF110" s="79"/>
      <c r="AG110" s="79"/>
      <c r="AH110" s="79"/>
      <c r="AI110" s="79"/>
      <c r="AJ110" s="79"/>
      <c r="AK110" s="79"/>
      <c r="AL110" s="79"/>
      <c r="AM110" s="79"/>
      <c r="AN110" s="79"/>
      <c r="AO110" s="79"/>
      <c r="AP110" s="79"/>
    </row>
    <row r="111" spans="3:44" x14ac:dyDescent="0.25">
      <c r="C111" s="91"/>
      <c r="D111"/>
      <c r="E111" s="29"/>
      <c r="F111" s="37" t="s">
        <v>437</v>
      </c>
      <c r="G111" s="37" t="s">
        <v>853</v>
      </c>
      <c r="H111" s="37"/>
      <c r="I111" s="37"/>
      <c r="J111" s="81"/>
      <c r="K111" s="81"/>
      <c r="L111" s="81"/>
      <c r="M111" s="81"/>
      <c r="N111" s="81"/>
      <c r="O111" s="81"/>
      <c r="P111" s="81"/>
      <c r="Q111" s="81"/>
      <c r="R111" s="81"/>
      <c r="S111" s="81"/>
      <c r="T111" s="81"/>
      <c r="U111" s="81"/>
      <c r="V111" s="81"/>
      <c r="W111" s="81"/>
      <c r="X111" s="81"/>
      <c r="Y111" s="81"/>
      <c r="Z111" s="81"/>
      <c r="AA111" s="81"/>
      <c r="AB111" s="81"/>
      <c r="AC111" s="81"/>
      <c r="AD111" s="81"/>
      <c r="AE111" s="81"/>
      <c r="AF111" s="81"/>
      <c r="AG111" s="81"/>
      <c r="AH111" s="81"/>
      <c r="AI111" s="81"/>
      <c r="AJ111" s="81"/>
      <c r="AK111" s="81"/>
      <c r="AL111" s="81"/>
      <c r="AM111" s="81"/>
      <c r="AN111" s="81"/>
      <c r="AO111" s="81"/>
      <c r="AP111" s="81"/>
    </row>
    <row r="112" spans="3:44" x14ac:dyDescent="0.25">
      <c r="C112" s="91"/>
      <c r="D112"/>
      <c r="E112" s="29"/>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C113" s="91"/>
      <c r="D113"/>
      <c r="E113" s="32" t="s">
        <v>734</v>
      </c>
      <c r="J113" s="92"/>
      <c r="K113" s="92"/>
      <c r="L113" s="92"/>
      <c r="M113" s="92"/>
      <c r="N113" s="92"/>
      <c r="O113" s="92"/>
      <c r="P113" s="92"/>
      <c r="Q113" s="92"/>
      <c r="R113" s="92"/>
      <c r="S113" s="92"/>
      <c r="T113" s="92"/>
      <c r="U113" s="92"/>
      <c r="V113" s="92"/>
      <c r="W113" s="92"/>
      <c r="X113" s="92"/>
      <c r="Y113" s="92"/>
      <c r="Z113" s="92"/>
      <c r="AA113" s="92"/>
      <c r="AB113" s="92"/>
      <c r="AC113" s="92"/>
      <c r="AD113" s="92"/>
      <c r="AE113" s="92"/>
      <c r="AF113" s="92"/>
      <c r="AG113" s="92"/>
      <c r="AH113" s="92"/>
      <c r="AI113" s="92"/>
      <c r="AJ113" s="92"/>
      <c r="AK113" s="92"/>
      <c r="AL113" s="92"/>
      <c r="AM113" s="92"/>
      <c r="AN113" s="92"/>
      <c r="AO113" s="92"/>
      <c r="AP113" s="92"/>
    </row>
    <row r="114" spans="3:44" x14ac:dyDescent="0.25">
      <c r="C114" s="91"/>
      <c r="D114"/>
      <c r="F114" s="23" t="s">
        <v>225</v>
      </c>
      <c r="G114" s="23" t="s">
        <v>853</v>
      </c>
      <c r="H114" s="23"/>
      <c r="I114" s="23"/>
      <c r="J114" s="129">
        <f t="shared" ref="J114:AP114" si="26">SUMIFS($J84:$AP84,$J$63:$AP$63,J$63)</f>
        <v>0</v>
      </c>
      <c r="K114" s="129">
        <f t="shared" si="26"/>
        <v>0</v>
      </c>
      <c r="L114" s="129">
        <f t="shared" si="26"/>
        <v>0</v>
      </c>
      <c r="M114" s="129">
        <f t="shared" si="26"/>
        <v>0</v>
      </c>
      <c r="N114" s="129">
        <f t="shared" si="26"/>
        <v>0</v>
      </c>
      <c r="O114" s="129">
        <f t="shared" si="26"/>
        <v>0</v>
      </c>
      <c r="P114" s="129">
        <f t="shared" si="26"/>
        <v>0</v>
      </c>
      <c r="Q114" s="129">
        <f t="shared" si="26"/>
        <v>0</v>
      </c>
      <c r="R114" s="129">
        <f t="shared" si="26"/>
        <v>0</v>
      </c>
      <c r="S114" s="129">
        <f t="shared" si="26"/>
        <v>0</v>
      </c>
      <c r="T114" s="129">
        <f t="shared" si="26"/>
        <v>0</v>
      </c>
      <c r="U114" s="129">
        <f t="shared" si="26"/>
        <v>0</v>
      </c>
      <c r="V114" s="129">
        <f t="shared" si="26"/>
        <v>0</v>
      </c>
      <c r="W114" s="129">
        <f t="shared" si="26"/>
        <v>0</v>
      </c>
      <c r="X114" s="129">
        <f t="shared" si="26"/>
        <v>0</v>
      </c>
      <c r="Y114" s="129">
        <f t="shared" si="26"/>
        <v>0</v>
      </c>
      <c r="Z114" s="129">
        <f t="shared" si="26"/>
        <v>0</v>
      </c>
      <c r="AA114" s="129">
        <f t="shared" si="26"/>
        <v>0</v>
      </c>
      <c r="AB114" s="129">
        <f t="shared" si="26"/>
        <v>0</v>
      </c>
      <c r="AC114" s="129">
        <f t="shared" si="26"/>
        <v>0</v>
      </c>
      <c r="AD114" s="129">
        <f t="shared" si="26"/>
        <v>0</v>
      </c>
      <c r="AE114" s="129">
        <f t="shared" si="26"/>
        <v>0</v>
      </c>
      <c r="AF114" s="129">
        <f t="shared" si="26"/>
        <v>0</v>
      </c>
      <c r="AG114" s="129">
        <f t="shared" si="26"/>
        <v>0</v>
      </c>
      <c r="AH114" s="129">
        <f t="shared" si="26"/>
        <v>0</v>
      </c>
      <c r="AI114" s="129">
        <f t="shared" si="26"/>
        <v>0</v>
      </c>
      <c r="AJ114" s="129">
        <f t="shared" si="26"/>
        <v>0</v>
      </c>
      <c r="AK114" s="129">
        <f t="shared" si="26"/>
        <v>0</v>
      </c>
      <c r="AL114" s="129">
        <f t="shared" si="26"/>
        <v>0</v>
      </c>
      <c r="AM114" s="129">
        <f t="shared" si="26"/>
        <v>0</v>
      </c>
      <c r="AN114" s="129">
        <f t="shared" si="26"/>
        <v>0</v>
      </c>
      <c r="AO114" s="129">
        <f t="shared" si="26"/>
        <v>0</v>
      </c>
      <c r="AP114" s="129">
        <f t="shared" si="26"/>
        <v>0</v>
      </c>
    </row>
    <row r="115" spans="3:44" x14ac:dyDescent="0.25">
      <c r="C115" s="91"/>
      <c r="D115"/>
      <c r="F115" t="s">
        <v>227</v>
      </c>
      <c r="G115" t="s">
        <v>853</v>
      </c>
      <c r="J115" s="101">
        <f t="shared" ref="J115:AP115" si="27">SUMIFS($J85:$AP85,$J$63:$AP$63,J$63)</f>
        <v>0</v>
      </c>
      <c r="K115" s="101">
        <f t="shared" si="27"/>
        <v>0</v>
      </c>
      <c r="L115" s="101">
        <f t="shared" si="27"/>
        <v>0</v>
      </c>
      <c r="M115" s="101">
        <f t="shared" si="27"/>
        <v>0</v>
      </c>
      <c r="N115" s="101">
        <f t="shared" si="27"/>
        <v>0</v>
      </c>
      <c r="O115" s="101">
        <f t="shared" si="27"/>
        <v>0</v>
      </c>
      <c r="P115" s="101">
        <f t="shared" si="27"/>
        <v>0</v>
      </c>
      <c r="Q115" s="101">
        <f t="shared" si="27"/>
        <v>0</v>
      </c>
      <c r="R115" s="101">
        <f t="shared" si="27"/>
        <v>0</v>
      </c>
      <c r="S115" s="101">
        <f t="shared" si="27"/>
        <v>0</v>
      </c>
      <c r="T115" s="101">
        <f t="shared" si="27"/>
        <v>0</v>
      </c>
      <c r="U115" s="101">
        <f t="shared" si="27"/>
        <v>0</v>
      </c>
      <c r="V115" s="101">
        <f t="shared" si="27"/>
        <v>0</v>
      </c>
      <c r="W115" s="101">
        <f t="shared" si="27"/>
        <v>0</v>
      </c>
      <c r="X115" s="101">
        <f t="shared" si="27"/>
        <v>0</v>
      </c>
      <c r="Y115" s="101">
        <f t="shared" si="27"/>
        <v>0</v>
      </c>
      <c r="Z115" s="101">
        <f t="shared" si="27"/>
        <v>0</v>
      </c>
      <c r="AA115" s="101">
        <f t="shared" si="27"/>
        <v>0</v>
      </c>
      <c r="AB115" s="101">
        <f t="shared" si="27"/>
        <v>0</v>
      </c>
      <c r="AC115" s="101">
        <f t="shared" si="27"/>
        <v>0</v>
      </c>
      <c r="AD115" s="101">
        <f t="shared" si="27"/>
        <v>0</v>
      </c>
      <c r="AE115" s="101">
        <f t="shared" si="27"/>
        <v>0</v>
      </c>
      <c r="AF115" s="101">
        <f t="shared" si="27"/>
        <v>0</v>
      </c>
      <c r="AG115" s="101">
        <f t="shared" si="27"/>
        <v>0</v>
      </c>
      <c r="AH115" s="101">
        <f t="shared" si="27"/>
        <v>0</v>
      </c>
      <c r="AI115" s="101">
        <f t="shared" si="27"/>
        <v>0</v>
      </c>
      <c r="AJ115" s="101">
        <f t="shared" si="27"/>
        <v>0</v>
      </c>
      <c r="AK115" s="101">
        <f t="shared" si="27"/>
        <v>0</v>
      </c>
      <c r="AL115" s="101">
        <f t="shared" si="27"/>
        <v>0</v>
      </c>
      <c r="AM115" s="101">
        <f t="shared" si="27"/>
        <v>0</v>
      </c>
      <c r="AN115" s="101">
        <f t="shared" si="27"/>
        <v>0</v>
      </c>
      <c r="AO115" s="101">
        <f t="shared" si="27"/>
        <v>0</v>
      </c>
      <c r="AP115" s="101">
        <f t="shared" si="27"/>
        <v>0</v>
      </c>
    </row>
    <row r="116" spans="3:44" x14ac:dyDescent="0.25">
      <c r="C116" s="91"/>
      <c r="D116"/>
      <c r="F116" t="s">
        <v>228</v>
      </c>
      <c r="G116" t="s">
        <v>853</v>
      </c>
      <c r="J116" s="101">
        <f t="shared" ref="J116:AP116" si="28">SUMIFS($J86:$AP86,$J$63:$AP$63,J$63)</f>
        <v>0</v>
      </c>
      <c r="K116" s="101">
        <f t="shared" si="28"/>
        <v>0</v>
      </c>
      <c r="L116" s="101">
        <f t="shared" si="28"/>
        <v>0</v>
      </c>
      <c r="M116" s="101">
        <f t="shared" si="28"/>
        <v>0</v>
      </c>
      <c r="N116" s="101">
        <f t="shared" si="28"/>
        <v>0</v>
      </c>
      <c r="O116" s="101">
        <f t="shared" si="28"/>
        <v>0</v>
      </c>
      <c r="P116" s="101">
        <f t="shared" si="28"/>
        <v>0</v>
      </c>
      <c r="Q116" s="101">
        <f t="shared" si="28"/>
        <v>0</v>
      </c>
      <c r="R116" s="101">
        <f t="shared" si="28"/>
        <v>0</v>
      </c>
      <c r="S116" s="101">
        <f t="shared" si="28"/>
        <v>0</v>
      </c>
      <c r="T116" s="101">
        <f t="shared" si="28"/>
        <v>0</v>
      </c>
      <c r="U116" s="101">
        <f t="shared" si="28"/>
        <v>0</v>
      </c>
      <c r="V116" s="101">
        <f t="shared" si="28"/>
        <v>0</v>
      </c>
      <c r="W116" s="101">
        <f t="shared" si="28"/>
        <v>0</v>
      </c>
      <c r="X116" s="101">
        <f t="shared" si="28"/>
        <v>0</v>
      </c>
      <c r="Y116" s="101">
        <f t="shared" si="28"/>
        <v>0</v>
      </c>
      <c r="Z116" s="101">
        <f t="shared" si="28"/>
        <v>0</v>
      </c>
      <c r="AA116" s="101">
        <f t="shared" si="28"/>
        <v>0</v>
      </c>
      <c r="AB116" s="101">
        <f t="shared" si="28"/>
        <v>0</v>
      </c>
      <c r="AC116" s="101">
        <f t="shared" si="28"/>
        <v>0</v>
      </c>
      <c r="AD116" s="101">
        <f t="shared" si="28"/>
        <v>0</v>
      </c>
      <c r="AE116" s="101">
        <f t="shared" si="28"/>
        <v>0</v>
      </c>
      <c r="AF116" s="101">
        <f t="shared" si="28"/>
        <v>0</v>
      </c>
      <c r="AG116" s="101">
        <f t="shared" si="28"/>
        <v>0</v>
      </c>
      <c r="AH116" s="101">
        <f t="shared" si="28"/>
        <v>0</v>
      </c>
      <c r="AI116" s="101">
        <f t="shared" si="28"/>
        <v>0</v>
      </c>
      <c r="AJ116" s="101">
        <f t="shared" si="28"/>
        <v>0</v>
      </c>
      <c r="AK116" s="101">
        <f t="shared" si="28"/>
        <v>0</v>
      </c>
      <c r="AL116" s="101">
        <f t="shared" si="28"/>
        <v>0</v>
      </c>
      <c r="AM116" s="101">
        <f t="shared" si="28"/>
        <v>0</v>
      </c>
      <c r="AN116" s="101">
        <f t="shared" si="28"/>
        <v>0</v>
      </c>
      <c r="AO116" s="101">
        <f t="shared" si="28"/>
        <v>0</v>
      </c>
      <c r="AP116" s="101">
        <f t="shared" si="28"/>
        <v>0</v>
      </c>
    </row>
    <row r="117" spans="3:44" x14ac:dyDescent="0.25">
      <c r="C117" s="91"/>
      <c r="D117"/>
      <c r="F117" t="s">
        <v>229</v>
      </c>
      <c r="G117" t="s">
        <v>853</v>
      </c>
      <c r="J117" s="101">
        <f t="shared" ref="J117:AP117" si="29">SUMIFS($J87:$AP87,$J$63:$AP$63,J$63)</f>
        <v>0</v>
      </c>
      <c r="K117" s="101">
        <f t="shared" si="29"/>
        <v>0</v>
      </c>
      <c r="L117" s="101">
        <f t="shared" si="29"/>
        <v>0</v>
      </c>
      <c r="M117" s="101">
        <f t="shared" si="29"/>
        <v>0</v>
      </c>
      <c r="N117" s="101">
        <f t="shared" si="29"/>
        <v>0</v>
      </c>
      <c r="O117" s="101">
        <f t="shared" si="29"/>
        <v>0</v>
      </c>
      <c r="P117" s="101">
        <f t="shared" si="29"/>
        <v>0</v>
      </c>
      <c r="Q117" s="101">
        <f t="shared" si="29"/>
        <v>0</v>
      </c>
      <c r="R117" s="101">
        <f t="shared" si="29"/>
        <v>0</v>
      </c>
      <c r="S117" s="101">
        <f t="shared" si="29"/>
        <v>0</v>
      </c>
      <c r="T117" s="101">
        <f t="shared" si="29"/>
        <v>0</v>
      </c>
      <c r="U117" s="101">
        <f t="shared" si="29"/>
        <v>0</v>
      </c>
      <c r="V117" s="101">
        <f t="shared" si="29"/>
        <v>0</v>
      </c>
      <c r="W117" s="101">
        <f t="shared" si="29"/>
        <v>0</v>
      </c>
      <c r="X117" s="101">
        <f t="shared" si="29"/>
        <v>0</v>
      </c>
      <c r="Y117" s="101">
        <f t="shared" si="29"/>
        <v>0</v>
      </c>
      <c r="Z117" s="101">
        <f t="shared" si="29"/>
        <v>0</v>
      </c>
      <c r="AA117" s="101">
        <f t="shared" si="29"/>
        <v>0</v>
      </c>
      <c r="AB117" s="101">
        <f t="shared" si="29"/>
        <v>0</v>
      </c>
      <c r="AC117" s="101">
        <f t="shared" si="29"/>
        <v>0</v>
      </c>
      <c r="AD117" s="101">
        <f t="shared" si="29"/>
        <v>0</v>
      </c>
      <c r="AE117" s="101">
        <f t="shared" si="29"/>
        <v>0</v>
      </c>
      <c r="AF117" s="101">
        <f t="shared" si="29"/>
        <v>0</v>
      </c>
      <c r="AG117" s="101">
        <f t="shared" si="29"/>
        <v>0</v>
      </c>
      <c r="AH117" s="101">
        <f t="shared" si="29"/>
        <v>0</v>
      </c>
      <c r="AI117" s="101">
        <f t="shared" si="29"/>
        <v>0</v>
      </c>
      <c r="AJ117" s="101">
        <f t="shared" si="29"/>
        <v>0</v>
      </c>
      <c r="AK117" s="101">
        <f t="shared" si="29"/>
        <v>0</v>
      </c>
      <c r="AL117" s="101">
        <f t="shared" si="29"/>
        <v>0</v>
      </c>
      <c r="AM117" s="101">
        <f t="shared" si="29"/>
        <v>0</v>
      </c>
      <c r="AN117" s="101">
        <f t="shared" si="29"/>
        <v>0</v>
      </c>
      <c r="AO117" s="101">
        <f t="shared" si="29"/>
        <v>0</v>
      </c>
      <c r="AP117" s="101">
        <f t="shared" si="29"/>
        <v>0</v>
      </c>
    </row>
    <row r="118" spans="3:44" x14ac:dyDescent="0.25">
      <c r="C118" s="91"/>
      <c r="D118"/>
      <c r="F118" t="s">
        <v>230</v>
      </c>
      <c r="G118" t="s">
        <v>853</v>
      </c>
      <c r="J118" s="101">
        <f t="shared" ref="J118:AP118" si="30">SUMIFS($J88:$AP88,$J$63:$AP$63,J$63)</f>
        <v>0</v>
      </c>
      <c r="K118" s="101">
        <f t="shared" si="30"/>
        <v>0</v>
      </c>
      <c r="L118" s="101">
        <f t="shared" si="30"/>
        <v>0</v>
      </c>
      <c r="M118" s="101">
        <f t="shared" si="30"/>
        <v>0</v>
      </c>
      <c r="N118" s="101">
        <f t="shared" si="30"/>
        <v>0</v>
      </c>
      <c r="O118" s="101">
        <f t="shared" si="30"/>
        <v>0</v>
      </c>
      <c r="P118" s="101">
        <f t="shared" si="30"/>
        <v>0</v>
      </c>
      <c r="Q118" s="101">
        <f t="shared" si="30"/>
        <v>0</v>
      </c>
      <c r="R118" s="101">
        <f t="shared" si="30"/>
        <v>64.290419181409277</v>
      </c>
      <c r="S118" s="101">
        <f t="shared" si="30"/>
        <v>0</v>
      </c>
      <c r="T118" s="101">
        <f t="shared" si="30"/>
        <v>0</v>
      </c>
      <c r="U118" s="101">
        <f t="shared" si="30"/>
        <v>0</v>
      </c>
      <c r="V118" s="101">
        <f t="shared" si="30"/>
        <v>0</v>
      </c>
      <c r="W118" s="101">
        <f t="shared" si="30"/>
        <v>0</v>
      </c>
      <c r="X118" s="101">
        <f t="shared" si="30"/>
        <v>0</v>
      </c>
      <c r="Y118" s="101">
        <f t="shared" si="30"/>
        <v>0</v>
      </c>
      <c r="Z118" s="101">
        <f t="shared" si="30"/>
        <v>0</v>
      </c>
      <c r="AA118" s="101">
        <f t="shared" si="30"/>
        <v>0</v>
      </c>
      <c r="AB118" s="101">
        <f t="shared" si="30"/>
        <v>0</v>
      </c>
      <c r="AC118" s="101">
        <f t="shared" si="30"/>
        <v>0</v>
      </c>
      <c r="AD118" s="101">
        <f t="shared" si="30"/>
        <v>0</v>
      </c>
      <c r="AE118" s="101">
        <f t="shared" si="30"/>
        <v>0</v>
      </c>
      <c r="AF118" s="101">
        <f t="shared" si="30"/>
        <v>0</v>
      </c>
      <c r="AG118" s="101">
        <f t="shared" si="30"/>
        <v>0</v>
      </c>
      <c r="AH118" s="101">
        <f t="shared" si="30"/>
        <v>0</v>
      </c>
      <c r="AI118" s="101">
        <f t="shared" si="30"/>
        <v>0</v>
      </c>
      <c r="AJ118" s="101">
        <f t="shared" si="30"/>
        <v>0</v>
      </c>
      <c r="AK118" s="101">
        <f t="shared" si="30"/>
        <v>0</v>
      </c>
      <c r="AL118" s="101">
        <f t="shared" si="30"/>
        <v>0</v>
      </c>
      <c r="AM118" s="101">
        <f t="shared" si="30"/>
        <v>0</v>
      </c>
      <c r="AN118" s="101">
        <f t="shared" si="30"/>
        <v>0</v>
      </c>
      <c r="AO118" s="101">
        <f t="shared" si="30"/>
        <v>0</v>
      </c>
      <c r="AP118" s="101">
        <f t="shared" si="30"/>
        <v>0</v>
      </c>
    </row>
    <row r="119" spans="3:44" x14ac:dyDescent="0.25">
      <c r="C119" s="91"/>
      <c r="D119"/>
      <c r="F119" t="s">
        <v>231</v>
      </c>
      <c r="G119" t="s">
        <v>853</v>
      </c>
      <c r="J119" s="101">
        <f t="shared" ref="J119:AP119" si="31">SUMIFS($J89:$AP89,$J$63:$AP$63,J$63)</f>
        <v>0</v>
      </c>
      <c r="K119" s="101">
        <f t="shared" si="31"/>
        <v>0</v>
      </c>
      <c r="L119" s="101">
        <f t="shared" si="31"/>
        <v>0</v>
      </c>
      <c r="M119" s="101">
        <f t="shared" si="31"/>
        <v>0</v>
      </c>
      <c r="N119" s="101">
        <f t="shared" si="31"/>
        <v>0</v>
      </c>
      <c r="O119" s="101">
        <f t="shared" si="31"/>
        <v>0</v>
      </c>
      <c r="P119" s="101">
        <f t="shared" si="31"/>
        <v>0</v>
      </c>
      <c r="Q119" s="101">
        <f t="shared" si="31"/>
        <v>0</v>
      </c>
      <c r="R119" s="101">
        <f t="shared" si="31"/>
        <v>290.84866871001663</v>
      </c>
      <c r="S119" s="101">
        <f t="shared" si="31"/>
        <v>0</v>
      </c>
      <c r="T119" s="101">
        <f t="shared" si="31"/>
        <v>0</v>
      </c>
      <c r="U119" s="101">
        <f t="shared" si="31"/>
        <v>0</v>
      </c>
      <c r="V119" s="101">
        <f t="shared" si="31"/>
        <v>0</v>
      </c>
      <c r="W119" s="101">
        <f t="shared" si="31"/>
        <v>0</v>
      </c>
      <c r="X119" s="101">
        <f t="shared" si="31"/>
        <v>0</v>
      </c>
      <c r="Y119" s="101">
        <f t="shared" si="31"/>
        <v>0</v>
      </c>
      <c r="Z119" s="101">
        <f t="shared" si="31"/>
        <v>0</v>
      </c>
      <c r="AA119" s="101">
        <f t="shared" si="31"/>
        <v>0</v>
      </c>
      <c r="AB119" s="101">
        <f t="shared" si="31"/>
        <v>0</v>
      </c>
      <c r="AC119" s="101">
        <f t="shared" si="31"/>
        <v>0</v>
      </c>
      <c r="AD119" s="101">
        <f t="shared" si="31"/>
        <v>0</v>
      </c>
      <c r="AE119" s="101">
        <f t="shared" si="31"/>
        <v>0</v>
      </c>
      <c r="AF119" s="101">
        <f t="shared" si="31"/>
        <v>0</v>
      </c>
      <c r="AG119" s="101">
        <f t="shared" si="31"/>
        <v>0</v>
      </c>
      <c r="AH119" s="101">
        <f t="shared" si="31"/>
        <v>0</v>
      </c>
      <c r="AI119" s="101">
        <f t="shared" si="31"/>
        <v>0</v>
      </c>
      <c r="AJ119" s="101">
        <f t="shared" si="31"/>
        <v>0</v>
      </c>
      <c r="AK119" s="101">
        <f t="shared" si="31"/>
        <v>0</v>
      </c>
      <c r="AL119" s="101">
        <f t="shared" si="31"/>
        <v>0</v>
      </c>
      <c r="AM119" s="101">
        <f t="shared" si="31"/>
        <v>0</v>
      </c>
      <c r="AN119" s="101">
        <f t="shared" si="31"/>
        <v>0</v>
      </c>
      <c r="AO119" s="101">
        <f t="shared" si="31"/>
        <v>0</v>
      </c>
      <c r="AP119" s="101">
        <f t="shared" si="31"/>
        <v>0</v>
      </c>
    </row>
    <row r="120" spans="3:44" x14ac:dyDescent="0.25">
      <c r="C120" s="91"/>
      <c r="D120"/>
      <c r="F120" t="s">
        <v>232</v>
      </c>
      <c r="G120" t="s">
        <v>853</v>
      </c>
      <c r="J120" s="101">
        <f t="shared" ref="J120:AP120" si="32">SUMIFS($J90:$AP90,$J$63:$AP$63,J$63)</f>
        <v>0</v>
      </c>
      <c r="K120" s="101">
        <f t="shared" si="32"/>
        <v>0</v>
      </c>
      <c r="L120" s="101">
        <f t="shared" si="32"/>
        <v>0</v>
      </c>
      <c r="M120" s="101">
        <f t="shared" si="32"/>
        <v>0</v>
      </c>
      <c r="N120" s="101">
        <f t="shared" si="32"/>
        <v>0</v>
      </c>
      <c r="O120" s="101">
        <f t="shared" si="32"/>
        <v>0</v>
      </c>
      <c r="P120" s="101">
        <f t="shared" si="32"/>
        <v>0</v>
      </c>
      <c r="Q120" s="101">
        <f t="shared" si="32"/>
        <v>0</v>
      </c>
      <c r="R120" s="101">
        <f t="shared" si="32"/>
        <v>0</v>
      </c>
      <c r="S120" s="101">
        <f t="shared" si="32"/>
        <v>0</v>
      </c>
      <c r="T120" s="101">
        <f t="shared" si="32"/>
        <v>0</v>
      </c>
      <c r="U120" s="101">
        <f t="shared" si="32"/>
        <v>0</v>
      </c>
      <c r="V120" s="101">
        <f t="shared" si="32"/>
        <v>0</v>
      </c>
      <c r="W120" s="101">
        <f t="shared" si="32"/>
        <v>0</v>
      </c>
      <c r="X120" s="101">
        <f t="shared" si="32"/>
        <v>0</v>
      </c>
      <c r="Y120" s="101">
        <f t="shared" si="32"/>
        <v>0</v>
      </c>
      <c r="Z120" s="101">
        <f t="shared" si="32"/>
        <v>0</v>
      </c>
      <c r="AA120" s="101">
        <f t="shared" si="32"/>
        <v>0</v>
      </c>
      <c r="AB120" s="101">
        <f t="shared" si="32"/>
        <v>0</v>
      </c>
      <c r="AC120" s="101">
        <f t="shared" si="32"/>
        <v>0</v>
      </c>
      <c r="AD120" s="101">
        <f t="shared" si="32"/>
        <v>0</v>
      </c>
      <c r="AE120" s="101">
        <f t="shared" si="32"/>
        <v>0</v>
      </c>
      <c r="AF120" s="101">
        <f t="shared" si="32"/>
        <v>0</v>
      </c>
      <c r="AG120" s="101">
        <f t="shared" si="32"/>
        <v>0</v>
      </c>
      <c r="AH120" s="101">
        <f t="shared" si="32"/>
        <v>0</v>
      </c>
      <c r="AI120" s="101">
        <f t="shared" si="32"/>
        <v>0</v>
      </c>
      <c r="AJ120" s="101">
        <f t="shared" si="32"/>
        <v>0</v>
      </c>
      <c r="AK120" s="101">
        <f t="shared" si="32"/>
        <v>0</v>
      </c>
      <c r="AL120" s="101">
        <f t="shared" si="32"/>
        <v>0</v>
      </c>
      <c r="AM120" s="101">
        <f t="shared" si="32"/>
        <v>0</v>
      </c>
      <c r="AN120" s="101">
        <f t="shared" si="32"/>
        <v>0</v>
      </c>
      <c r="AO120" s="101">
        <f t="shared" si="32"/>
        <v>0</v>
      </c>
      <c r="AP120" s="101">
        <f t="shared" si="32"/>
        <v>0</v>
      </c>
    </row>
    <row r="121" spans="3:44" x14ac:dyDescent="0.25">
      <c r="C121" s="91"/>
      <c r="D121"/>
      <c r="F121" t="s">
        <v>233</v>
      </c>
      <c r="G121" t="s">
        <v>853</v>
      </c>
      <c r="J121" s="101">
        <f t="shared" ref="J121:AP121" si="33">SUMIFS($J91:$AP91,$J$63:$AP$63,J$63)</f>
        <v>0</v>
      </c>
      <c r="K121" s="101">
        <f t="shared" si="33"/>
        <v>0</v>
      </c>
      <c r="L121" s="101">
        <f t="shared" si="33"/>
        <v>0</v>
      </c>
      <c r="M121" s="101">
        <f t="shared" si="33"/>
        <v>0</v>
      </c>
      <c r="N121" s="101">
        <f t="shared" si="33"/>
        <v>0</v>
      </c>
      <c r="O121" s="101">
        <f t="shared" si="33"/>
        <v>0</v>
      </c>
      <c r="P121" s="101">
        <f t="shared" si="33"/>
        <v>0</v>
      </c>
      <c r="Q121" s="101">
        <f t="shared" si="33"/>
        <v>0</v>
      </c>
      <c r="R121" s="101">
        <f t="shared" si="33"/>
        <v>782.20674739182198</v>
      </c>
      <c r="S121" s="101">
        <f t="shared" si="33"/>
        <v>0</v>
      </c>
      <c r="T121" s="101">
        <f t="shared" si="33"/>
        <v>0</v>
      </c>
      <c r="U121" s="101">
        <f t="shared" si="33"/>
        <v>0</v>
      </c>
      <c r="V121" s="101">
        <f t="shared" si="33"/>
        <v>0</v>
      </c>
      <c r="W121" s="101">
        <f t="shared" si="33"/>
        <v>0</v>
      </c>
      <c r="X121" s="101">
        <f t="shared" si="33"/>
        <v>0</v>
      </c>
      <c r="Y121" s="101">
        <f t="shared" si="33"/>
        <v>0</v>
      </c>
      <c r="Z121" s="101">
        <f t="shared" si="33"/>
        <v>0</v>
      </c>
      <c r="AA121" s="101">
        <f t="shared" si="33"/>
        <v>0</v>
      </c>
      <c r="AB121" s="101">
        <f t="shared" si="33"/>
        <v>0</v>
      </c>
      <c r="AC121" s="101">
        <f t="shared" si="33"/>
        <v>0</v>
      </c>
      <c r="AD121" s="101">
        <f t="shared" si="33"/>
        <v>0</v>
      </c>
      <c r="AE121" s="101">
        <f t="shared" si="33"/>
        <v>0</v>
      </c>
      <c r="AF121" s="101">
        <f t="shared" si="33"/>
        <v>0</v>
      </c>
      <c r="AG121" s="101">
        <f t="shared" si="33"/>
        <v>0</v>
      </c>
      <c r="AH121" s="101">
        <f t="shared" si="33"/>
        <v>0</v>
      </c>
      <c r="AI121" s="101">
        <f t="shared" si="33"/>
        <v>0</v>
      </c>
      <c r="AJ121" s="101">
        <f t="shared" si="33"/>
        <v>0</v>
      </c>
      <c r="AK121" s="101">
        <f t="shared" si="33"/>
        <v>0</v>
      </c>
      <c r="AL121" s="101">
        <f t="shared" si="33"/>
        <v>0</v>
      </c>
      <c r="AM121" s="101">
        <f t="shared" si="33"/>
        <v>0</v>
      </c>
      <c r="AN121" s="101">
        <f t="shared" si="33"/>
        <v>0</v>
      </c>
      <c r="AO121" s="101">
        <f t="shared" si="33"/>
        <v>0</v>
      </c>
      <c r="AP121" s="101">
        <f t="shared" si="33"/>
        <v>0</v>
      </c>
    </row>
    <row r="122" spans="3:44" x14ac:dyDescent="0.25">
      <c r="C122" s="91"/>
      <c r="D122"/>
      <c r="F122" t="s">
        <v>234</v>
      </c>
      <c r="G122" t="s">
        <v>853</v>
      </c>
      <c r="J122" s="101">
        <f t="shared" ref="J122:AP122" si="34">SUMIFS($J92:$AP92,$J$63:$AP$63,J$63)</f>
        <v>0</v>
      </c>
      <c r="K122" s="101">
        <f t="shared" si="34"/>
        <v>0</v>
      </c>
      <c r="L122" s="101">
        <f t="shared" si="34"/>
        <v>0</v>
      </c>
      <c r="M122" s="101">
        <f t="shared" si="34"/>
        <v>0</v>
      </c>
      <c r="N122" s="101">
        <f t="shared" si="34"/>
        <v>0</v>
      </c>
      <c r="O122" s="101">
        <f t="shared" si="34"/>
        <v>0</v>
      </c>
      <c r="P122" s="101">
        <f t="shared" si="34"/>
        <v>0</v>
      </c>
      <c r="Q122" s="101">
        <f t="shared" si="34"/>
        <v>0</v>
      </c>
      <c r="R122" s="101">
        <f t="shared" si="34"/>
        <v>0</v>
      </c>
      <c r="S122" s="101">
        <f t="shared" si="34"/>
        <v>0</v>
      </c>
      <c r="T122" s="101">
        <f t="shared" si="34"/>
        <v>0</v>
      </c>
      <c r="U122" s="101">
        <f t="shared" si="34"/>
        <v>0</v>
      </c>
      <c r="V122" s="101">
        <f t="shared" si="34"/>
        <v>0</v>
      </c>
      <c r="W122" s="101">
        <f t="shared" si="34"/>
        <v>0</v>
      </c>
      <c r="X122" s="101">
        <f t="shared" si="34"/>
        <v>0</v>
      </c>
      <c r="Y122" s="101">
        <f t="shared" si="34"/>
        <v>0</v>
      </c>
      <c r="Z122" s="101">
        <f t="shared" si="34"/>
        <v>0</v>
      </c>
      <c r="AA122" s="101">
        <f t="shared" si="34"/>
        <v>0</v>
      </c>
      <c r="AB122" s="101">
        <f t="shared" si="34"/>
        <v>0</v>
      </c>
      <c r="AC122" s="101">
        <f t="shared" si="34"/>
        <v>0</v>
      </c>
      <c r="AD122" s="101">
        <f t="shared" si="34"/>
        <v>0</v>
      </c>
      <c r="AE122" s="101">
        <f t="shared" si="34"/>
        <v>0</v>
      </c>
      <c r="AF122" s="101">
        <f t="shared" si="34"/>
        <v>0</v>
      </c>
      <c r="AG122" s="101">
        <f t="shared" si="34"/>
        <v>0</v>
      </c>
      <c r="AH122" s="101">
        <f t="shared" si="34"/>
        <v>0</v>
      </c>
      <c r="AI122" s="101">
        <f t="shared" si="34"/>
        <v>0</v>
      </c>
      <c r="AJ122" s="101">
        <f t="shared" si="34"/>
        <v>0</v>
      </c>
      <c r="AK122" s="101">
        <f t="shared" si="34"/>
        <v>0</v>
      </c>
      <c r="AL122" s="101">
        <f t="shared" si="34"/>
        <v>0</v>
      </c>
      <c r="AM122" s="101">
        <f t="shared" si="34"/>
        <v>0</v>
      </c>
      <c r="AN122" s="101">
        <f t="shared" si="34"/>
        <v>0</v>
      </c>
      <c r="AO122" s="101">
        <f t="shared" si="34"/>
        <v>0</v>
      </c>
      <c r="AP122" s="101">
        <f t="shared" si="34"/>
        <v>0</v>
      </c>
    </row>
    <row r="123" spans="3:44" x14ac:dyDescent="0.25">
      <c r="C123" s="91"/>
      <c r="D123"/>
      <c r="F123" t="s">
        <v>235</v>
      </c>
      <c r="G123" t="s">
        <v>853</v>
      </c>
      <c r="J123" s="101">
        <f t="shared" ref="J123:AP123" si="35">SUMIFS($J93:$AP93,$J$63:$AP$63,J$63)</f>
        <v>2512786.8119692681</v>
      </c>
      <c r="K123" s="101">
        <f t="shared" si="35"/>
        <v>2512786.8119692681</v>
      </c>
      <c r="L123" s="101">
        <f t="shared" si="35"/>
        <v>0</v>
      </c>
      <c r="M123" s="101">
        <f t="shared" si="35"/>
        <v>2512786.8119692681</v>
      </c>
      <c r="N123" s="101">
        <f t="shared" si="35"/>
        <v>2512786.8119692681</v>
      </c>
      <c r="O123" s="101">
        <f t="shared" si="35"/>
        <v>0</v>
      </c>
      <c r="P123" s="101">
        <f t="shared" si="35"/>
        <v>22825.552949021949</v>
      </c>
      <c r="Q123" s="101">
        <f t="shared" si="35"/>
        <v>0</v>
      </c>
      <c r="R123" s="101">
        <f t="shared" si="35"/>
        <v>0</v>
      </c>
      <c r="S123" s="101">
        <f t="shared" si="35"/>
        <v>2512786.8119692681</v>
      </c>
      <c r="T123" s="101">
        <f t="shared" si="35"/>
        <v>2512786.8119692681</v>
      </c>
      <c r="U123" s="101">
        <f t="shared" si="35"/>
        <v>0</v>
      </c>
      <c r="V123" s="101">
        <f t="shared" si="35"/>
        <v>0</v>
      </c>
      <c r="W123" s="101">
        <f t="shared" si="35"/>
        <v>0</v>
      </c>
      <c r="X123" s="101">
        <f t="shared" si="35"/>
        <v>0</v>
      </c>
      <c r="Y123" s="101">
        <f t="shared" si="35"/>
        <v>0</v>
      </c>
      <c r="Z123" s="101">
        <f t="shared" si="35"/>
        <v>0</v>
      </c>
      <c r="AA123" s="101">
        <f t="shared" si="35"/>
        <v>0</v>
      </c>
      <c r="AB123" s="101">
        <f t="shared" si="35"/>
        <v>0</v>
      </c>
      <c r="AC123" s="101">
        <f t="shared" si="35"/>
        <v>0</v>
      </c>
      <c r="AD123" s="101">
        <f t="shared" si="35"/>
        <v>0</v>
      </c>
      <c r="AE123" s="101">
        <f t="shared" si="35"/>
        <v>0</v>
      </c>
      <c r="AF123" s="101">
        <f t="shared" si="35"/>
        <v>0</v>
      </c>
      <c r="AG123" s="101">
        <f t="shared" si="35"/>
        <v>0</v>
      </c>
      <c r="AH123" s="101">
        <f t="shared" si="35"/>
        <v>0</v>
      </c>
      <c r="AI123" s="101">
        <f t="shared" si="35"/>
        <v>0</v>
      </c>
      <c r="AJ123" s="101">
        <f t="shared" si="35"/>
        <v>0</v>
      </c>
      <c r="AK123" s="101">
        <f t="shared" si="35"/>
        <v>0</v>
      </c>
      <c r="AL123" s="101">
        <f t="shared" si="35"/>
        <v>0</v>
      </c>
      <c r="AM123" s="101">
        <f t="shared" si="35"/>
        <v>0</v>
      </c>
      <c r="AN123" s="101">
        <f t="shared" si="35"/>
        <v>0</v>
      </c>
      <c r="AO123" s="101">
        <f t="shared" si="35"/>
        <v>0</v>
      </c>
      <c r="AP123" s="101">
        <f t="shared" si="35"/>
        <v>0</v>
      </c>
    </row>
    <row r="124" spans="3:44" x14ac:dyDescent="0.25">
      <c r="C124" s="91"/>
      <c r="D124"/>
      <c r="F124" t="s">
        <v>436</v>
      </c>
      <c r="G124" t="s">
        <v>853</v>
      </c>
      <c r="J124" s="79"/>
      <c r="K124" s="79"/>
      <c r="L124" s="79"/>
      <c r="M124" s="79"/>
      <c r="N124" s="79"/>
      <c r="O124" s="79"/>
      <c r="P124" s="79"/>
      <c r="Q124" s="79"/>
      <c r="R124" s="79"/>
      <c r="S124" s="79"/>
      <c r="T124" s="79"/>
      <c r="U124" s="79"/>
      <c r="V124" s="79"/>
      <c r="W124" s="79"/>
      <c r="X124" s="79"/>
      <c r="Y124" s="79"/>
      <c r="Z124" s="79"/>
      <c r="AA124" s="79"/>
      <c r="AB124" s="79"/>
      <c r="AC124" s="79"/>
      <c r="AD124" s="79"/>
      <c r="AE124" s="79"/>
      <c r="AF124" s="79"/>
      <c r="AG124" s="79"/>
      <c r="AH124" s="79"/>
      <c r="AI124" s="79"/>
      <c r="AJ124" s="79"/>
      <c r="AK124" s="79"/>
      <c r="AL124" s="79"/>
      <c r="AM124" s="79"/>
      <c r="AN124" s="79"/>
      <c r="AO124" s="79"/>
      <c r="AP124" s="79"/>
    </row>
    <row r="125" spans="3:44" x14ac:dyDescent="0.25">
      <c r="C125" s="91"/>
      <c r="D125"/>
      <c r="F125" s="37" t="s">
        <v>437</v>
      </c>
      <c r="G125" s="37" t="s">
        <v>853</v>
      </c>
      <c r="H125" s="37"/>
      <c r="I125" s="37"/>
      <c r="J125" s="81"/>
      <c r="K125" s="81"/>
      <c r="L125" s="81"/>
      <c r="M125" s="81"/>
      <c r="N125" s="81"/>
      <c r="O125" s="81"/>
      <c r="P125" s="81"/>
      <c r="Q125" s="81"/>
      <c r="R125" s="81"/>
      <c r="S125" s="81"/>
      <c r="T125" s="81"/>
      <c r="U125" s="81"/>
      <c r="V125" s="81"/>
      <c r="W125" s="81"/>
      <c r="X125" s="81"/>
      <c r="Y125" s="81"/>
      <c r="Z125" s="81"/>
      <c r="AA125" s="81"/>
      <c r="AB125" s="81"/>
      <c r="AC125" s="81"/>
      <c r="AD125" s="81"/>
      <c r="AE125" s="81"/>
      <c r="AF125" s="81"/>
      <c r="AG125" s="81"/>
      <c r="AH125" s="81"/>
      <c r="AI125" s="81"/>
      <c r="AJ125" s="81"/>
      <c r="AK125" s="81"/>
      <c r="AL125" s="81"/>
      <c r="AM125" s="81"/>
      <c r="AN125" s="81"/>
      <c r="AO125" s="81"/>
      <c r="AP125" s="81"/>
    </row>
    <row r="126" spans="3:44" x14ac:dyDescent="0.25">
      <c r="C126" s="91"/>
      <c r="J126" s="92"/>
      <c r="K126" s="92"/>
      <c r="L126" s="92"/>
      <c r="M126" s="92"/>
      <c r="N126" s="92"/>
      <c r="O126" s="92"/>
      <c r="P126" s="92"/>
      <c r="Q126" s="92"/>
      <c r="R126" s="92"/>
      <c r="S126" s="92"/>
      <c r="T126" s="92"/>
      <c r="U126" s="92"/>
      <c r="V126" s="92"/>
      <c r="W126" s="92"/>
      <c r="X126" s="92"/>
      <c r="Y126" s="92"/>
      <c r="Z126" s="92"/>
      <c r="AA126" s="92"/>
      <c r="AB126" s="92"/>
      <c r="AC126" s="92"/>
      <c r="AD126" s="92"/>
      <c r="AE126" s="92"/>
      <c r="AF126" s="92"/>
      <c r="AG126" s="92"/>
      <c r="AH126" s="92"/>
      <c r="AI126" s="92"/>
      <c r="AJ126" s="92"/>
      <c r="AK126" s="92"/>
      <c r="AL126" s="92"/>
      <c r="AM126" s="92"/>
      <c r="AN126" s="92"/>
      <c r="AO126" s="92"/>
      <c r="AP126" s="92"/>
    </row>
    <row r="127" spans="3:44" x14ac:dyDescent="0.25">
      <c r="C127" s="31" t="str">
        <f ca="1">INDEX('Version control'!$H$34:$H$56,MATCH($A$1,'Version control'!$F$34:$F$56,0),1)&amp;"-G: Fixed charges, by network level"</f>
        <v>Section 114-G: Fixed charges, by network level</v>
      </c>
      <c r="D127" s="31"/>
      <c r="E127" s="31"/>
      <c r="F127" s="31"/>
      <c r="G127" s="31"/>
      <c r="H127" s="31"/>
      <c r="I127" s="31"/>
      <c r="J127" s="93"/>
      <c r="K127" s="93"/>
      <c r="L127" s="93"/>
      <c r="M127" s="93"/>
      <c r="N127" s="93"/>
      <c r="O127" s="93"/>
      <c r="P127" s="93"/>
      <c r="Q127" s="93"/>
      <c r="R127" s="93"/>
      <c r="S127" s="93"/>
      <c r="T127" s="93"/>
      <c r="U127" s="93"/>
      <c r="V127" s="93"/>
      <c r="W127" s="93"/>
      <c r="X127" s="93"/>
      <c r="Y127" s="93"/>
      <c r="Z127" s="93"/>
      <c r="AA127" s="93"/>
      <c r="AB127" s="93"/>
      <c r="AC127" s="93"/>
      <c r="AD127" s="93"/>
      <c r="AE127" s="93"/>
      <c r="AF127" s="93"/>
      <c r="AG127" s="93"/>
      <c r="AH127" s="93"/>
      <c r="AI127" s="93"/>
      <c r="AJ127" s="93"/>
      <c r="AK127" s="93"/>
      <c r="AL127" s="93"/>
      <c r="AM127" s="93"/>
      <c r="AN127" s="93"/>
      <c r="AO127" s="93"/>
      <c r="AP127" s="93"/>
      <c r="AQ127" s="31"/>
      <c r="AR127" s="31"/>
    </row>
    <row r="128" spans="3:44" x14ac:dyDescent="0.25">
      <c r="D128"/>
      <c r="E128" s="32"/>
    </row>
    <row r="129" spans="3:44" x14ac:dyDescent="0.25">
      <c r="D129"/>
      <c r="E129" t="s">
        <v>854</v>
      </c>
      <c r="G129" t="s">
        <v>248</v>
      </c>
      <c r="J129" s="92">
        <f t="shared" ref="J129:AP129" si="36">SUMIFS($J$18:$AP$18,$J$63:$AP$63,J63)</f>
        <v>783567.1968136041</v>
      </c>
      <c r="K129" s="92">
        <f t="shared" si="36"/>
        <v>783567.1968136041</v>
      </c>
      <c r="L129" s="92">
        <f t="shared" si="36"/>
        <v>90298.690646499279</v>
      </c>
      <c r="M129" s="92">
        <f t="shared" si="36"/>
        <v>783567.1968136041</v>
      </c>
      <c r="N129" s="92">
        <f t="shared" si="36"/>
        <v>783567.1968136041</v>
      </c>
      <c r="O129" s="92">
        <f t="shared" si="36"/>
        <v>90298.690646499279</v>
      </c>
      <c r="P129" s="92">
        <f t="shared" si="36"/>
        <v>408.11128582133045</v>
      </c>
      <c r="Q129" s="92">
        <f t="shared" si="36"/>
        <v>0</v>
      </c>
      <c r="R129" s="92">
        <f t="shared" si="36"/>
        <v>1</v>
      </c>
      <c r="S129" s="92">
        <f t="shared" si="36"/>
        <v>783567.1968136041</v>
      </c>
      <c r="T129" s="92">
        <f t="shared" si="36"/>
        <v>783567.1968136041</v>
      </c>
      <c r="U129" s="92">
        <f t="shared" si="36"/>
        <v>90298.690646499279</v>
      </c>
      <c r="V129" s="92">
        <f t="shared" si="36"/>
        <v>90298.690646499279</v>
      </c>
      <c r="W129" s="92">
        <f t="shared" si="36"/>
        <v>90298.690646499279</v>
      </c>
      <c r="X129" s="92">
        <f t="shared" si="36"/>
        <v>90298.690646499279</v>
      </c>
      <c r="Y129" s="92">
        <f t="shared" si="36"/>
        <v>90298.690646499279</v>
      </c>
      <c r="Z129" s="92">
        <f t="shared" si="36"/>
        <v>90298.690646499279</v>
      </c>
      <c r="AA129" s="92">
        <f t="shared" si="36"/>
        <v>90298.690646499279</v>
      </c>
      <c r="AB129" s="92">
        <f t="shared" si="36"/>
        <v>90298.690646499279</v>
      </c>
      <c r="AC129" s="92">
        <f t="shared" si="36"/>
        <v>90298.690646499279</v>
      </c>
      <c r="AD129" s="92">
        <f t="shared" si="36"/>
        <v>90298.690646499279</v>
      </c>
      <c r="AE129" s="92">
        <f t="shared" si="36"/>
        <v>90298.690646499279</v>
      </c>
      <c r="AF129" s="92">
        <f t="shared" si="36"/>
        <v>90298.690646499279</v>
      </c>
      <c r="AG129" s="92">
        <f t="shared" si="36"/>
        <v>90298.690646499279</v>
      </c>
      <c r="AH129" s="92">
        <f t="shared" si="36"/>
        <v>90298.690646499279</v>
      </c>
      <c r="AI129" s="92">
        <f t="shared" si="36"/>
        <v>90298.690646499279</v>
      </c>
      <c r="AJ129" s="92">
        <f t="shared" si="36"/>
        <v>90298.690646499279</v>
      </c>
      <c r="AK129" s="92">
        <f t="shared" si="36"/>
        <v>90298.690646499279</v>
      </c>
      <c r="AL129" s="92">
        <f t="shared" si="36"/>
        <v>90298.690646499279</v>
      </c>
      <c r="AM129" s="92">
        <f t="shared" si="36"/>
        <v>90298.690646499279</v>
      </c>
      <c r="AN129" s="92">
        <f t="shared" si="36"/>
        <v>90298.690646499279</v>
      </c>
      <c r="AO129" s="92">
        <f t="shared" si="36"/>
        <v>90298.690646499279</v>
      </c>
      <c r="AP129" s="92">
        <f t="shared" si="36"/>
        <v>90298.690646499279</v>
      </c>
    </row>
    <row r="130" spans="3:44" x14ac:dyDescent="0.25">
      <c r="D130"/>
      <c r="E130"/>
    </row>
    <row r="131" spans="3:44" x14ac:dyDescent="0.25">
      <c r="C131" s="91"/>
      <c r="E131" s="32" t="s">
        <v>733</v>
      </c>
      <c r="I131" t="s">
        <v>190</v>
      </c>
      <c r="J131" s="92"/>
      <c r="K131" s="92"/>
      <c r="L131" s="92"/>
      <c r="M131" s="92"/>
      <c r="N131" s="92"/>
      <c r="O131" s="92"/>
      <c r="P131" s="92"/>
      <c r="Q131" s="92"/>
      <c r="R131" s="92"/>
      <c r="S131" s="92"/>
      <c r="T131" s="92"/>
      <c r="U131" s="92"/>
      <c r="V131" s="92"/>
      <c r="W131" s="92"/>
      <c r="X131" s="92"/>
      <c r="Y131" s="92"/>
      <c r="Z131" s="92"/>
      <c r="AA131" s="92"/>
      <c r="AB131" s="92"/>
      <c r="AC131" s="92"/>
      <c r="AD131" s="92"/>
      <c r="AE131" s="92"/>
      <c r="AF131" s="92"/>
      <c r="AG131" s="92"/>
      <c r="AH131" s="92"/>
      <c r="AI131" s="92"/>
      <c r="AJ131" s="92"/>
      <c r="AK131" s="92"/>
      <c r="AL131" s="92"/>
      <c r="AM131" s="92"/>
      <c r="AN131" s="92"/>
      <c r="AO131" s="92"/>
      <c r="AP131" s="92"/>
      <c r="AR131" t="s">
        <v>851</v>
      </c>
    </row>
    <row r="132" spans="3:44" x14ac:dyDescent="0.25">
      <c r="C132" s="91"/>
      <c r="E132" s="29"/>
      <c r="F132" s="23" t="s">
        <v>225</v>
      </c>
      <c r="G132" s="23" t="s">
        <v>328</v>
      </c>
      <c r="H132" s="23"/>
      <c r="I132" s="23"/>
      <c r="J132" s="129">
        <f t="shared" ref="J132:AP132" si="37">IF(J$129 = 0, 0, J100 / J$129)</f>
        <v>0</v>
      </c>
      <c r="K132" s="129">
        <f t="shared" si="37"/>
        <v>0</v>
      </c>
      <c r="L132" s="129">
        <f t="shared" si="37"/>
        <v>0</v>
      </c>
      <c r="M132" s="129">
        <f t="shared" si="37"/>
        <v>0</v>
      </c>
      <c r="N132" s="129">
        <f t="shared" si="37"/>
        <v>0</v>
      </c>
      <c r="O132" s="129">
        <f t="shared" si="37"/>
        <v>0</v>
      </c>
      <c r="P132" s="129">
        <f t="shared" si="37"/>
        <v>0</v>
      </c>
      <c r="Q132" s="129">
        <f t="shared" si="37"/>
        <v>0</v>
      </c>
      <c r="R132" s="129">
        <f t="shared" si="37"/>
        <v>0</v>
      </c>
      <c r="S132" s="129">
        <f t="shared" si="37"/>
        <v>0</v>
      </c>
      <c r="T132" s="129">
        <f t="shared" si="37"/>
        <v>0</v>
      </c>
      <c r="U132" s="129">
        <f t="shared" si="37"/>
        <v>0</v>
      </c>
      <c r="V132" s="129">
        <f t="shared" si="37"/>
        <v>0</v>
      </c>
      <c r="W132" s="129">
        <f t="shared" si="37"/>
        <v>0</v>
      </c>
      <c r="X132" s="129">
        <f t="shared" si="37"/>
        <v>0</v>
      </c>
      <c r="Y132" s="129">
        <f t="shared" si="37"/>
        <v>0</v>
      </c>
      <c r="Z132" s="129">
        <f t="shared" si="37"/>
        <v>0</v>
      </c>
      <c r="AA132" s="129">
        <f t="shared" si="37"/>
        <v>0</v>
      </c>
      <c r="AB132" s="129">
        <f t="shared" si="37"/>
        <v>0</v>
      </c>
      <c r="AC132" s="129">
        <f t="shared" si="37"/>
        <v>0</v>
      </c>
      <c r="AD132" s="129">
        <f t="shared" si="37"/>
        <v>0</v>
      </c>
      <c r="AE132" s="129">
        <f t="shared" si="37"/>
        <v>0</v>
      </c>
      <c r="AF132" s="129">
        <f t="shared" si="37"/>
        <v>0</v>
      </c>
      <c r="AG132" s="129">
        <f t="shared" si="37"/>
        <v>0</v>
      </c>
      <c r="AH132" s="129">
        <f t="shared" si="37"/>
        <v>0</v>
      </c>
      <c r="AI132" s="129">
        <f t="shared" si="37"/>
        <v>0</v>
      </c>
      <c r="AJ132" s="129">
        <f t="shared" si="37"/>
        <v>0</v>
      </c>
      <c r="AK132" s="129">
        <f t="shared" si="37"/>
        <v>0</v>
      </c>
      <c r="AL132" s="129">
        <f t="shared" si="37"/>
        <v>0</v>
      </c>
      <c r="AM132" s="129">
        <f t="shared" si="37"/>
        <v>0</v>
      </c>
      <c r="AN132" s="129">
        <f t="shared" si="37"/>
        <v>0</v>
      </c>
      <c r="AO132" s="129">
        <f t="shared" si="37"/>
        <v>0</v>
      </c>
      <c r="AP132" s="129">
        <f t="shared" si="37"/>
        <v>0</v>
      </c>
    </row>
    <row r="133" spans="3:44" x14ac:dyDescent="0.25">
      <c r="C133" s="91"/>
      <c r="E133" s="29"/>
      <c r="F133" t="s">
        <v>227</v>
      </c>
      <c r="G133" t="s">
        <v>328</v>
      </c>
      <c r="J133" s="101">
        <f t="shared" ref="J133:AP133" si="38">IF(J$129 = 0, 0, J101 / J$129)</f>
        <v>0</v>
      </c>
      <c r="K133" s="101">
        <f t="shared" si="38"/>
        <v>0</v>
      </c>
      <c r="L133" s="101">
        <f t="shared" si="38"/>
        <v>0</v>
      </c>
      <c r="M133" s="101">
        <f t="shared" si="38"/>
        <v>0</v>
      </c>
      <c r="N133" s="101">
        <f t="shared" si="38"/>
        <v>0</v>
      </c>
      <c r="O133" s="101">
        <f t="shared" si="38"/>
        <v>0</v>
      </c>
      <c r="P133" s="101">
        <f t="shared" si="38"/>
        <v>0</v>
      </c>
      <c r="Q133" s="101">
        <f t="shared" si="38"/>
        <v>0</v>
      </c>
      <c r="R133" s="101">
        <f t="shared" si="38"/>
        <v>0</v>
      </c>
      <c r="S133" s="101">
        <f t="shared" si="38"/>
        <v>0</v>
      </c>
      <c r="T133" s="101">
        <f t="shared" si="38"/>
        <v>0</v>
      </c>
      <c r="U133" s="101">
        <f t="shared" si="38"/>
        <v>0</v>
      </c>
      <c r="V133" s="101">
        <f t="shared" si="38"/>
        <v>0</v>
      </c>
      <c r="W133" s="101">
        <f t="shared" si="38"/>
        <v>0</v>
      </c>
      <c r="X133" s="101">
        <f t="shared" si="38"/>
        <v>0</v>
      </c>
      <c r="Y133" s="101">
        <f t="shared" si="38"/>
        <v>0</v>
      </c>
      <c r="Z133" s="101">
        <f t="shared" si="38"/>
        <v>0</v>
      </c>
      <c r="AA133" s="101">
        <f t="shared" si="38"/>
        <v>0</v>
      </c>
      <c r="AB133" s="101">
        <f t="shared" si="38"/>
        <v>0</v>
      </c>
      <c r="AC133" s="101">
        <f t="shared" si="38"/>
        <v>0</v>
      </c>
      <c r="AD133" s="101">
        <f t="shared" si="38"/>
        <v>0</v>
      </c>
      <c r="AE133" s="101">
        <f t="shared" si="38"/>
        <v>0</v>
      </c>
      <c r="AF133" s="101">
        <f t="shared" si="38"/>
        <v>0</v>
      </c>
      <c r="AG133" s="101">
        <f t="shared" si="38"/>
        <v>0</v>
      </c>
      <c r="AH133" s="101">
        <f t="shared" si="38"/>
        <v>0</v>
      </c>
      <c r="AI133" s="101">
        <f t="shared" si="38"/>
        <v>0</v>
      </c>
      <c r="AJ133" s="101">
        <f t="shared" si="38"/>
        <v>0</v>
      </c>
      <c r="AK133" s="101">
        <f t="shared" si="38"/>
        <v>0</v>
      </c>
      <c r="AL133" s="101">
        <f t="shared" si="38"/>
        <v>0</v>
      </c>
      <c r="AM133" s="101">
        <f t="shared" si="38"/>
        <v>0</v>
      </c>
      <c r="AN133" s="101">
        <f t="shared" si="38"/>
        <v>0</v>
      </c>
      <c r="AO133" s="101">
        <f t="shared" si="38"/>
        <v>0</v>
      </c>
      <c r="AP133" s="101">
        <f t="shared" si="38"/>
        <v>0</v>
      </c>
    </row>
    <row r="134" spans="3:44" x14ac:dyDescent="0.25">
      <c r="C134" s="91"/>
      <c r="E134" s="29"/>
      <c r="F134" t="s">
        <v>228</v>
      </c>
      <c r="G134" t="s">
        <v>328</v>
      </c>
      <c r="J134" s="101">
        <f t="shared" ref="J134:AP134" si="39">IF(J$129 = 0, 0, J102 / J$129)</f>
        <v>0</v>
      </c>
      <c r="K134" s="101">
        <f t="shared" si="39"/>
        <v>0</v>
      </c>
      <c r="L134" s="101">
        <f t="shared" si="39"/>
        <v>0</v>
      </c>
      <c r="M134" s="101">
        <f t="shared" si="39"/>
        <v>0</v>
      </c>
      <c r="N134" s="101">
        <f t="shared" si="39"/>
        <v>0</v>
      </c>
      <c r="O134" s="101">
        <f t="shared" si="39"/>
        <v>0</v>
      </c>
      <c r="P134" s="101">
        <f t="shared" si="39"/>
        <v>0</v>
      </c>
      <c r="Q134" s="101">
        <f t="shared" si="39"/>
        <v>0</v>
      </c>
      <c r="R134" s="101">
        <f t="shared" si="39"/>
        <v>0</v>
      </c>
      <c r="S134" s="101">
        <f t="shared" si="39"/>
        <v>0</v>
      </c>
      <c r="T134" s="101">
        <f t="shared" si="39"/>
        <v>0</v>
      </c>
      <c r="U134" s="101">
        <f t="shared" si="39"/>
        <v>0</v>
      </c>
      <c r="V134" s="101">
        <f t="shared" si="39"/>
        <v>0</v>
      </c>
      <c r="W134" s="101">
        <f t="shared" si="39"/>
        <v>0</v>
      </c>
      <c r="X134" s="101">
        <f t="shared" si="39"/>
        <v>0</v>
      </c>
      <c r="Y134" s="101">
        <f t="shared" si="39"/>
        <v>0</v>
      </c>
      <c r="Z134" s="101">
        <f t="shared" si="39"/>
        <v>0</v>
      </c>
      <c r="AA134" s="101">
        <f t="shared" si="39"/>
        <v>0</v>
      </c>
      <c r="AB134" s="101">
        <f t="shared" si="39"/>
        <v>0</v>
      </c>
      <c r="AC134" s="101">
        <f t="shared" si="39"/>
        <v>0</v>
      </c>
      <c r="AD134" s="101">
        <f t="shared" si="39"/>
        <v>0</v>
      </c>
      <c r="AE134" s="101">
        <f t="shared" si="39"/>
        <v>0</v>
      </c>
      <c r="AF134" s="101">
        <f t="shared" si="39"/>
        <v>0</v>
      </c>
      <c r="AG134" s="101">
        <f t="shared" si="39"/>
        <v>0</v>
      </c>
      <c r="AH134" s="101">
        <f t="shared" si="39"/>
        <v>0</v>
      </c>
      <c r="AI134" s="101">
        <f t="shared" si="39"/>
        <v>0</v>
      </c>
      <c r="AJ134" s="101">
        <f t="shared" si="39"/>
        <v>0</v>
      </c>
      <c r="AK134" s="101">
        <f t="shared" si="39"/>
        <v>0</v>
      </c>
      <c r="AL134" s="101">
        <f t="shared" si="39"/>
        <v>0</v>
      </c>
      <c r="AM134" s="101">
        <f t="shared" si="39"/>
        <v>0</v>
      </c>
      <c r="AN134" s="101">
        <f t="shared" si="39"/>
        <v>0</v>
      </c>
      <c r="AO134" s="101">
        <f t="shared" si="39"/>
        <v>0</v>
      </c>
      <c r="AP134" s="101">
        <f t="shared" si="39"/>
        <v>0</v>
      </c>
    </row>
    <row r="135" spans="3:44" x14ac:dyDescent="0.25">
      <c r="C135" s="91"/>
      <c r="E135" s="29"/>
      <c r="F135" t="s">
        <v>229</v>
      </c>
      <c r="G135" t="s">
        <v>328</v>
      </c>
      <c r="J135" s="101">
        <f t="shared" ref="J135:AP135" si="40">IF(J$129 = 0, 0, J103 / J$129)</f>
        <v>0</v>
      </c>
      <c r="K135" s="101">
        <f t="shared" si="40"/>
        <v>0</v>
      </c>
      <c r="L135" s="101">
        <f t="shared" si="40"/>
        <v>0</v>
      </c>
      <c r="M135" s="101">
        <f t="shared" si="40"/>
        <v>0</v>
      </c>
      <c r="N135" s="101">
        <f t="shared" si="40"/>
        <v>0</v>
      </c>
      <c r="O135" s="101">
        <f t="shared" si="40"/>
        <v>0</v>
      </c>
      <c r="P135" s="101">
        <f t="shared" si="40"/>
        <v>0</v>
      </c>
      <c r="Q135" s="101">
        <f t="shared" si="40"/>
        <v>0</v>
      </c>
      <c r="R135" s="101">
        <f t="shared" si="40"/>
        <v>0</v>
      </c>
      <c r="S135" s="101">
        <f t="shared" si="40"/>
        <v>0</v>
      </c>
      <c r="T135" s="101">
        <f t="shared" si="40"/>
        <v>0</v>
      </c>
      <c r="U135" s="101">
        <f t="shared" si="40"/>
        <v>0</v>
      </c>
      <c r="V135" s="101">
        <f t="shared" si="40"/>
        <v>0</v>
      </c>
      <c r="W135" s="101">
        <f t="shared" si="40"/>
        <v>0</v>
      </c>
      <c r="X135" s="101">
        <f t="shared" si="40"/>
        <v>0</v>
      </c>
      <c r="Y135" s="101">
        <f t="shared" si="40"/>
        <v>0</v>
      </c>
      <c r="Z135" s="101">
        <f t="shared" si="40"/>
        <v>0</v>
      </c>
      <c r="AA135" s="101">
        <f t="shared" si="40"/>
        <v>0</v>
      </c>
      <c r="AB135" s="101">
        <f t="shared" si="40"/>
        <v>0</v>
      </c>
      <c r="AC135" s="101">
        <f t="shared" si="40"/>
        <v>0</v>
      </c>
      <c r="AD135" s="101">
        <f t="shared" si="40"/>
        <v>0</v>
      </c>
      <c r="AE135" s="101">
        <f t="shared" si="40"/>
        <v>0</v>
      </c>
      <c r="AF135" s="101">
        <f t="shared" si="40"/>
        <v>0</v>
      </c>
      <c r="AG135" s="101">
        <f t="shared" si="40"/>
        <v>0</v>
      </c>
      <c r="AH135" s="101">
        <f t="shared" si="40"/>
        <v>0</v>
      </c>
      <c r="AI135" s="101">
        <f t="shared" si="40"/>
        <v>0</v>
      </c>
      <c r="AJ135" s="101">
        <f t="shared" si="40"/>
        <v>0</v>
      </c>
      <c r="AK135" s="101">
        <f t="shared" si="40"/>
        <v>0</v>
      </c>
      <c r="AL135" s="101">
        <f t="shared" si="40"/>
        <v>0</v>
      </c>
      <c r="AM135" s="101">
        <f t="shared" si="40"/>
        <v>0</v>
      </c>
      <c r="AN135" s="101">
        <f t="shared" si="40"/>
        <v>0</v>
      </c>
      <c r="AO135" s="101">
        <f t="shared" si="40"/>
        <v>0</v>
      </c>
      <c r="AP135" s="101">
        <f t="shared" si="40"/>
        <v>0</v>
      </c>
    </row>
    <row r="136" spans="3:44" x14ac:dyDescent="0.25">
      <c r="C136" s="91"/>
      <c r="E136" s="29"/>
      <c r="F136" t="s">
        <v>230</v>
      </c>
      <c r="G136" t="s">
        <v>328</v>
      </c>
      <c r="J136" s="101">
        <f t="shared" ref="J136:AP136" si="41">IF(J$129 = 0, 0, J104 / J$129)</f>
        <v>0</v>
      </c>
      <c r="K136" s="101">
        <f t="shared" si="41"/>
        <v>0</v>
      </c>
      <c r="L136" s="101">
        <f t="shared" si="41"/>
        <v>0</v>
      </c>
      <c r="M136" s="101">
        <f t="shared" si="41"/>
        <v>0</v>
      </c>
      <c r="N136" s="101">
        <f t="shared" si="41"/>
        <v>0</v>
      </c>
      <c r="O136" s="101">
        <f t="shared" si="41"/>
        <v>0</v>
      </c>
      <c r="P136" s="101">
        <f t="shared" si="41"/>
        <v>0</v>
      </c>
      <c r="Q136" s="101">
        <f t="shared" si="41"/>
        <v>0</v>
      </c>
      <c r="R136" s="101">
        <f t="shared" si="41"/>
        <v>81.665847807350104</v>
      </c>
      <c r="S136" s="101">
        <f t="shared" si="41"/>
        <v>0</v>
      </c>
      <c r="T136" s="101">
        <f t="shared" si="41"/>
        <v>0</v>
      </c>
      <c r="U136" s="101">
        <f t="shared" si="41"/>
        <v>0</v>
      </c>
      <c r="V136" s="101">
        <f t="shared" si="41"/>
        <v>0</v>
      </c>
      <c r="W136" s="101">
        <f t="shared" si="41"/>
        <v>0</v>
      </c>
      <c r="X136" s="101">
        <f t="shared" si="41"/>
        <v>0</v>
      </c>
      <c r="Y136" s="101">
        <f t="shared" si="41"/>
        <v>0</v>
      </c>
      <c r="Z136" s="101">
        <f t="shared" si="41"/>
        <v>0</v>
      </c>
      <c r="AA136" s="101">
        <f t="shared" si="41"/>
        <v>0</v>
      </c>
      <c r="AB136" s="101">
        <f t="shared" si="41"/>
        <v>0</v>
      </c>
      <c r="AC136" s="101">
        <f t="shared" si="41"/>
        <v>0</v>
      </c>
      <c r="AD136" s="101">
        <f t="shared" si="41"/>
        <v>0</v>
      </c>
      <c r="AE136" s="101">
        <f t="shared" si="41"/>
        <v>0</v>
      </c>
      <c r="AF136" s="101">
        <f t="shared" si="41"/>
        <v>0</v>
      </c>
      <c r="AG136" s="101">
        <f t="shared" si="41"/>
        <v>0</v>
      </c>
      <c r="AH136" s="101">
        <f t="shared" si="41"/>
        <v>0</v>
      </c>
      <c r="AI136" s="101">
        <f t="shared" si="41"/>
        <v>0</v>
      </c>
      <c r="AJ136" s="101">
        <f t="shared" si="41"/>
        <v>0</v>
      </c>
      <c r="AK136" s="101">
        <f t="shared" si="41"/>
        <v>0</v>
      </c>
      <c r="AL136" s="101">
        <f t="shared" si="41"/>
        <v>0</v>
      </c>
      <c r="AM136" s="101">
        <f t="shared" si="41"/>
        <v>0</v>
      </c>
      <c r="AN136" s="101">
        <f t="shared" si="41"/>
        <v>0</v>
      </c>
      <c r="AO136" s="101">
        <f t="shared" si="41"/>
        <v>0</v>
      </c>
      <c r="AP136" s="101">
        <f t="shared" si="41"/>
        <v>0</v>
      </c>
    </row>
    <row r="137" spans="3:44" x14ac:dyDescent="0.25">
      <c r="C137" s="91"/>
      <c r="E137" s="29"/>
      <c r="F137" t="s">
        <v>231</v>
      </c>
      <c r="G137" t="s">
        <v>328</v>
      </c>
      <c r="J137" s="101">
        <f t="shared" ref="J137:AP137" si="42">IF(J$129 = 0, 0, J105 / J$129)</f>
        <v>0</v>
      </c>
      <c r="K137" s="101">
        <f t="shared" si="42"/>
        <v>0</v>
      </c>
      <c r="L137" s="101">
        <f t="shared" si="42"/>
        <v>0</v>
      </c>
      <c r="M137" s="101">
        <f t="shared" si="42"/>
        <v>0</v>
      </c>
      <c r="N137" s="101">
        <f t="shared" si="42"/>
        <v>0</v>
      </c>
      <c r="O137" s="101">
        <f t="shared" si="42"/>
        <v>0</v>
      </c>
      <c r="P137" s="101">
        <f t="shared" si="42"/>
        <v>0</v>
      </c>
      <c r="Q137" s="101">
        <f t="shared" si="42"/>
        <v>0</v>
      </c>
      <c r="R137" s="101">
        <f t="shared" si="42"/>
        <v>370.99911100874107</v>
      </c>
      <c r="S137" s="101">
        <f t="shared" si="42"/>
        <v>0</v>
      </c>
      <c r="T137" s="101">
        <f t="shared" si="42"/>
        <v>0</v>
      </c>
      <c r="U137" s="101">
        <f t="shared" si="42"/>
        <v>0</v>
      </c>
      <c r="V137" s="101">
        <f t="shared" si="42"/>
        <v>0</v>
      </c>
      <c r="W137" s="101">
        <f t="shared" si="42"/>
        <v>0</v>
      </c>
      <c r="X137" s="101">
        <f t="shared" si="42"/>
        <v>0</v>
      </c>
      <c r="Y137" s="101">
        <f t="shared" si="42"/>
        <v>0</v>
      </c>
      <c r="Z137" s="101">
        <f t="shared" si="42"/>
        <v>0</v>
      </c>
      <c r="AA137" s="101">
        <f t="shared" si="42"/>
        <v>0</v>
      </c>
      <c r="AB137" s="101">
        <f t="shared" si="42"/>
        <v>0</v>
      </c>
      <c r="AC137" s="101">
        <f t="shared" si="42"/>
        <v>0</v>
      </c>
      <c r="AD137" s="101">
        <f t="shared" si="42"/>
        <v>0</v>
      </c>
      <c r="AE137" s="101">
        <f t="shared" si="42"/>
        <v>0</v>
      </c>
      <c r="AF137" s="101">
        <f t="shared" si="42"/>
        <v>0</v>
      </c>
      <c r="AG137" s="101">
        <f t="shared" si="42"/>
        <v>0</v>
      </c>
      <c r="AH137" s="101">
        <f t="shared" si="42"/>
        <v>0</v>
      </c>
      <c r="AI137" s="101">
        <f t="shared" si="42"/>
        <v>0</v>
      </c>
      <c r="AJ137" s="101">
        <f t="shared" si="42"/>
        <v>0</v>
      </c>
      <c r="AK137" s="101">
        <f t="shared" si="42"/>
        <v>0</v>
      </c>
      <c r="AL137" s="101">
        <f t="shared" si="42"/>
        <v>0</v>
      </c>
      <c r="AM137" s="101">
        <f t="shared" si="42"/>
        <v>0</v>
      </c>
      <c r="AN137" s="101">
        <f t="shared" si="42"/>
        <v>0</v>
      </c>
      <c r="AO137" s="101">
        <f t="shared" si="42"/>
        <v>0</v>
      </c>
      <c r="AP137" s="101">
        <f t="shared" si="42"/>
        <v>0</v>
      </c>
    </row>
    <row r="138" spans="3:44" x14ac:dyDescent="0.25">
      <c r="C138" s="91"/>
      <c r="E138" s="29"/>
      <c r="F138" t="s">
        <v>232</v>
      </c>
      <c r="G138" t="s">
        <v>328</v>
      </c>
      <c r="J138" s="101">
        <f t="shared" ref="J138:AP138" si="43">IF(J$129 = 0, 0, J106 / J$129)</f>
        <v>0</v>
      </c>
      <c r="K138" s="101">
        <f t="shared" si="43"/>
        <v>0</v>
      </c>
      <c r="L138" s="101">
        <f t="shared" si="43"/>
        <v>0</v>
      </c>
      <c r="M138" s="101">
        <f t="shared" si="43"/>
        <v>0</v>
      </c>
      <c r="N138" s="101">
        <f t="shared" si="43"/>
        <v>0</v>
      </c>
      <c r="O138" s="101">
        <f t="shared" si="43"/>
        <v>0</v>
      </c>
      <c r="P138" s="101">
        <f t="shared" si="43"/>
        <v>0</v>
      </c>
      <c r="Q138" s="101">
        <f t="shared" si="43"/>
        <v>0</v>
      </c>
      <c r="R138" s="101">
        <f t="shared" si="43"/>
        <v>0</v>
      </c>
      <c r="S138" s="101">
        <f t="shared" si="43"/>
        <v>0</v>
      </c>
      <c r="T138" s="101">
        <f t="shared" si="43"/>
        <v>0</v>
      </c>
      <c r="U138" s="101">
        <f t="shared" si="43"/>
        <v>0</v>
      </c>
      <c r="V138" s="101">
        <f t="shared" si="43"/>
        <v>0</v>
      </c>
      <c r="W138" s="101">
        <f t="shared" si="43"/>
        <v>0</v>
      </c>
      <c r="X138" s="101">
        <f t="shared" si="43"/>
        <v>0</v>
      </c>
      <c r="Y138" s="101">
        <f t="shared" si="43"/>
        <v>0</v>
      </c>
      <c r="Z138" s="101">
        <f t="shared" si="43"/>
        <v>0</v>
      </c>
      <c r="AA138" s="101">
        <f t="shared" si="43"/>
        <v>0</v>
      </c>
      <c r="AB138" s="101">
        <f t="shared" si="43"/>
        <v>0</v>
      </c>
      <c r="AC138" s="101">
        <f t="shared" si="43"/>
        <v>0</v>
      </c>
      <c r="AD138" s="101">
        <f t="shared" si="43"/>
        <v>0</v>
      </c>
      <c r="AE138" s="101">
        <f t="shared" si="43"/>
        <v>0</v>
      </c>
      <c r="AF138" s="101">
        <f t="shared" si="43"/>
        <v>0</v>
      </c>
      <c r="AG138" s="101">
        <f t="shared" si="43"/>
        <v>0</v>
      </c>
      <c r="AH138" s="101">
        <f t="shared" si="43"/>
        <v>0</v>
      </c>
      <c r="AI138" s="101">
        <f t="shared" si="43"/>
        <v>0</v>
      </c>
      <c r="AJ138" s="101">
        <f t="shared" si="43"/>
        <v>0</v>
      </c>
      <c r="AK138" s="101">
        <f t="shared" si="43"/>
        <v>0</v>
      </c>
      <c r="AL138" s="101">
        <f t="shared" si="43"/>
        <v>0</v>
      </c>
      <c r="AM138" s="101">
        <f t="shared" si="43"/>
        <v>0</v>
      </c>
      <c r="AN138" s="101">
        <f t="shared" si="43"/>
        <v>0</v>
      </c>
      <c r="AO138" s="101">
        <f t="shared" si="43"/>
        <v>0</v>
      </c>
      <c r="AP138" s="101">
        <f t="shared" si="43"/>
        <v>0</v>
      </c>
    </row>
    <row r="139" spans="3:44" x14ac:dyDescent="0.25">
      <c r="C139" s="91"/>
      <c r="E139" s="29"/>
      <c r="F139" t="s">
        <v>233</v>
      </c>
      <c r="G139" t="s">
        <v>328</v>
      </c>
      <c r="J139" s="101">
        <f t="shared" ref="J139:AP139" si="44">IF(J$129 = 0, 0, J107 / J$129)</f>
        <v>0</v>
      </c>
      <c r="K139" s="101">
        <f t="shared" si="44"/>
        <v>0</v>
      </c>
      <c r="L139" s="101">
        <f t="shared" si="44"/>
        <v>0</v>
      </c>
      <c r="M139" s="101">
        <f t="shared" si="44"/>
        <v>0</v>
      </c>
      <c r="N139" s="101">
        <f t="shared" si="44"/>
        <v>0</v>
      </c>
      <c r="O139" s="101">
        <f t="shared" si="44"/>
        <v>0</v>
      </c>
      <c r="P139" s="101">
        <f t="shared" si="44"/>
        <v>0</v>
      </c>
      <c r="Q139" s="101">
        <f t="shared" si="44"/>
        <v>0</v>
      </c>
      <c r="R139" s="101">
        <f t="shared" si="44"/>
        <v>614.3125624816131</v>
      </c>
      <c r="S139" s="101">
        <f t="shared" si="44"/>
        <v>0</v>
      </c>
      <c r="T139" s="101">
        <f t="shared" si="44"/>
        <v>0</v>
      </c>
      <c r="U139" s="101">
        <f t="shared" si="44"/>
        <v>0</v>
      </c>
      <c r="V139" s="101">
        <f t="shared" si="44"/>
        <v>0</v>
      </c>
      <c r="W139" s="101">
        <f t="shared" si="44"/>
        <v>0</v>
      </c>
      <c r="X139" s="101">
        <f t="shared" si="44"/>
        <v>0</v>
      </c>
      <c r="Y139" s="101">
        <f t="shared" si="44"/>
        <v>0</v>
      </c>
      <c r="Z139" s="101">
        <f t="shared" si="44"/>
        <v>0</v>
      </c>
      <c r="AA139" s="101">
        <f t="shared" si="44"/>
        <v>0</v>
      </c>
      <c r="AB139" s="101">
        <f t="shared" si="44"/>
        <v>0</v>
      </c>
      <c r="AC139" s="101">
        <f t="shared" si="44"/>
        <v>0</v>
      </c>
      <c r="AD139" s="101">
        <f t="shared" si="44"/>
        <v>0</v>
      </c>
      <c r="AE139" s="101">
        <f t="shared" si="44"/>
        <v>0</v>
      </c>
      <c r="AF139" s="101">
        <f t="shared" si="44"/>
        <v>0</v>
      </c>
      <c r="AG139" s="101">
        <f t="shared" si="44"/>
        <v>0</v>
      </c>
      <c r="AH139" s="101">
        <f t="shared" si="44"/>
        <v>0</v>
      </c>
      <c r="AI139" s="101">
        <f t="shared" si="44"/>
        <v>0</v>
      </c>
      <c r="AJ139" s="101">
        <f t="shared" si="44"/>
        <v>0</v>
      </c>
      <c r="AK139" s="101">
        <f t="shared" si="44"/>
        <v>0</v>
      </c>
      <c r="AL139" s="101">
        <f t="shared" si="44"/>
        <v>0</v>
      </c>
      <c r="AM139" s="101">
        <f t="shared" si="44"/>
        <v>0</v>
      </c>
      <c r="AN139" s="101">
        <f t="shared" si="44"/>
        <v>0</v>
      </c>
      <c r="AO139" s="101">
        <f t="shared" si="44"/>
        <v>0</v>
      </c>
      <c r="AP139" s="101">
        <f t="shared" si="44"/>
        <v>0</v>
      </c>
    </row>
    <row r="140" spans="3:44" x14ac:dyDescent="0.25">
      <c r="C140" s="91"/>
      <c r="E140" s="29"/>
      <c r="F140" t="s">
        <v>234</v>
      </c>
      <c r="G140" t="s">
        <v>328</v>
      </c>
      <c r="J140" s="101">
        <f t="shared" ref="J140:AP140" si="45">IF(J$129 = 0, 0, J108 / J$129)</f>
        <v>0</v>
      </c>
      <c r="K140" s="101">
        <f t="shared" si="45"/>
        <v>0</v>
      </c>
      <c r="L140" s="101">
        <f t="shared" si="45"/>
        <v>0</v>
      </c>
      <c r="M140" s="101">
        <f t="shared" si="45"/>
        <v>0</v>
      </c>
      <c r="N140" s="101">
        <f t="shared" si="45"/>
        <v>0</v>
      </c>
      <c r="O140" s="101">
        <f t="shared" si="45"/>
        <v>0</v>
      </c>
      <c r="P140" s="101">
        <f t="shared" si="45"/>
        <v>0</v>
      </c>
      <c r="Q140" s="101">
        <f t="shared" si="45"/>
        <v>0</v>
      </c>
      <c r="R140" s="101">
        <f t="shared" si="45"/>
        <v>0</v>
      </c>
      <c r="S140" s="101">
        <f t="shared" si="45"/>
        <v>0</v>
      </c>
      <c r="T140" s="101">
        <f t="shared" si="45"/>
        <v>0</v>
      </c>
      <c r="U140" s="101">
        <f t="shared" si="45"/>
        <v>0</v>
      </c>
      <c r="V140" s="101">
        <f t="shared" si="45"/>
        <v>0</v>
      </c>
      <c r="W140" s="101">
        <f t="shared" si="45"/>
        <v>0</v>
      </c>
      <c r="X140" s="101">
        <f t="shared" si="45"/>
        <v>0</v>
      </c>
      <c r="Y140" s="101">
        <f t="shared" si="45"/>
        <v>0</v>
      </c>
      <c r="Z140" s="101">
        <f t="shared" si="45"/>
        <v>0</v>
      </c>
      <c r="AA140" s="101">
        <f t="shared" si="45"/>
        <v>0</v>
      </c>
      <c r="AB140" s="101">
        <f t="shared" si="45"/>
        <v>0</v>
      </c>
      <c r="AC140" s="101">
        <f t="shared" si="45"/>
        <v>0</v>
      </c>
      <c r="AD140" s="101">
        <f t="shared" si="45"/>
        <v>0</v>
      </c>
      <c r="AE140" s="101">
        <f t="shared" si="45"/>
        <v>0</v>
      </c>
      <c r="AF140" s="101">
        <f t="shared" si="45"/>
        <v>0</v>
      </c>
      <c r="AG140" s="101">
        <f t="shared" si="45"/>
        <v>0</v>
      </c>
      <c r="AH140" s="101">
        <f t="shared" si="45"/>
        <v>0</v>
      </c>
      <c r="AI140" s="101">
        <f t="shared" si="45"/>
        <v>0</v>
      </c>
      <c r="AJ140" s="101">
        <f t="shared" si="45"/>
        <v>0</v>
      </c>
      <c r="AK140" s="101">
        <f t="shared" si="45"/>
        <v>0</v>
      </c>
      <c r="AL140" s="101">
        <f t="shared" si="45"/>
        <v>0</v>
      </c>
      <c r="AM140" s="101">
        <f t="shared" si="45"/>
        <v>0</v>
      </c>
      <c r="AN140" s="101">
        <f t="shared" si="45"/>
        <v>0</v>
      </c>
      <c r="AO140" s="101">
        <f t="shared" si="45"/>
        <v>0</v>
      </c>
      <c r="AP140" s="101">
        <f t="shared" si="45"/>
        <v>0</v>
      </c>
    </row>
    <row r="141" spans="3:44" x14ac:dyDescent="0.25">
      <c r="C141" s="91"/>
      <c r="E141" s="29"/>
      <c r="F141" t="s">
        <v>235</v>
      </c>
      <c r="G141" t="s">
        <v>328</v>
      </c>
      <c r="J141" s="101">
        <f t="shared" ref="J141:AP141" si="46">IF(J$129 = 0, 0, J109 / J$129)</f>
        <v>0.13708082584562156</v>
      </c>
      <c r="K141" s="101">
        <f t="shared" si="46"/>
        <v>0.13708082584562156</v>
      </c>
      <c r="L141" s="101">
        <f t="shared" si="46"/>
        <v>0</v>
      </c>
      <c r="M141" s="101">
        <f t="shared" si="46"/>
        <v>0.13708082584562156</v>
      </c>
      <c r="N141" s="101">
        <f t="shared" si="46"/>
        <v>0.13708082584562156</v>
      </c>
      <c r="O141" s="101">
        <f t="shared" si="46"/>
        <v>0</v>
      </c>
      <c r="P141" s="101">
        <f t="shared" si="46"/>
        <v>2.3907822171428048</v>
      </c>
      <c r="Q141" s="101">
        <f t="shared" si="46"/>
        <v>0</v>
      </c>
      <c r="R141" s="101">
        <f t="shared" si="46"/>
        <v>0</v>
      </c>
      <c r="S141" s="101">
        <f t="shared" si="46"/>
        <v>0.13708082584562156</v>
      </c>
      <c r="T141" s="101">
        <f t="shared" si="46"/>
        <v>0.13708082584562156</v>
      </c>
      <c r="U141" s="101">
        <f t="shared" si="46"/>
        <v>0</v>
      </c>
      <c r="V141" s="101">
        <f t="shared" si="46"/>
        <v>0</v>
      </c>
      <c r="W141" s="101">
        <f t="shared" si="46"/>
        <v>0</v>
      </c>
      <c r="X141" s="101">
        <f t="shared" si="46"/>
        <v>0</v>
      </c>
      <c r="Y141" s="101">
        <f t="shared" si="46"/>
        <v>0</v>
      </c>
      <c r="Z141" s="101">
        <f t="shared" si="46"/>
        <v>0</v>
      </c>
      <c r="AA141" s="101">
        <f t="shared" si="46"/>
        <v>0</v>
      </c>
      <c r="AB141" s="101">
        <f t="shared" si="46"/>
        <v>0</v>
      </c>
      <c r="AC141" s="101">
        <f t="shared" si="46"/>
        <v>0</v>
      </c>
      <c r="AD141" s="101">
        <f t="shared" si="46"/>
        <v>0</v>
      </c>
      <c r="AE141" s="101">
        <f t="shared" si="46"/>
        <v>0</v>
      </c>
      <c r="AF141" s="101">
        <f t="shared" si="46"/>
        <v>0</v>
      </c>
      <c r="AG141" s="101">
        <f t="shared" si="46"/>
        <v>0</v>
      </c>
      <c r="AH141" s="101">
        <f t="shared" si="46"/>
        <v>0</v>
      </c>
      <c r="AI141" s="101">
        <f t="shared" si="46"/>
        <v>0</v>
      </c>
      <c r="AJ141" s="101">
        <f t="shared" si="46"/>
        <v>0</v>
      </c>
      <c r="AK141" s="101">
        <f t="shared" si="46"/>
        <v>0</v>
      </c>
      <c r="AL141" s="101">
        <f t="shared" si="46"/>
        <v>0</v>
      </c>
      <c r="AM141" s="101">
        <f t="shared" si="46"/>
        <v>0</v>
      </c>
      <c r="AN141" s="101">
        <f t="shared" si="46"/>
        <v>0</v>
      </c>
      <c r="AO141" s="101">
        <f t="shared" si="46"/>
        <v>0</v>
      </c>
      <c r="AP141" s="101">
        <f t="shared" si="46"/>
        <v>0</v>
      </c>
    </row>
    <row r="142" spans="3:44" x14ac:dyDescent="0.25">
      <c r="C142" s="91"/>
      <c r="E142" s="29"/>
      <c r="F142" s="23" t="s">
        <v>436</v>
      </c>
      <c r="G142" s="23" t="s">
        <v>328</v>
      </c>
      <c r="H142" s="23"/>
      <c r="I142" s="23"/>
      <c r="J142" s="83"/>
      <c r="K142" s="83"/>
      <c r="L142" s="83"/>
      <c r="M142" s="83"/>
      <c r="N142" s="83"/>
      <c r="O142" s="83"/>
      <c r="P142" s="83"/>
      <c r="Q142" s="83"/>
      <c r="R142" s="83"/>
      <c r="S142" s="83"/>
      <c r="T142" s="83"/>
      <c r="U142" s="83"/>
      <c r="V142" s="83"/>
      <c r="W142" s="83"/>
      <c r="X142" s="83"/>
      <c r="Y142" s="83"/>
      <c r="Z142" s="83"/>
      <c r="AA142" s="83"/>
      <c r="AB142" s="83"/>
      <c r="AC142" s="83"/>
      <c r="AD142" s="83"/>
      <c r="AE142" s="83"/>
      <c r="AF142" s="83"/>
      <c r="AG142" s="83"/>
      <c r="AH142" s="83"/>
      <c r="AI142" s="83"/>
      <c r="AJ142" s="83"/>
      <c r="AK142" s="83"/>
      <c r="AL142" s="83"/>
      <c r="AM142" s="83"/>
      <c r="AN142" s="83"/>
      <c r="AO142" s="83"/>
      <c r="AP142" s="83"/>
    </row>
    <row r="143" spans="3:44" x14ac:dyDescent="0.25">
      <c r="C143" s="91"/>
      <c r="E143" s="29"/>
      <c r="F143" s="37" t="s">
        <v>437</v>
      </c>
      <c r="G143" s="37" t="s">
        <v>328</v>
      </c>
      <c r="H143" s="37"/>
      <c r="I143" s="37"/>
      <c r="J143" s="81"/>
      <c r="K143" s="81"/>
      <c r="L143" s="81"/>
      <c r="M143" s="81"/>
      <c r="N143" s="81"/>
      <c r="O143" s="81"/>
      <c r="P143" s="81"/>
      <c r="Q143" s="81"/>
      <c r="R143" s="81"/>
      <c r="S143" s="81"/>
      <c r="T143" s="81"/>
      <c r="U143" s="81"/>
      <c r="V143" s="81"/>
      <c r="W143" s="81"/>
      <c r="X143" s="81"/>
      <c r="Y143" s="81"/>
      <c r="Z143" s="81"/>
      <c r="AA143" s="81"/>
      <c r="AB143" s="81"/>
      <c r="AC143" s="81"/>
      <c r="AD143" s="81"/>
      <c r="AE143" s="81"/>
      <c r="AF143" s="81"/>
      <c r="AG143" s="81"/>
      <c r="AH143" s="81"/>
      <c r="AI143" s="81"/>
      <c r="AJ143" s="81"/>
      <c r="AK143" s="81"/>
      <c r="AL143" s="81"/>
      <c r="AM143" s="81"/>
      <c r="AN143" s="81"/>
      <c r="AO143" s="81"/>
      <c r="AP143" s="81"/>
    </row>
    <row r="144" spans="3:44" x14ac:dyDescent="0.25">
      <c r="C144" s="91"/>
      <c r="D144"/>
      <c r="E144" s="29"/>
      <c r="J144" s="92"/>
      <c r="K144" s="92"/>
      <c r="L144" s="92"/>
      <c r="M144" s="92"/>
      <c r="N144" s="92"/>
      <c r="O144" s="92"/>
      <c r="P144" s="92"/>
      <c r="Q144" s="92"/>
      <c r="R144" s="92"/>
      <c r="S144" s="92"/>
      <c r="T144" s="92"/>
      <c r="U144" s="92"/>
      <c r="V144" s="92"/>
      <c r="W144" s="92"/>
      <c r="X144" s="92"/>
      <c r="Y144" s="92"/>
      <c r="Z144" s="92"/>
      <c r="AA144" s="92"/>
      <c r="AB144" s="92"/>
      <c r="AC144" s="92"/>
      <c r="AD144" s="92"/>
      <c r="AE144" s="92"/>
      <c r="AF144" s="92"/>
      <c r="AG144" s="92"/>
      <c r="AH144" s="92"/>
      <c r="AI144" s="92"/>
      <c r="AJ144" s="92"/>
      <c r="AK144" s="92"/>
      <c r="AL144" s="92"/>
      <c r="AM144" s="92"/>
      <c r="AN144" s="92"/>
      <c r="AO144" s="92"/>
      <c r="AP144" s="92"/>
    </row>
    <row r="145" spans="3:44" x14ac:dyDescent="0.25">
      <c r="C145" s="91"/>
      <c r="E145" s="32" t="s">
        <v>734</v>
      </c>
      <c r="J145" s="92"/>
      <c r="K145" s="92"/>
      <c r="L145" s="92"/>
      <c r="M145" s="92"/>
      <c r="N145" s="92"/>
      <c r="O145" s="92"/>
      <c r="P145" s="92"/>
      <c r="Q145" s="92"/>
      <c r="R145" s="92"/>
      <c r="S145" s="92"/>
      <c r="T145" s="92"/>
      <c r="U145" s="92"/>
      <c r="V145" s="92"/>
      <c r="W145" s="92"/>
      <c r="X145" s="92"/>
      <c r="Y145" s="92"/>
      <c r="Z145" s="92"/>
      <c r="AA145" s="92"/>
      <c r="AB145" s="92"/>
      <c r="AC145" s="92"/>
      <c r="AD145" s="92"/>
      <c r="AE145" s="92"/>
      <c r="AF145" s="92"/>
      <c r="AG145" s="92"/>
      <c r="AH145" s="92"/>
      <c r="AI145" s="92"/>
      <c r="AJ145" s="92"/>
      <c r="AK145" s="92"/>
      <c r="AL145" s="92"/>
      <c r="AM145" s="92"/>
      <c r="AN145" s="92"/>
      <c r="AO145" s="92"/>
      <c r="AP145" s="92"/>
    </row>
    <row r="146" spans="3:44" x14ac:dyDescent="0.25">
      <c r="C146" s="91"/>
      <c r="F146" s="23" t="s">
        <v>225</v>
      </c>
      <c r="G146" s="23" t="s">
        <v>328</v>
      </c>
      <c r="H146" s="23"/>
      <c r="I146" s="23"/>
      <c r="J146" s="129">
        <f t="shared" ref="J146:AP146" si="47">IF(J$129 = 0, 0, J114 / J$129)</f>
        <v>0</v>
      </c>
      <c r="K146" s="129">
        <f t="shared" si="47"/>
        <v>0</v>
      </c>
      <c r="L146" s="129">
        <f t="shared" si="47"/>
        <v>0</v>
      </c>
      <c r="M146" s="129">
        <f t="shared" si="47"/>
        <v>0</v>
      </c>
      <c r="N146" s="129">
        <f t="shared" si="47"/>
        <v>0</v>
      </c>
      <c r="O146" s="129">
        <f t="shared" si="47"/>
        <v>0</v>
      </c>
      <c r="P146" s="129">
        <f t="shared" si="47"/>
        <v>0</v>
      </c>
      <c r="Q146" s="129">
        <f t="shared" si="47"/>
        <v>0</v>
      </c>
      <c r="R146" s="129">
        <f t="shared" si="47"/>
        <v>0</v>
      </c>
      <c r="S146" s="129">
        <f t="shared" si="47"/>
        <v>0</v>
      </c>
      <c r="T146" s="129">
        <f t="shared" si="47"/>
        <v>0</v>
      </c>
      <c r="U146" s="129">
        <f t="shared" si="47"/>
        <v>0</v>
      </c>
      <c r="V146" s="129">
        <f t="shared" si="47"/>
        <v>0</v>
      </c>
      <c r="W146" s="129">
        <f t="shared" si="47"/>
        <v>0</v>
      </c>
      <c r="X146" s="129">
        <f t="shared" si="47"/>
        <v>0</v>
      </c>
      <c r="Y146" s="129">
        <f t="shared" si="47"/>
        <v>0</v>
      </c>
      <c r="Z146" s="129">
        <f t="shared" si="47"/>
        <v>0</v>
      </c>
      <c r="AA146" s="129">
        <f t="shared" si="47"/>
        <v>0</v>
      </c>
      <c r="AB146" s="129">
        <f t="shared" si="47"/>
        <v>0</v>
      </c>
      <c r="AC146" s="129">
        <f t="shared" si="47"/>
        <v>0</v>
      </c>
      <c r="AD146" s="129">
        <f t="shared" si="47"/>
        <v>0</v>
      </c>
      <c r="AE146" s="129">
        <f t="shared" si="47"/>
        <v>0</v>
      </c>
      <c r="AF146" s="129">
        <f t="shared" si="47"/>
        <v>0</v>
      </c>
      <c r="AG146" s="129">
        <f t="shared" si="47"/>
        <v>0</v>
      </c>
      <c r="AH146" s="129">
        <f t="shared" si="47"/>
        <v>0</v>
      </c>
      <c r="AI146" s="129">
        <f t="shared" si="47"/>
        <v>0</v>
      </c>
      <c r="AJ146" s="129">
        <f t="shared" si="47"/>
        <v>0</v>
      </c>
      <c r="AK146" s="129">
        <f t="shared" si="47"/>
        <v>0</v>
      </c>
      <c r="AL146" s="129">
        <f t="shared" si="47"/>
        <v>0</v>
      </c>
      <c r="AM146" s="129">
        <f t="shared" si="47"/>
        <v>0</v>
      </c>
      <c r="AN146" s="129">
        <f t="shared" si="47"/>
        <v>0</v>
      </c>
      <c r="AO146" s="129">
        <f t="shared" si="47"/>
        <v>0</v>
      </c>
      <c r="AP146" s="129">
        <f t="shared" si="47"/>
        <v>0</v>
      </c>
    </row>
    <row r="147" spans="3:44" x14ac:dyDescent="0.25">
      <c r="C147" s="91"/>
      <c r="F147" t="s">
        <v>227</v>
      </c>
      <c r="G147" t="s">
        <v>328</v>
      </c>
      <c r="J147" s="101">
        <f t="shared" ref="J147:AP147" si="48">IF(J$129 = 0, 0, J115 / J$129)</f>
        <v>0</v>
      </c>
      <c r="K147" s="101">
        <f t="shared" si="48"/>
        <v>0</v>
      </c>
      <c r="L147" s="101">
        <f t="shared" si="48"/>
        <v>0</v>
      </c>
      <c r="M147" s="101">
        <f t="shared" si="48"/>
        <v>0</v>
      </c>
      <c r="N147" s="101">
        <f t="shared" si="48"/>
        <v>0</v>
      </c>
      <c r="O147" s="101">
        <f t="shared" si="48"/>
        <v>0</v>
      </c>
      <c r="P147" s="101">
        <f t="shared" si="48"/>
        <v>0</v>
      </c>
      <c r="Q147" s="101">
        <f t="shared" si="48"/>
        <v>0</v>
      </c>
      <c r="R147" s="101">
        <f t="shared" si="48"/>
        <v>0</v>
      </c>
      <c r="S147" s="101">
        <f t="shared" si="48"/>
        <v>0</v>
      </c>
      <c r="T147" s="101">
        <f t="shared" si="48"/>
        <v>0</v>
      </c>
      <c r="U147" s="101">
        <f t="shared" si="48"/>
        <v>0</v>
      </c>
      <c r="V147" s="101">
        <f t="shared" si="48"/>
        <v>0</v>
      </c>
      <c r="W147" s="101">
        <f t="shared" si="48"/>
        <v>0</v>
      </c>
      <c r="X147" s="101">
        <f t="shared" si="48"/>
        <v>0</v>
      </c>
      <c r="Y147" s="101">
        <f t="shared" si="48"/>
        <v>0</v>
      </c>
      <c r="Z147" s="101">
        <f t="shared" si="48"/>
        <v>0</v>
      </c>
      <c r="AA147" s="101">
        <f t="shared" si="48"/>
        <v>0</v>
      </c>
      <c r="AB147" s="101">
        <f t="shared" si="48"/>
        <v>0</v>
      </c>
      <c r="AC147" s="101">
        <f t="shared" si="48"/>
        <v>0</v>
      </c>
      <c r="AD147" s="101">
        <f t="shared" si="48"/>
        <v>0</v>
      </c>
      <c r="AE147" s="101">
        <f t="shared" si="48"/>
        <v>0</v>
      </c>
      <c r="AF147" s="101">
        <f t="shared" si="48"/>
        <v>0</v>
      </c>
      <c r="AG147" s="101">
        <f t="shared" si="48"/>
        <v>0</v>
      </c>
      <c r="AH147" s="101">
        <f t="shared" si="48"/>
        <v>0</v>
      </c>
      <c r="AI147" s="101">
        <f t="shared" si="48"/>
        <v>0</v>
      </c>
      <c r="AJ147" s="101">
        <f t="shared" si="48"/>
        <v>0</v>
      </c>
      <c r="AK147" s="101">
        <f t="shared" si="48"/>
        <v>0</v>
      </c>
      <c r="AL147" s="101">
        <f t="shared" si="48"/>
        <v>0</v>
      </c>
      <c r="AM147" s="101">
        <f t="shared" si="48"/>
        <v>0</v>
      </c>
      <c r="AN147" s="101">
        <f t="shared" si="48"/>
        <v>0</v>
      </c>
      <c r="AO147" s="101">
        <f t="shared" si="48"/>
        <v>0</v>
      </c>
      <c r="AP147" s="101">
        <f t="shared" si="48"/>
        <v>0</v>
      </c>
    </row>
    <row r="148" spans="3:44" x14ac:dyDescent="0.25">
      <c r="C148" s="91"/>
      <c r="F148" t="s">
        <v>228</v>
      </c>
      <c r="G148" t="s">
        <v>328</v>
      </c>
      <c r="J148" s="101">
        <f t="shared" ref="J148:AP148" si="49">IF(J$129 = 0, 0, J116 / J$129)</f>
        <v>0</v>
      </c>
      <c r="K148" s="101">
        <f t="shared" si="49"/>
        <v>0</v>
      </c>
      <c r="L148" s="101">
        <f t="shared" si="49"/>
        <v>0</v>
      </c>
      <c r="M148" s="101">
        <f t="shared" si="49"/>
        <v>0</v>
      </c>
      <c r="N148" s="101">
        <f t="shared" si="49"/>
        <v>0</v>
      </c>
      <c r="O148" s="101">
        <f t="shared" si="49"/>
        <v>0</v>
      </c>
      <c r="P148" s="101">
        <f t="shared" si="49"/>
        <v>0</v>
      </c>
      <c r="Q148" s="101">
        <f t="shared" si="49"/>
        <v>0</v>
      </c>
      <c r="R148" s="101">
        <f t="shared" si="49"/>
        <v>0</v>
      </c>
      <c r="S148" s="101">
        <f t="shared" si="49"/>
        <v>0</v>
      </c>
      <c r="T148" s="101">
        <f t="shared" si="49"/>
        <v>0</v>
      </c>
      <c r="U148" s="101">
        <f t="shared" si="49"/>
        <v>0</v>
      </c>
      <c r="V148" s="101">
        <f t="shared" si="49"/>
        <v>0</v>
      </c>
      <c r="W148" s="101">
        <f t="shared" si="49"/>
        <v>0</v>
      </c>
      <c r="X148" s="101">
        <f t="shared" si="49"/>
        <v>0</v>
      </c>
      <c r="Y148" s="101">
        <f t="shared" si="49"/>
        <v>0</v>
      </c>
      <c r="Z148" s="101">
        <f t="shared" si="49"/>
        <v>0</v>
      </c>
      <c r="AA148" s="101">
        <f t="shared" si="49"/>
        <v>0</v>
      </c>
      <c r="AB148" s="101">
        <f t="shared" si="49"/>
        <v>0</v>
      </c>
      <c r="AC148" s="101">
        <f t="shared" si="49"/>
        <v>0</v>
      </c>
      <c r="AD148" s="101">
        <f t="shared" si="49"/>
        <v>0</v>
      </c>
      <c r="AE148" s="101">
        <f t="shared" si="49"/>
        <v>0</v>
      </c>
      <c r="AF148" s="101">
        <f t="shared" si="49"/>
        <v>0</v>
      </c>
      <c r="AG148" s="101">
        <f t="shared" si="49"/>
        <v>0</v>
      </c>
      <c r="AH148" s="101">
        <f t="shared" si="49"/>
        <v>0</v>
      </c>
      <c r="AI148" s="101">
        <f t="shared" si="49"/>
        <v>0</v>
      </c>
      <c r="AJ148" s="101">
        <f t="shared" si="49"/>
        <v>0</v>
      </c>
      <c r="AK148" s="101">
        <f t="shared" si="49"/>
        <v>0</v>
      </c>
      <c r="AL148" s="101">
        <f t="shared" si="49"/>
        <v>0</v>
      </c>
      <c r="AM148" s="101">
        <f t="shared" si="49"/>
        <v>0</v>
      </c>
      <c r="AN148" s="101">
        <f t="shared" si="49"/>
        <v>0</v>
      </c>
      <c r="AO148" s="101">
        <f t="shared" si="49"/>
        <v>0</v>
      </c>
      <c r="AP148" s="101">
        <f t="shared" si="49"/>
        <v>0</v>
      </c>
    </row>
    <row r="149" spans="3:44" x14ac:dyDescent="0.25">
      <c r="C149" s="91"/>
      <c r="F149" t="s">
        <v>229</v>
      </c>
      <c r="G149" t="s">
        <v>328</v>
      </c>
      <c r="J149" s="101">
        <f t="shared" ref="J149:AP149" si="50">IF(J$129 = 0, 0, J117 / J$129)</f>
        <v>0</v>
      </c>
      <c r="K149" s="101">
        <f t="shared" si="50"/>
        <v>0</v>
      </c>
      <c r="L149" s="101">
        <f t="shared" si="50"/>
        <v>0</v>
      </c>
      <c r="M149" s="101">
        <f t="shared" si="50"/>
        <v>0</v>
      </c>
      <c r="N149" s="101">
        <f t="shared" si="50"/>
        <v>0</v>
      </c>
      <c r="O149" s="101">
        <f t="shared" si="50"/>
        <v>0</v>
      </c>
      <c r="P149" s="101">
        <f t="shared" si="50"/>
        <v>0</v>
      </c>
      <c r="Q149" s="101">
        <f t="shared" si="50"/>
        <v>0</v>
      </c>
      <c r="R149" s="101">
        <f t="shared" si="50"/>
        <v>0</v>
      </c>
      <c r="S149" s="101">
        <f t="shared" si="50"/>
        <v>0</v>
      </c>
      <c r="T149" s="101">
        <f t="shared" si="50"/>
        <v>0</v>
      </c>
      <c r="U149" s="101">
        <f t="shared" si="50"/>
        <v>0</v>
      </c>
      <c r="V149" s="101">
        <f t="shared" si="50"/>
        <v>0</v>
      </c>
      <c r="W149" s="101">
        <f t="shared" si="50"/>
        <v>0</v>
      </c>
      <c r="X149" s="101">
        <f t="shared" si="50"/>
        <v>0</v>
      </c>
      <c r="Y149" s="101">
        <f t="shared" si="50"/>
        <v>0</v>
      </c>
      <c r="Z149" s="101">
        <f t="shared" si="50"/>
        <v>0</v>
      </c>
      <c r="AA149" s="101">
        <f t="shared" si="50"/>
        <v>0</v>
      </c>
      <c r="AB149" s="101">
        <f t="shared" si="50"/>
        <v>0</v>
      </c>
      <c r="AC149" s="101">
        <f t="shared" si="50"/>
        <v>0</v>
      </c>
      <c r="AD149" s="101">
        <f t="shared" si="50"/>
        <v>0</v>
      </c>
      <c r="AE149" s="101">
        <f t="shared" si="50"/>
        <v>0</v>
      </c>
      <c r="AF149" s="101">
        <f t="shared" si="50"/>
        <v>0</v>
      </c>
      <c r="AG149" s="101">
        <f t="shared" si="50"/>
        <v>0</v>
      </c>
      <c r="AH149" s="101">
        <f t="shared" si="50"/>
        <v>0</v>
      </c>
      <c r="AI149" s="101">
        <f t="shared" si="50"/>
        <v>0</v>
      </c>
      <c r="AJ149" s="101">
        <f t="shared" si="50"/>
        <v>0</v>
      </c>
      <c r="AK149" s="101">
        <f t="shared" si="50"/>
        <v>0</v>
      </c>
      <c r="AL149" s="101">
        <f t="shared" si="50"/>
        <v>0</v>
      </c>
      <c r="AM149" s="101">
        <f t="shared" si="50"/>
        <v>0</v>
      </c>
      <c r="AN149" s="101">
        <f t="shared" si="50"/>
        <v>0</v>
      </c>
      <c r="AO149" s="101">
        <f t="shared" si="50"/>
        <v>0</v>
      </c>
      <c r="AP149" s="101">
        <f t="shared" si="50"/>
        <v>0</v>
      </c>
    </row>
    <row r="150" spans="3:44" x14ac:dyDescent="0.25">
      <c r="C150" s="91"/>
      <c r="F150" t="s">
        <v>230</v>
      </c>
      <c r="G150" t="s">
        <v>328</v>
      </c>
      <c r="J150" s="101">
        <f t="shared" ref="J150:AP150" si="51">IF(J$129 = 0, 0, J118 / J$129)</f>
        <v>0</v>
      </c>
      <c r="K150" s="101">
        <f t="shared" si="51"/>
        <v>0</v>
      </c>
      <c r="L150" s="101">
        <f t="shared" si="51"/>
        <v>0</v>
      </c>
      <c r="M150" s="101">
        <f t="shared" si="51"/>
        <v>0</v>
      </c>
      <c r="N150" s="101">
        <f t="shared" si="51"/>
        <v>0</v>
      </c>
      <c r="O150" s="101">
        <f t="shared" si="51"/>
        <v>0</v>
      </c>
      <c r="P150" s="101">
        <f t="shared" si="51"/>
        <v>0</v>
      </c>
      <c r="Q150" s="101">
        <f t="shared" si="51"/>
        <v>0</v>
      </c>
      <c r="R150" s="101">
        <f t="shared" si="51"/>
        <v>64.290419181409277</v>
      </c>
      <c r="S150" s="101">
        <f t="shared" si="51"/>
        <v>0</v>
      </c>
      <c r="T150" s="101">
        <f t="shared" si="51"/>
        <v>0</v>
      </c>
      <c r="U150" s="101">
        <f t="shared" si="51"/>
        <v>0</v>
      </c>
      <c r="V150" s="101">
        <f t="shared" si="51"/>
        <v>0</v>
      </c>
      <c r="W150" s="101">
        <f t="shared" si="51"/>
        <v>0</v>
      </c>
      <c r="X150" s="101">
        <f t="shared" si="51"/>
        <v>0</v>
      </c>
      <c r="Y150" s="101">
        <f t="shared" si="51"/>
        <v>0</v>
      </c>
      <c r="Z150" s="101">
        <f t="shared" si="51"/>
        <v>0</v>
      </c>
      <c r="AA150" s="101">
        <f t="shared" si="51"/>
        <v>0</v>
      </c>
      <c r="AB150" s="101">
        <f t="shared" si="51"/>
        <v>0</v>
      </c>
      <c r="AC150" s="101">
        <f t="shared" si="51"/>
        <v>0</v>
      </c>
      <c r="AD150" s="101">
        <f t="shared" si="51"/>
        <v>0</v>
      </c>
      <c r="AE150" s="101">
        <f t="shared" si="51"/>
        <v>0</v>
      </c>
      <c r="AF150" s="101">
        <f t="shared" si="51"/>
        <v>0</v>
      </c>
      <c r="AG150" s="101">
        <f t="shared" si="51"/>
        <v>0</v>
      </c>
      <c r="AH150" s="101">
        <f t="shared" si="51"/>
        <v>0</v>
      </c>
      <c r="AI150" s="101">
        <f t="shared" si="51"/>
        <v>0</v>
      </c>
      <c r="AJ150" s="101">
        <f t="shared" si="51"/>
        <v>0</v>
      </c>
      <c r="AK150" s="101">
        <f t="shared" si="51"/>
        <v>0</v>
      </c>
      <c r="AL150" s="101">
        <f t="shared" si="51"/>
        <v>0</v>
      </c>
      <c r="AM150" s="101">
        <f t="shared" si="51"/>
        <v>0</v>
      </c>
      <c r="AN150" s="101">
        <f t="shared" si="51"/>
        <v>0</v>
      </c>
      <c r="AO150" s="101">
        <f t="shared" si="51"/>
        <v>0</v>
      </c>
      <c r="AP150" s="101">
        <f t="shared" si="51"/>
        <v>0</v>
      </c>
    </row>
    <row r="151" spans="3:44" x14ac:dyDescent="0.25">
      <c r="C151" s="91"/>
      <c r="F151" t="s">
        <v>231</v>
      </c>
      <c r="G151" t="s">
        <v>328</v>
      </c>
      <c r="J151" s="101">
        <f t="shared" ref="J151:AP151" si="52">IF(J$129 = 0, 0, J119 / J$129)</f>
        <v>0</v>
      </c>
      <c r="K151" s="101">
        <f t="shared" si="52"/>
        <v>0</v>
      </c>
      <c r="L151" s="101">
        <f t="shared" si="52"/>
        <v>0</v>
      </c>
      <c r="M151" s="101">
        <f t="shared" si="52"/>
        <v>0</v>
      </c>
      <c r="N151" s="101">
        <f t="shared" si="52"/>
        <v>0</v>
      </c>
      <c r="O151" s="101">
        <f t="shared" si="52"/>
        <v>0</v>
      </c>
      <c r="P151" s="101">
        <f t="shared" si="52"/>
        <v>0</v>
      </c>
      <c r="Q151" s="101">
        <f t="shared" si="52"/>
        <v>0</v>
      </c>
      <c r="R151" s="101">
        <f t="shared" si="52"/>
        <v>290.84866871001663</v>
      </c>
      <c r="S151" s="101">
        <f t="shared" si="52"/>
        <v>0</v>
      </c>
      <c r="T151" s="101">
        <f t="shared" si="52"/>
        <v>0</v>
      </c>
      <c r="U151" s="101">
        <f t="shared" si="52"/>
        <v>0</v>
      </c>
      <c r="V151" s="101">
        <f t="shared" si="52"/>
        <v>0</v>
      </c>
      <c r="W151" s="101">
        <f t="shared" si="52"/>
        <v>0</v>
      </c>
      <c r="X151" s="101">
        <f t="shared" si="52"/>
        <v>0</v>
      </c>
      <c r="Y151" s="101">
        <f t="shared" si="52"/>
        <v>0</v>
      </c>
      <c r="Z151" s="101">
        <f t="shared" si="52"/>
        <v>0</v>
      </c>
      <c r="AA151" s="101">
        <f t="shared" si="52"/>
        <v>0</v>
      </c>
      <c r="AB151" s="101">
        <f t="shared" si="52"/>
        <v>0</v>
      </c>
      <c r="AC151" s="101">
        <f t="shared" si="52"/>
        <v>0</v>
      </c>
      <c r="AD151" s="101">
        <f t="shared" si="52"/>
        <v>0</v>
      </c>
      <c r="AE151" s="101">
        <f t="shared" si="52"/>
        <v>0</v>
      </c>
      <c r="AF151" s="101">
        <f t="shared" si="52"/>
        <v>0</v>
      </c>
      <c r="AG151" s="101">
        <f t="shared" si="52"/>
        <v>0</v>
      </c>
      <c r="AH151" s="101">
        <f t="shared" si="52"/>
        <v>0</v>
      </c>
      <c r="AI151" s="101">
        <f t="shared" si="52"/>
        <v>0</v>
      </c>
      <c r="AJ151" s="101">
        <f t="shared" si="52"/>
        <v>0</v>
      </c>
      <c r="AK151" s="101">
        <f t="shared" si="52"/>
        <v>0</v>
      </c>
      <c r="AL151" s="101">
        <f t="shared" si="52"/>
        <v>0</v>
      </c>
      <c r="AM151" s="101">
        <f t="shared" si="52"/>
        <v>0</v>
      </c>
      <c r="AN151" s="101">
        <f t="shared" si="52"/>
        <v>0</v>
      </c>
      <c r="AO151" s="101">
        <f t="shared" si="52"/>
        <v>0</v>
      </c>
      <c r="AP151" s="101">
        <f t="shared" si="52"/>
        <v>0</v>
      </c>
    </row>
    <row r="152" spans="3:44" x14ac:dyDescent="0.25">
      <c r="C152" s="91"/>
      <c r="F152" t="s">
        <v>232</v>
      </c>
      <c r="G152" t="s">
        <v>328</v>
      </c>
      <c r="J152" s="101">
        <f t="shared" ref="J152:AP152" si="53">IF(J$129 = 0, 0, J120 / J$129)</f>
        <v>0</v>
      </c>
      <c r="K152" s="101">
        <f t="shared" si="53"/>
        <v>0</v>
      </c>
      <c r="L152" s="101">
        <f t="shared" si="53"/>
        <v>0</v>
      </c>
      <c r="M152" s="101">
        <f t="shared" si="53"/>
        <v>0</v>
      </c>
      <c r="N152" s="101">
        <f t="shared" si="53"/>
        <v>0</v>
      </c>
      <c r="O152" s="101">
        <f t="shared" si="53"/>
        <v>0</v>
      </c>
      <c r="P152" s="101">
        <f t="shared" si="53"/>
        <v>0</v>
      </c>
      <c r="Q152" s="101">
        <f t="shared" si="53"/>
        <v>0</v>
      </c>
      <c r="R152" s="101">
        <f t="shared" si="53"/>
        <v>0</v>
      </c>
      <c r="S152" s="101">
        <f t="shared" si="53"/>
        <v>0</v>
      </c>
      <c r="T152" s="101">
        <f t="shared" si="53"/>
        <v>0</v>
      </c>
      <c r="U152" s="101">
        <f t="shared" si="53"/>
        <v>0</v>
      </c>
      <c r="V152" s="101">
        <f t="shared" si="53"/>
        <v>0</v>
      </c>
      <c r="W152" s="101">
        <f t="shared" si="53"/>
        <v>0</v>
      </c>
      <c r="X152" s="101">
        <f t="shared" si="53"/>
        <v>0</v>
      </c>
      <c r="Y152" s="101">
        <f t="shared" si="53"/>
        <v>0</v>
      </c>
      <c r="Z152" s="101">
        <f t="shared" si="53"/>
        <v>0</v>
      </c>
      <c r="AA152" s="101">
        <f t="shared" si="53"/>
        <v>0</v>
      </c>
      <c r="AB152" s="101">
        <f t="shared" si="53"/>
        <v>0</v>
      </c>
      <c r="AC152" s="101">
        <f t="shared" si="53"/>
        <v>0</v>
      </c>
      <c r="AD152" s="101">
        <f t="shared" si="53"/>
        <v>0</v>
      </c>
      <c r="AE152" s="101">
        <f t="shared" si="53"/>
        <v>0</v>
      </c>
      <c r="AF152" s="101">
        <f t="shared" si="53"/>
        <v>0</v>
      </c>
      <c r="AG152" s="101">
        <f t="shared" si="53"/>
        <v>0</v>
      </c>
      <c r="AH152" s="101">
        <f t="shared" si="53"/>
        <v>0</v>
      </c>
      <c r="AI152" s="101">
        <f t="shared" si="53"/>
        <v>0</v>
      </c>
      <c r="AJ152" s="101">
        <f t="shared" si="53"/>
        <v>0</v>
      </c>
      <c r="AK152" s="101">
        <f t="shared" si="53"/>
        <v>0</v>
      </c>
      <c r="AL152" s="101">
        <f t="shared" si="53"/>
        <v>0</v>
      </c>
      <c r="AM152" s="101">
        <f t="shared" si="53"/>
        <v>0</v>
      </c>
      <c r="AN152" s="101">
        <f t="shared" si="53"/>
        <v>0</v>
      </c>
      <c r="AO152" s="101">
        <f t="shared" si="53"/>
        <v>0</v>
      </c>
      <c r="AP152" s="101">
        <f t="shared" si="53"/>
        <v>0</v>
      </c>
    </row>
    <row r="153" spans="3:44" x14ac:dyDescent="0.25">
      <c r="C153" s="91"/>
      <c r="F153" t="s">
        <v>233</v>
      </c>
      <c r="G153" t="s">
        <v>328</v>
      </c>
      <c r="J153" s="101">
        <f t="shared" ref="J153:AP153" si="54">IF(J$129 = 0, 0, J121 / J$129)</f>
        <v>0</v>
      </c>
      <c r="K153" s="101">
        <f t="shared" si="54"/>
        <v>0</v>
      </c>
      <c r="L153" s="101">
        <f t="shared" si="54"/>
        <v>0</v>
      </c>
      <c r="M153" s="101">
        <f t="shared" si="54"/>
        <v>0</v>
      </c>
      <c r="N153" s="101">
        <f t="shared" si="54"/>
        <v>0</v>
      </c>
      <c r="O153" s="101">
        <f t="shared" si="54"/>
        <v>0</v>
      </c>
      <c r="P153" s="101">
        <f t="shared" si="54"/>
        <v>0</v>
      </c>
      <c r="Q153" s="101">
        <f t="shared" si="54"/>
        <v>0</v>
      </c>
      <c r="R153" s="101">
        <f t="shared" si="54"/>
        <v>782.20674739182198</v>
      </c>
      <c r="S153" s="101">
        <f t="shared" si="54"/>
        <v>0</v>
      </c>
      <c r="T153" s="101">
        <f t="shared" si="54"/>
        <v>0</v>
      </c>
      <c r="U153" s="101">
        <f t="shared" si="54"/>
        <v>0</v>
      </c>
      <c r="V153" s="101">
        <f t="shared" si="54"/>
        <v>0</v>
      </c>
      <c r="W153" s="101">
        <f t="shared" si="54"/>
        <v>0</v>
      </c>
      <c r="X153" s="101">
        <f t="shared" si="54"/>
        <v>0</v>
      </c>
      <c r="Y153" s="101">
        <f t="shared" si="54"/>
        <v>0</v>
      </c>
      <c r="Z153" s="101">
        <f t="shared" si="54"/>
        <v>0</v>
      </c>
      <c r="AA153" s="101">
        <f t="shared" si="54"/>
        <v>0</v>
      </c>
      <c r="AB153" s="101">
        <f t="shared" si="54"/>
        <v>0</v>
      </c>
      <c r="AC153" s="101">
        <f t="shared" si="54"/>
        <v>0</v>
      </c>
      <c r="AD153" s="101">
        <f t="shared" si="54"/>
        <v>0</v>
      </c>
      <c r="AE153" s="101">
        <f t="shared" si="54"/>
        <v>0</v>
      </c>
      <c r="AF153" s="101">
        <f t="shared" si="54"/>
        <v>0</v>
      </c>
      <c r="AG153" s="101">
        <f t="shared" si="54"/>
        <v>0</v>
      </c>
      <c r="AH153" s="101">
        <f t="shared" si="54"/>
        <v>0</v>
      </c>
      <c r="AI153" s="101">
        <f t="shared" si="54"/>
        <v>0</v>
      </c>
      <c r="AJ153" s="101">
        <f t="shared" si="54"/>
        <v>0</v>
      </c>
      <c r="AK153" s="101">
        <f t="shared" si="54"/>
        <v>0</v>
      </c>
      <c r="AL153" s="101">
        <f t="shared" si="54"/>
        <v>0</v>
      </c>
      <c r="AM153" s="101">
        <f t="shared" si="54"/>
        <v>0</v>
      </c>
      <c r="AN153" s="101">
        <f t="shared" si="54"/>
        <v>0</v>
      </c>
      <c r="AO153" s="101">
        <f t="shared" si="54"/>
        <v>0</v>
      </c>
      <c r="AP153" s="101">
        <f t="shared" si="54"/>
        <v>0</v>
      </c>
    </row>
    <row r="154" spans="3:44" x14ac:dyDescent="0.25">
      <c r="C154" s="91"/>
      <c r="F154" t="s">
        <v>234</v>
      </c>
      <c r="G154" t="s">
        <v>328</v>
      </c>
      <c r="J154" s="101">
        <f t="shared" ref="J154:AP154" si="55">IF(J$129 = 0, 0, J122 / J$129)</f>
        <v>0</v>
      </c>
      <c r="K154" s="101">
        <f t="shared" si="55"/>
        <v>0</v>
      </c>
      <c r="L154" s="101">
        <f t="shared" si="55"/>
        <v>0</v>
      </c>
      <c r="M154" s="101">
        <f t="shared" si="55"/>
        <v>0</v>
      </c>
      <c r="N154" s="101">
        <f t="shared" si="55"/>
        <v>0</v>
      </c>
      <c r="O154" s="101">
        <f t="shared" si="55"/>
        <v>0</v>
      </c>
      <c r="P154" s="101">
        <f t="shared" si="55"/>
        <v>0</v>
      </c>
      <c r="Q154" s="101">
        <f t="shared" si="55"/>
        <v>0</v>
      </c>
      <c r="R154" s="101">
        <f t="shared" si="55"/>
        <v>0</v>
      </c>
      <c r="S154" s="101">
        <f t="shared" si="55"/>
        <v>0</v>
      </c>
      <c r="T154" s="101">
        <f t="shared" si="55"/>
        <v>0</v>
      </c>
      <c r="U154" s="101">
        <f t="shared" si="55"/>
        <v>0</v>
      </c>
      <c r="V154" s="101">
        <f t="shared" si="55"/>
        <v>0</v>
      </c>
      <c r="W154" s="101">
        <f t="shared" si="55"/>
        <v>0</v>
      </c>
      <c r="X154" s="101">
        <f t="shared" si="55"/>
        <v>0</v>
      </c>
      <c r="Y154" s="101">
        <f t="shared" si="55"/>
        <v>0</v>
      </c>
      <c r="Z154" s="101">
        <f t="shared" si="55"/>
        <v>0</v>
      </c>
      <c r="AA154" s="101">
        <f t="shared" si="55"/>
        <v>0</v>
      </c>
      <c r="AB154" s="101">
        <f t="shared" si="55"/>
        <v>0</v>
      </c>
      <c r="AC154" s="101">
        <f t="shared" si="55"/>
        <v>0</v>
      </c>
      <c r="AD154" s="101">
        <f t="shared" si="55"/>
        <v>0</v>
      </c>
      <c r="AE154" s="101">
        <f t="shared" si="55"/>
        <v>0</v>
      </c>
      <c r="AF154" s="101">
        <f t="shared" si="55"/>
        <v>0</v>
      </c>
      <c r="AG154" s="101">
        <f t="shared" si="55"/>
        <v>0</v>
      </c>
      <c r="AH154" s="101">
        <f t="shared" si="55"/>
        <v>0</v>
      </c>
      <c r="AI154" s="101">
        <f t="shared" si="55"/>
        <v>0</v>
      </c>
      <c r="AJ154" s="101">
        <f t="shared" si="55"/>
        <v>0</v>
      </c>
      <c r="AK154" s="101">
        <f t="shared" si="55"/>
        <v>0</v>
      </c>
      <c r="AL154" s="101">
        <f t="shared" si="55"/>
        <v>0</v>
      </c>
      <c r="AM154" s="101">
        <f t="shared" si="55"/>
        <v>0</v>
      </c>
      <c r="AN154" s="101">
        <f t="shared" si="55"/>
        <v>0</v>
      </c>
      <c r="AO154" s="101">
        <f t="shared" si="55"/>
        <v>0</v>
      </c>
      <c r="AP154" s="101">
        <f t="shared" si="55"/>
        <v>0</v>
      </c>
    </row>
    <row r="155" spans="3:44" x14ac:dyDescent="0.25">
      <c r="C155" s="91"/>
      <c r="F155" t="s">
        <v>235</v>
      </c>
      <c r="G155" t="s">
        <v>328</v>
      </c>
      <c r="J155" s="101">
        <f t="shared" ref="J155:AP155" si="56">IF(J$129 = 0, 0, J123 / J$129)</f>
        <v>3.2068555475364202</v>
      </c>
      <c r="K155" s="101">
        <f t="shared" si="56"/>
        <v>3.2068555475364202</v>
      </c>
      <c r="L155" s="101">
        <f t="shared" si="56"/>
        <v>0</v>
      </c>
      <c r="M155" s="101">
        <f t="shared" si="56"/>
        <v>3.2068555475364202</v>
      </c>
      <c r="N155" s="101">
        <f t="shared" si="56"/>
        <v>3.2068555475364202</v>
      </c>
      <c r="O155" s="101">
        <f t="shared" si="56"/>
        <v>0</v>
      </c>
      <c r="P155" s="101">
        <f t="shared" si="56"/>
        <v>55.929727361215114</v>
      </c>
      <c r="Q155" s="101">
        <f t="shared" si="56"/>
        <v>0</v>
      </c>
      <c r="R155" s="101">
        <f t="shared" si="56"/>
        <v>0</v>
      </c>
      <c r="S155" s="101">
        <f t="shared" si="56"/>
        <v>3.2068555475364202</v>
      </c>
      <c r="T155" s="101">
        <f t="shared" si="56"/>
        <v>3.2068555475364202</v>
      </c>
      <c r="U155" s="101">
        <f t="shared" si="56"/>
        <v>0</v>
      </c>
      <c r="V155" s="101">
        <f t="shared" si="56"/>
        <v>0</v>
      </c>
      <c r="W155" s="101">
        <f t="shared" si="56"/>
        <v>0</v>
      </c>
      <c r="X155" s="101">
        <f t="shared" si="56"/>
        <v>0</v>
      </c>
      <c r="Y155" s="101">
        <f t="shared" si="56"/>
        <v>0</v>
      </c>
      <c r="Z155" s="101">
        <f t="shared" si="56"/>
        <v>0</v>
      </c>
      <c r="AA155" s="101">
        <f t="shared" si="56"/>
        <v>0</v>
      </c>
      <c r="AB155" s="101">
        <f t="shared" si="56"/>
        <v>0</v>
      </c>
      <c r="AC155" s="101">
        <f t="shared" si="56"/>
        <v>0</v>
      </c>
      <c r="AD155" s="101">
        <f t="shared" si="56"/>
        <v>0</v>
      </c>
      <c r="AE155" s="101">
        <f t="shared" si="56"/>
        <v>0</v>
      </c>
      <c r="AF155" s="101">
        <f t="shared" si="56"/>
        <v>0</v>
      </c>
      <c r="AG155" s="101">
        <f t="shared" si="56"/>
        <v>0</v>
      </c>
      <c r="AH155" s="101">
        <f t="shared" si="56"/>
        <v>0</v>
      </c>
      <c r="AI155" s="101">
        <f t="shared" si="56"/>
        <v>0</v>
      </c>
      <c r="AJ155" s="101">
        <f t="shared" si="56"/>
        <v>0</v>
      </c>
      <c r="AK155" s="101">
        <f t="shared" si="56"/>
        <v>0</v>
      </c>
      <c r="AL155" s="101">
        <f t="shared" si="56"/>
        <v>0</v>
      </c>
      <c r="AM155" s="101">
        <f t="shared" si="56"/>
        <v>0</v>
      </c>
      <c r="AN155" s="101">
        <f t="shared" si="56"/>
        <v>0</v>
      </c>
      <c r="AO155" s="101">
        <f t="shared" si="56"/>
        <v>0</v>
      </c>
      <c r="AP155" s="101">
        <f t="shared" si="56"/>
        <v>0</v>
      </c>
    </row>
    <row r="156" spans="3:44" x14ac:dyDescent="0.25">
      <c r="C156" s="91"/>
      <c r="D156"/>
      <c r="F156" s="23" t="s">
        <v>436</v>
      </c>
      <c r="G156" s="23" t="s">
        <v>328</v>
      </c>
      <c r="H156" s="23"/>
      <c r="I156" s="23"/>
      <c r="J156" s="129">
        <f t="shared" ref="J156:AP156" si="57">J55</f>
        <v>3.3750871163650373</v>
      </c>
      <c r="K156" s="129">
        <f t="shared" si="57"/>
        <v>3.3750871163650373</v>
      </c>
      <c r="L156" s="129">
        <f t="shared" si="57"/>
        <v>0</v>
      </c>
      <c r="M156" s="129">
        <f t="shared" si="57"/>
        <v>6.1487913968736496</v>
      </c>
      <c r="N156" s="129">
        <f t="shared" si="57"/>
        <v>6.1487913968736496</v>
      </c>
      <c r="O156" s="129">
        <f t="shared" si="57"/>
        <v>0</v>
      </c>
      <c r="P156" s="129">
        <f t="shared" si="57"/>
        <v>24.060147793224598</v>
      </c>
      <c r="Q156" s="129">
        <f t="shared" si="57"/>
        <v>50.973932528541532</v>
      </c>
      <c r="R156" s="129">
        <f t="shared" si="57"/>
        <v>0</v>
      </c>
      <c r="S156" s="129">
        <f t="shared" si="57"/>
        <v>3.3750871163650373</v>
      </c>
      <c r="T156" s="129">
        <f t="shared" si="57"/>
        <v>6.1487913968736496</v>
      </c>
      <c r="U156" s="129">
        <f t="shared" si="57"/>
        <v>26.853541752552729</v>
      </c>
      <c r="V156" s="129">
        <f t="shared" si="57"/>
        <v>50.973932528541532</v>
      </c>
      <c r="W156" s="129">
        <f t="shared" si="57"/>
        <v>0</v>
      </c>
      <c r="X156" s="129">
        <f t="shared" si="57"/>
        <v>0</v>
      </c>
      <c r="Y156" s="129">
        <f t="shared" si="57"/>
        <v>0</v>
      </c>
      <c r="Z156" s="129">
        <f t="shared" si="57"/>
        <v>0</v>
      </c>
      <c r="AA156" s="129">
        <f t="shared" si="57"/>
        <v>0</v>
      </c>
      <c r="AB156" s="129">
        <f t="shared" si="57"/>
        <v>0</v>
      </c>
      <c r="AC156" s="129">
        <f t="shared" si="57"/>
        <v>0</v>
      </c>
      <c r="AD156" s="129">
        <f t="shared" si="57"/>
        <v>0</v>
      </c>
      <c r="AE156" s="129">
        <f t="shared" si="57"/>
        <v>0</v>
      </c>
      <c r="AF156" s="129">
        <f t="shared" si="57"/>
        <v>0</v>
      </c>
      <c r="AG156" s="129">
        <f t="shared" si="57"/>
        <v>0</v>
      </c>
      <c r="AH156" s="129">
        <f t="shared" si="57"/>
        <v>0</v>
      </c>
      <c r="AI156" s="129">
        <f t="shared" si="57"/>
        <v>0</v>
      </c>
      <c r="AJ156" s="129">
        <f t="shared" si="57"/>
        <v>0</v>
      </c>
      <c r="AK156" s="129">
        <f t="shared" si="57"/>
        <v>0</v>
      </c>
      <c r="AL156" s="129">
        <f t="shared" si="57"/>
        <v>0</v>
      </c>
      <c r="AM156" s="129">
        <f t="shared" si="57"/>
        <v>0</v>
      </c>
      <c r="AN156" s="129">
        <f t="shared" si="57"/>
        <v>0</v>
      </c>
      <c r="AO156" s="129">
        <f t="shared" si="57"/>
        <v>0</v>
      </c>
      <c r="AP156" s="129">
        <f t="shared" si="57"/>
        <v>0</v>
      </c>
    </row>
    <row r="157" spans="3:44" x14ac:dyDescent="0.25">
      <c r="C157" s="91"/>
      <c r="D157"/>
      <c r="F157" s="37" t="s">
        <v>437</v>
      </c>
      <c r="G157" s="37" t="s">
        <v>328</v>
      </c>
      <c r="H157" s="37"/>
      <c r="I157" s="37"/>
      <c r="J157" s="103">
        <f t="shared" ref="J157:AP157" si="58">J56</f>
        <v>0</v>
      </c>
      <c r="K157" s="103">
        <f t="shared" si="58"/>
        <v>0</v>
      </c>
      <c r="L157" s="103">
        <f t="shared" si="58"/>
        <v>0</v>
      </c>
      <c r="M157" s="103">
        <f t="shared" si="58"/>
        <v>0</v>
      </c>
      <c r="N157" s="103">
        <f t="shared" si="58"/>
        <v>0</v>
      </c>
      <c r="O157" s="103">
        <f t="shared" si="58"/>
        <v>0</v>
      </c>
      <c r="P157" s="103">
        <f t="shared" si="58"/>
        <v>0</v>
      </c>
      <c r="Q157" s="103">
        <f t="shared" si="58"/>
        <v>0</v>
      </c>
      <c r="R157" s="103">
        <f t="shared" si="58"/>
        <v>298.7414348318261</v>
      </c>
      <c r="S157" s="103">
        <f t="shared" si="58"/>
        <v>0</v>
      </c>
      <c r="T157" s="103">
        <f t="shared" si="58"/>
        <v>0</v>
      </c>
      <c r="U157" s="103">
        <f t="shared" si="58"/>
        <v>0</v>
      </c>
      <c r="V157" s="103">
        <f t="shared" si="58"/>
        <v>0</v>
      </c>
      <c r="W157" s="103">
        <f t="shared" si="58"/>
        <v>298.7414348318261</v>
      </c>
      <c r="X157" s="103">
        <f t="shared" si="58"/>
        <v>0</v>
      </c>
      <c r="Y157" s="103">
        <f t="shared" si="58"/>
        <v>0</v>
      </c>
      <c r="Z157" s="103">
        <f t="shared" si="58"/>
        <v>0</v>
      </c>
      <c r="AA157" s="103">
        <f t="shared" si="58"/>
        <v>0</v>
      </c>
      <c r="AB157" s="103">
        <f t="shared" si="58"/>
        <v>0</v>
      </c>
      <c r="AC157" s="103">
        <f t="shared" si="58"/>
        <v>0</v>
      </c>
      <c r="AD157" s="103">
        <f t="shared" si="58"/>
        <v>0</v>
      </c>
      <c r="AE157" s="103">
        <f t="shared" si="58"/>
        <v>0</v>
      </c>
      <c r="AF157" s="103">
        <f t="shared" si="58"/>
        <v>0</v>
      </c>
      <c r="AG157" s="103">
        <f t="shared" si="58"/>
        <v>0</v>
      </c>
      <c r="AH157" s="103">
        <f t="shared" si="58"/>
        <v>0</v>
      </c>
      <c r="AI157" s="103">
        <f t="shared" si="58"/>
        <v>0</v>
      </c>
      <c r="AJ157" s="103">
        <f t="shared" si="58"/>
        <v>0</v>
      </c>
      <c r="AK157" s="103">
        <f t="shared" si="58"/>
        <v>0</v>
      </c>
      <c r="AL157" s="103">
        <f t="shared" si="58"/>
        <v>0</v>
      </c>
      <c r="AM157" s="103">
        <f t="shared" si="58"/>
        <v>414.58577923888919</v>
      </c>
      <c r="AN157" s="103">
        <f t="shared" si="58"/>
        <v>414.58577923888919</v>
      </c>
      <c r="AO157" s="103">
        <f t="shared" si="58"/>
        <v>414.58577923888919</v>
      </c>
      <c r="AP157" s="103">
        <f t="shared" si="58"/>
        <v>414.58577923888919</v>
      </c>
    </row>
    <row r="158" spans="3:44" x14ac:dyDescent="0.25">
      <c r="C158" s="91"/>
      <c r="J158" s="92"/>
      <c r="K158" s="92"/>
      <c r="L158" s="92"/>
      <c r="M158" s="92"/>
      <c r="N158" s="92"/>
      <c r="O158" s="92"/>
      <c r="P158" s="92"/>
      <c r="Q158" s="92"/>
      <c r="R158" s="92"/>
      <c r="S158" s="92"/>
      <c r="T158" s="92"/>
      <c r="U158" s="92"/>
      <c r="V158" s="92"/>
      <c r="W158" s="92"/>
      <c r="X158" s="92"/>
      <c r="Y158" s="92"/>
      <c r="Z158" s="92"/>
      <c r="AA158" s="92"/>
      <c r="AB158" s="92"/>
      <c r="AC158" s="92"/>
      <c r="AD158" s="92"/>
      <c r="AE158" s="92"/>
      <c r="AF158" s="92"/>
      <c r="AG158" s="92"/>
      <c r="AH158" s="92"/>
      <c r="AI158" s="92"/>
      <c r="AJ158" s="92"/>
      <c r="AK158" s="92"/>
      <c r="AL158" s="92"/>
      <c r="AM158" s="92"/>
      <c r="AN158" s="92"/>
      <c r="AO158" s="92"/>
      <c r="AP158" s="92"/>
    </row>
    <row r="159" spans="3:44" x14ac:dyDescent="0.25">
      <c r="C159" s="31" t="str">
        <f ca="1">INDEX('Version control'!$H$34:$H$56,MATCH($A$1,'Version control'!$F$34:$F$56,0),1)&amp;"-H: Aggregated fixed charges"</f>
        <v>Section 114-H: Aggregated fixed charges</v>
      </c>
      <c r="D159" s="31"/>
      <c r="E159" s="31"/>
      <c r="F159" s="31"/>
      <c r="G159" s="31"/>
      <c r="H159" s="31"/>
      <c r="I159" s="31"/>
      <c r="J159" s="93"/>
      <c r="K159" s="93"/>
      <c r="L159" s="93"/>
      <c r="M159" s="93"/>
      <c r="N159" s="93"/>
      <c r="O159" s="93"/>
      <c r="P159" s="93"/>
      <c r="Q159" s="93"/>
      <c r="R159" s="93"/>
      <c r="S159" s="93"/>
      <c r="T159" s="93"/>
      <c r="U159" s="93"/>
      <c r="V159" s="93"/>
      <c r="W159" s="93"/>
      <c r="X159" s="93"/>
      <c r="Y159" s="93"/>
      <c r="Z159" s="93"/>
      <c r="AA159" s="93"/>
      <c r="AB159" s="93"/>
      <c r="AC159" s="93"/>
      <c r="AD159" s="93"/>
      <c r="AE159" s="93"/>
      <c r="AF159" s="93"/>
      <c r="AG159" s="93"/>
      <c r="AH159" s="93"/>
      <c r="AI159" s="93"/>
      <c r="AJ159" s="93"/>
      <c r="AK159" s="93"/>
      <c r="AL159" s="93"/>
      <c r="AM159" s="93"/>
      <c r="AN159" s="93"/>
      <c r="AO159" s="93"/>
      <c r="AP159" s="93"/>
      <c r="AQ159" s="31"/>
      <c r="AR159" s="31"/>
    </row>
    <row r="160" spans="3:44" x14ac:dyDescent="0.25">
      <c r="C160" s="91"/>
      <c r="J160" s="92"/>
      <c r="K160" s="92"/>
      <c r="L160" s="92"/>
      <c r="M160" s="92"/>
      <c r="N160" s="92"/>
      <c r="O160" s="92"/>
      <c r="P160" s="92"/>
      <c r="Q160" s="92"/>
      <c r="R160" s="92"/>
      <c r="S160" s="92"/>
      <c r="T160" s="92"/>
      <c r="U160" s="92"/>
      <c r="V160" s="92"/>
      <c r="W160" s="92"/>
      <c r="X160" s="92"/>
      <c r="Y160" s="92"/>
      <c r="Z160" s="92"/>
      <c r="AA160" s="92"/>
      <c r="AB160" s="92"/>
      <c r="AC160" s="92"/>
      <c r="AD160" s="92"/>
      <c r="AE160" s="92"/>
      <c r="AF160" s="92"/>
      <c r="AG160" s="92"/>
      <c r="AH160" s="92"/>
      <c r="AI160" s="92"/>
      <c r="AJ160" s="92"/>
      <c r="AK160" s="92"/>
      <c r="AL160" s="92"/>
      <c r="AM160" s="92"/>
      <c r="AN160" s="92"/>
      <c r="AO160" s="92"/>
      <c r="AP160" s="92"/>
    </row>
    <row r="161" spans="2:44" x14ac:dyDescent="0.25">
      <c r="E161" t="s">
        <v>195</v>
      </c>
      <c r="G161" t="s">
        <v>328</v>
      </c>
      <c r="J161" s="124">
        <f t="shared" ref="J161:AP161" si="59">SUM(J132:J143,J146:J157)</f>
        <v>6.7190234897470793</v>
      </c>
      <c r="K161" s="124">
        <f t="shared" si="59"/>
        <v>6.7190234897470793</v>
      </c>
      <c r="L161" s="124">
        <f t="shared" si="59"/>
        <v>0</v>
      </c>
      <c r="M161" s="124">
        <f t="shared" si="59"/>
        <v>9.4927277702556907</v>
      </c>
      <c r="N161" s="124">
        <f t="shared" si="59"/>
        <v>9.4927277702556907</v>
      </c>
      <c r="O161" s="124">
        <f t="shared" si="59"/>
        <v>0</v>
      </c>
      <c r="P161" s="124">
        <f t="shared" si="59"/>
        <v>82.380657371582515</v>
      </c>
      <c r="Q161" s="124">
        <f t="shared" si="59"/>
        <v>50.973932528541532</v>
      </c>
      <c r="R161" s="124">
        <f t="shared" si="59"/>
        <v>2503.0647914127785</v>
      </c>
      <c r="S161" s="124">
        <f t="shared" si="59"/>
        <v>6.7190234897470793</v>
      </c>
      <c r="T161" s="124">
        <f t="shared" si="59"/>
        <v>9.4927277702556907</v>
      </c>
      <c r="U161" s="124">
        <f t="shared" si="59"/>
        <v>26.853541752552729</v>
      </c>
      <c r="V161" s="124">
        <f t="shared" si="59"/>
        <v>50.973932528541532</v>
      </c>
      <c r="W161" s="124">
        <f t="shared" si="59"/>
        <v>298.7414348318261</v>
      </c>
      <c r="X161" s="124">
        <f t="shared" si="59"/>
        <v>0</v>
      </c>
      <c r="Y161" s="124">
        <f t="shared" si="59"/>
        <v>0</v>
      </c>
      <c r="Z161" s="124">
        <f t="shared" si="59"/>
        <v>0</v>
      </c>
      <c r="AA161" s="124">
        <f t="shared" si="59"/>
        <v>0</v>
      </c>
      <c r="AB161" s="124">
        <f t="shared" si="59"/>
        <v>0</v>
      </c>
      <c r="AC161" s="124">
        <f t="shared" si="59"/>
        <v>0</v>
      </c>
      <c r="AD161" s="124">
        <f t="shared" si="59"/>
        <v>0</v>
      </c>
      <c r="AE161" s="124">
        <f t="shared" si="59"/>
        <v>0</v>
      </c>
      <c r="AF161" s="124">
        <f t="shared" si="59"/>
        <v>0</v>
      </c>
      <c r="AG161" s="124">
        <f t="shared" si="59"/>
        <v>0</v>
      </c>
      <c r="AH161" s="124">
        <f t="shared" si="59"/>
        <v>0</v>
      </c>
      <c r="AI161" s="124">
        <f t="shared" si="59"/>
        <v>0</v>
      </c>
      <c r="AJ161" s="124">
        <f t="shared" si="59"/>
        <v>0</v>
      </c>
      <c r="AK161" s="124">
        <f t="shared" si="59"/>
        <v>0</v>
      </c>
      <c r="AL161" s="124">
        <f t="shared" si="59"/>
        <v>0</v>
      </c>
      <c r="AM161" s="124">
        <f t="shared" si="59"/>
        <v>414.58577923888919</v>
      </c>
      <c r="AN161" s="124">
        <f t="shared" si="59"/>
        <v>414.58577923888919</v>
      </c>
      <c r="AO161" s="124">
        <f t="shared" si="59"/>
        <v>414.58577923888919</v>
      </c>
      <c r="AP161" s="124">
        <f t="shared" si="59"/>
        <v>414.58577923888919</v>
      </c>
    </row>
    <row r="163" spans="2:44" x14ac:dyDescent="0.25">
      <c r="B163" s="30" t="s">
        <v>280</v>
      </c>
      <c r="C163" s="30"/>
      <c r="D163" s="30"/>
      <c r="E163" s="30"/>
      <c r="F163" s="30"/>
      <c r="G163" s="30"/>
      <c r="H163" s="30"/>
      <c r="I163" s="30"/>
      <c r="J163" s="30"/>
      <c r="K163" s="30"/>
      <c r="L163" s="30"/>
      <c r="M163" s="30"/>
      <c r="N163" s="30"/>
      <c r="O163" s="30"/>
      <c r="P163" s="30"/>
      <c r="Q163" s="30"/>
      <c r="R163" s="30"/>
      <c r="S163" s="30"/>
      <c r="T163" s="30"/>
      <c r="U163" s="30"/>
      <c r="V163" s="30"/>
      <c r="W163" s="30"/>
      <c r="X163" s="30"/>
      <c r="Y163" s="30"/>
      <c r="Z163" s="30"/>
      <c r="AA163" s="30"/>
      <c r="AB163" s="30"/>
      <c r="AC163" s="30"/>
      <c r="AD163" s="30"/>
      <c r="AE163" s="30"/>
      <c r="AF163" s="30"/>
      <c r="AG163" s="30"/>
      <c r="AH163" s="30"/>
      <c r="AI163" s="30"/>
      <c r="AJ163" s="30"/>
      <c r="AK163" s="30"/>
      <c r="AL163" s="30"/>
      <c r="AM163" s="30"/>
      <c r="AN163" s="30"/>
      <c r="AO163" s="30"/>
      <c r="AP163" s="30"/>
      <c r="AQ163" s="30"/>
      <c r="AR163" s="30"/>
    </row>
    <row r="165" spans="2:44" x14ac:dyDescent="0.25">
      <c r="C165" s="91"/>
      <c r="E165" t="s">
        <v>281</v>
      </c>
      <c r="G165" s="6" t="s">
        <v>56</v>
      </c>
      <c r="H165" s="26">
        <f t="array" ref="H165">SUM(IF(ISERROR(H18:AP161), 1))</f>
        <v>0</v>
      </c>
    </row>
    <row r="167" spans="2:44" x14ac:dyDescent="0.25">
      <c r="B167" s="30" t="s">
        <v>107</v>
      </c>
      <c r="C167" s="30"/>
      <c r="D167" s="30"/>
      <c r="E167" s="30"/>
      <c r="F167" s="30"/>
      <c r="G167" s="30"/>
      <c r="H167" s="30"/>
      <c r="I167" s="30"/>
      <c r="J167" s="30"/>
      <c r="K167" s="30"/>
      <c r="L167" s="30"/>
      <c r="M167" s="30"/>
      <c r="N167" s="30"/>
      <c r="O167" s="30"/>
      <c r="P167" s="30"/>
      <c r="Q167" s="30"/>
      <c r="R167" s="30"/>
      <c r="S167" s="30"/>
      <c r="T167" s="30"/>
      <c r="U167" s="30"/>
      <c r="V167" s="30"/>
      <c r="W167" s="30"/>
      <c r="X167" s="30"/>
      <c r="Y167" s="30"/>
      <c r="Z167" s="30"/>
      <c r="AA167" s="30"/>
      <c r="AB167" s="30"/>
      <c r="AC167" s="30"/>
      <c r="AD167" s="30"/>
      <c r="AE167" s="30"/>
      <c r="AF167" s="30"/>
      <c r="AG167" s="30"/>
      <c r="AH167" s="30"/>
      <c r="AI167" s="30"/>
      <c r="AJ167" s="30"/>
      <c r="AK167" s="30"/>
      <c r="AL167" s="30"/>
      <c r="AM167" s="30"/>
      <c r="AN167" s="30"/>
      <c r="AO167" s="30"/>
      <c r="AP167" s="30"/>
      <c r="AQ167" s="30"/>
      <c r="AR167" s="30"/>
    </row>
    <row r="169" spans="2:44" x14ac:dyDescent="0.25">
      <c r="C169" s="91"/>
    </row>
  </sheetData>
  <sheetProtection sheet="1" objects="1" formatCells="0" formatColumns="0" formatRows="0" sort="0" autoFilter="0"/>
  <conditionalFormatting sqref="H165">
    <cfRule type="cellIs" dxfId="14" priority="2" operator="greaterThan">
      <formula>0</formula>
    </cfRule>
  </conditionalFormatting>
  <conditionalFormatting sqref="A4:XFD4">
    <cfRule type="expression" dxfId="13"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tabColor theme="4" tint="0.59999389629810485"/>
    <pageSetUpPr fitToPage="1"/>
  </sheetPr>
  <dimension ref="A1:NX158"/>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outlineLevelRow="1" x14ac:dyDescent="0.25"/>
  <cols>
    <col min="1" max="3" width="2.5703125" customWidth="1"/>
    <col min="4" max="5" width="2.5703125" style="2" customWidth="1"/>
    <col min="6" max="6" width="59.5703125" customWidth="1"/>
    <col min="7" max="8" width="20.5703125" customWidth="1"/>
    <col min="9" max="9" width="2.42578125" customWidth="1"/>
    <col min="10" max="109" width="17" customWidth="1"/>
    <col min="110" max="110" width="2.42578125" customWidth="1"/>
    <col min="111" max="111" width="50.5703125" customWidth="1"/>
    <col min="112" max="112" width="2.42578125" customWidth="1"/>
    <col min="113" max="113" width="24.5703125" hidden="1" customWidth="1"/>
    <col min="114" max="114" width="3.5703125" hidden="1" customWidth="1"/>
    <col min="115" max="115" width="15.42578125" hidden="1" customWidth="1"/>
    <col min="116" max="388" width="24.5703125" hidden="1" customWidth="1"/>
    <col min="389" max="16384" width="8.5703125" hidden="1"/>
  </cols>
  <sheetData>
    <row r="1" spans="1:111" s="1" customFormat="1" x14ac:dyDescent="0.25">
      <c r="A1" s="1" t="str">
        <f ca="1">MID(CELL("filename",A1),FIND("]",CELL("filename",A1))+1,255)</f>
        <v>Revenue matching</v>
      </c>
    </row>
    <row r="2" spans="1:111" s="1" customFormat="1" x14ac:dyDescent="0.25">
      <c r="A2" s="1" t="str">
        <f>Cover!D21&amp;" - "&amp;Cover!D23</f>
        <v>SHEPD  - Final</v>
      </c>
    </row>
    <row r="3" spans="1:111" s="5" customFormat="1" x14ac:dyDescent="0.25">
      <c r="A3" s="5" t="str">
        <f>Cover!D2&amp;" - "&amp;Cover!D8&amp;" v"&amp;Cover!D10&amp;" - "&amp;Cover!D19</f>
        <v>CDCM charging model - Release for charge setting v3 - 2020/21</v>
      </c>
    </row>
    <row r="4" spans="1:111" x14ac:dyDescent="0.25">
      <c r="A4" s="12" t="str">
        <f>H156 &amp; IF(H156 = 1, " issue", " issues") &amp;" identified in checks on this sheet"</f>
        <v>0 issues identified in checks on this sheet</v>
      </c>
      <c r="B4" s="13"/>
      <c r="C4" s="13"/>
      <c r="D4" s="13"/>
      <c r="E4" s="13"/>
      <c r="F4" s="13"/>
      <c r="G4" s="13"/>
      <c r="H4" s="14"/>
      <c r="I4" s="14"/>
      <c r="J4" s="13"/>
    </row>
    <row r="5" spans="1:111" ht="60" x14ac:dyDescent="0.25">
      <c r="B5" s="59" t="s">
        <v>145</v>
      </c>
      <c r="C5" s="60"/>
      <c r="D5" s="60"/>
      <c r="E5" s="60"/>
      <c r="F5" s="60"/>
      <c r="G5" s="60" t="s">
        <v>146</v>
      </c>
      <c r="H5" s="117" t="s">
        <v>147</v>
      </c>
      <c r="J5" s="117" t="s">
        <v>148</v>
      </c>
      <c r="K5" s="117" t="s">
        <v>149</v>
      </c>
      <c r="L5" s="117" t="s">
        <v>150</v>
      </c>
      <c r="M5" s="117" t="s">
        <v>151</v>
      </c>
      <c r="N5" s="117" t="s">
        <v>152</v>
      </c>
      <c r="O5" s="117" t="s">
        <v>153</v>
      </c>
      <c r="P5" s="117" t="s">
        <v>154</v>
      </c>
      <c r="Q5" s="117" t="s">
        <v>155</v>
      </c>
      <c r="R5" s="117" t="s">
        <v>156</v>
      </c>
      <c r="S5" s="117" t="s">
        <v>157</v>
      </c>
      <c r="T5" s="117" t="s">
        <v>158</v>
      </c>
      <c r="U5" s="117" t="s">
        <v>159</v>
      </c>
      <c r="V5" s="117" t="s">
        <v>160</v>
      </c>
      <c r="W5" s="117" t="s">
        <v>161</v>
      </c>
      <c r="X5" s="117" t="s">
        <v>162</v>
      </c>
      <c r="Y5" s="117" t="s">
        <v>163</v>
      </c>
      <c r="Z5" s="117" t="s">
        <v>164</v>
      </c>
      <c r="AA5" s="117" t="s">
        <v>165</v>
      </c>
      <c r="AB5" s="117" t="s">
        <v>166</v>
      </c>
      <c r="AC5" s="117" t="s">
        <v>167</v>
      </c>
      <c r="AD5" s="117" t="s">
        <v>168</v>
      </c>
      <c r="AE5" s="117" t="s">
        <v>169</v>
      </c>
      <c r="AF5" s="117" t="s">
        <v>170</v>
      </c>
      <c r="AG5" s="117" t="s">
        <v>171</v>
      </c>
      <c r="AH5" s="117" t="s">
        <v>172</v>
      </c>
      <c r="AI5" s="117" t="s">
        <v>173</v>
      </c>
      <c r="AJ5" s="117" t="s">
        <v>174</v>
      </c>
      <c r="AK5" s="117" t="s">
        <v>175</v>
      </c>
      <c r="AL5" s="117" t="s">
        <v>176</v>
      </c>
      <c r="AM5" s="117" t="s">
        <v>177</v>
      </c>
      <c r="AN5" s="117" t="s">
        <v>178</v>
      </c>
      <c r="AO5" s="117" t="s">
        <v>179</v>
      </c>
      <c r="AP5" s="117" t="s">
        <v>180</v>
      </c>
      <c r="DG5" s="61" t="s">
        <v>181</v>
      </c>
    </row>
    <row r="6" spans="1:111" x14ac:dyDescent="0.25">
      <c r="C6" s="91"/>
    </row>
    <row r="7" spans="1:111"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c r="CV7" s="108"/>
      <c r="CW7" s="108"/>
      <c r="CX7" s="108"/>
      <c r="CY7" s="108"/>
      <c r="CZ7" s="108"/>
      <c r="DA7" s="108"/>
      <c r="DB7" s="108"/>
      <c r="DC7" s="108"/>
      <c r="DD7" s="108"/>
      <c r="DE7" s="108"/>
      <c r="DF7" s="108"/>
      <c r="DG7" s="108"/>
    </row>
    <row r="9" spans="1:111" x14ac:dyDescent="0.25">
      <c r="D9" s="29" t="s">
        <v>855</v>
      </c>
    </row>
    <row r="10" spans="1:111" x14ac:dyDescent="0.25">
      <c r="D10" s="29" t="s">
        <v>856</v>
      </c>
      <c r="E10"/>
    </row>
    <row r="11" spans="1:111" x14ac:dyDescent="0.25">
      <c r="D11" s="29" t="s">
        <v>857</v>
      </c>
    </row>
    <row r="13" spans="1:111" x14ac:dyDescent="0.25">
      <c r="B13" s="30" t="s">
        <v>858</v>
      </c>
      <c r="C13" s="30"/>
      <c r="D13" s="30"/>
      <c r="E13" s="30"/>
      <c r="F13" s="30"/>
      <c r="G13" s="30"/>
      <c r="H13" s="30"/>
      <c r="I13" s="30"/>
      <c r="J13" s="30"/>
      <c r="K13" s="30"/>
      <c r="L13" s="30"/>
      <c r="M13" s="30"/>
      <c r="N13" s="30"/>
      <c r="O13" s="30"/>
      <c r="P13" s="30"/>
      <c r="Q13" s="30"/>
      <c r="R13" s="30"/>
      <c r="S13" s="30"/>
      <c r="T13" s="30"/>
      <c r="U13" s="30"/>
      <c r="V13" s="30"/>
      <c r="W13" s="30"/>
      <c r="X13" s="30"/>
      <c r="Y13" s="30"/>
      <c r="Z13" s="30"/>
      <c r="AA13" s="30"/>
      <c r="AB13" s="30"/>
      <c r="AC13" s="30"/>
      <c r="AD13" s="30"/>
      <c r="AE13" s="30"/>
      <c r="AF13" s="30"/>
      <c r="AG13" s="30"/>
      <c r="AH13" s="30"/>
      <c r="AI13" s="30"/>
      <c r="AJ13" s="30"/>
      <c r="AK13" s="30"/>
      <c r="AL13" s="30"/>
      <c r="AM13" s="30"/>
      <c r="AN13" s="30"/>
      <c r="AO13" s="30"/>
      <c r="AP13" s="30"/>
      <c r="AQ13" s="30"/>
      <c r="AR13" s="30"/>
      <c r="AS13" s="108"/>
      <c r="AT13" s="108"/>
      <c r="AU13" s="108"/>
      <c r="AV13" s="108"/>
      <c r="AW13" s="108"/>
      <c r="AX13" s="108"/>
      <c r="AY13" s="108"/>
      <c r="AZ13" s="108"/>
      <c r="BA13" s="108"/>
      <c r="BB13" s="108"/>
      <c r="BC13" s="108"/>
      <c r="BD13" s="108"/>
      <c r="BE13" s="108"/>
      <c r="BF13" s="108"/>
      <c r="BG13" s="108"/>
      <c r="BH13" s="108"/>
      <c r="BI13" s="108"/>
      <c r="BJ13" s="108"/>
      <c r="BK13" s="108"/>
      <c r="BL13" s="108"/>
      <c r="BM13" s="108"/>
      <c r="BN13" s="108"/>
      <c r="BO13" s="108"/>
      <c r="BP13" s="108"/>
      <c r="BQ13" s="108"/>
      <c r="BR13" s="108"/>
      <c r="BS13" s="108"/>
      <c r="BT13" s="108"/>
      <c r="BU13" s="108"/>
      <c r="BV13" s="108"/>
      <c r="BW13" s="108"/>
      <c r="BX13" s="108"/>
      <c r="BY13" s="108"/>
      <c r="BZ13" s="108"/>
      <c r="CA13" s="108"/>
      <c r="CB13" s="108"/>
      <c r="CC13" s="108"/>
      <c r="CD13" s="108"/>
      <c r="CE13" s="108"/>
      <c r="CF13" s="108"/>
      <c r="CG13" s="108"/>
      <c r="CH13" s="108"/>
      <c r="CI13" s="108"/>
      <c r="CJ13" s="108"/>
      <c r="CK13" s="108"/>
      <c r="CL13" s="108"/>
      <c r="CM13" s="108"/>
      <c r="CN13" s="108"/>
      <c r="CO13" s="108"/>
      <c r="CP13" s="108"/>
      <c r="CQ13" s="108"/>
      <c r="CR13" s="108"/>
      <c r="CS13" s="108"/>
      <c r="CT13" s="108"/>
      <c r="CU13" s="108"/>
      <c r="CV13" s="108"/>
      <c r="CW13" s="108"/>
      <c r="CX13" s="108"/>
      <c r="CY13" s="108"/>
      <c r="CZ13" s="108"/>
      <c r="DA13" s="108"/>
      <c r="DB13" s="108"/>
      <c r="DC13" s="108"/>
      <c r="DD13" s="108"/>
      <c r="DE13" s="108"/>
      <c r="DF13" s="108"/>
      <c r="DG13" s="108"/>
    </row>
    <row r="14" spans="1:111" x14ac:dyDescent="0.25">
      <c r="C14" s="91"/>
    </row>
    <row r="15" spans="1:111" x14ac:dyDescent="0.25">
      <c r="C15" s="31" t="str">
        <f ca="1">INDEX('Version control'!$H$34:$H$56,MATCH($A$1,'Version control'!$F$34:$F$56,0),1)&amp;"-A: Inputs to revenue matching"</f>
        <v>Section 115-A: Inputs to revenue matching</v>
      </c>
      <c r="D15" s="31"/>
      <c r="E15" s="31"/>
      <c r="F15" s="31"/>
      <c r="G15" s="31"/>
      <c r="H15" s="31"/>
      <c r="I15" s="31"/>
      <c r="J15" s="31"/>
      <c r="K15" s="31"/>
      <c r="L15" s="31"/>
      <c r="M15" s="31"/>
      <c r="N15" s="31"/>
      <c r="O15" s="31"/>
      <c r="P15" s="31"/>
      <c r="Q15" s="31"/>
      <c r="R15" s="31"/>
      <c r="S15" s="31"/>
      <c r="T15" s="31"/>
      <c r="U15" s="31"/>
      <c r="V15" s="31"/>
      <c r="W15" s="31"/>
      <c r="X15" s="31"/>
      <c r="Y15" s="31"/>
      <c r="Z15" s="31"/>
      <c r="AA15" s="31"/>
      <c r="AB15" s="31"/>
      <c r="AC15" s="31"/>
      <c r="AD15" s="31"/>
      <c r="AE15" s="31"/>
      <c r="AF15" s="31"/>
      <c r="AG15" s="31"/>
      <c r="AH15" s="31"/>
      <c r="AI15" s="31"/>
      <c r="AJ15" s="31"/>
      <c r="AK15" s="31"/>
      <c r="AL15" s="31"/>
      <c r="AM15" s="31"/>
      <c r="AN15" s="31"/>
      <c r="AO15" s="31"/>
      <c r="AP15" s="31"/>
      <c r="AQ15" s="31"/>
      <c r="AR15" s="31"/>
      <c r="AS15" s="31"/>
      <c r="AT15" s="31"/>
      <c r="AU15" s="31"/>
      <c r="AV15" s="31"/>
      <c r="AW15" s="31"/>
      <c r="AX15" s="31"/>
      <c r="AY15" s="31"/>
      <c r="AZ15" s="31"/>
      <c r="BA15" s="31"/>
      <c r="BB15" s="31"/>
      <c r="BC15" s="31"/>
      <c r="BD15" s="31"/>
      <c r="BE15" s="31"/>
      <c r="BF15" s="31"/>
      <c r="BG15" s="31"/>
      <c r="BH15" s="31"/>
      <c r="BI15" s="31"/>
      <c r="BJ15" s="31"/>
      <c r="BK15" s="31"/>
      <c r="BL15" s="31"/>
      <c r="BM15" s="31"/>
      <c r="BN15" s="31"/>
      <c r="BO15" s="31"/>
      <c r="BP15" s="31"/>
      <c r="BQ15" s="31"/>
      <c r="BR15" s="31"/>
      <c r="BS15" s="31"/>
      <c r="BT15" s="31"/>
      <c r="BU15" s="31"/>
      <c r="BV15" s="31"/>
      <c r="BW15" s="31"/>
      <c r="BX15" s="31"/>
      <c r="BY15" s="31"/>
      <c r="BZ15" s="31"/>
      <c r="CA15" s="31"/>
      <c r="CB15" s="31"/>
      <c r="CC15" s="31"/>
      <c r="CD15" s="31"/>
      <c r="CE15" s="31"/>
      <c r="CF15" s="31"/>
      <c r="CG15" s="31"/>
      <c r="CH15" s="31"/>
      <c r="CI15" s="31"/>
      <c r="CJ15" s="31"/>
      <c r="CK15" s="31"/>
      <c r="CL15" s="31"/>
      <c r="CM15" s="31"/>
      <c r="CN15" s="31"/>
      <c r="CO15" s="31"/>
      <c r="CP15" s="31"/>
      <c r="CQ15" s="31"/>
      <c r="CR15" s="31"/>
      <c r="CS15" s="31"/>
      <c r="CT15" s="31"/>
      <c r="CU15" s="31"/>
      <c r="CV15" s="31"/>
      <c r="CW15" s="31"/>
      <c r="CX15" s="31"/>
      <c r="CY15" s="31"/>
      <c r="CZ15" s="31"/>
      <c r="DA15" s="31"/>
      <c r="DB15" s="31"/>
      <c r="DC15" s="31"/>
      <c r="DD15" s="31"/>
      <c r="DE15" s="31"/>
      <c r="DF15" s="31"/>
      <c r="DG15" s="31"/>
    </row>
    <row r="16" spans="1:111" x14ac:dyDescent="0.25">
      <c r="C16" s="29"/>
      <c r="J16" s="63"/>
      <c r="K16" s="63"/>
      <c r="L16" s="63"/>
      <c r="M16" s="63"/>
      <c r="N16" s="63"/>
      <c r="O16" s="63"/>
      <c r="P16" s="63"/>
      <c r="Q16" s="63"/>
      <c r="R16" s="63"/>
      <c r="S16" s="63"/>
      <c r="T16" s="63"/>
      <c r="U16" s="63"/>
      <c r="V16" s="63"/>
      <c r="W16" s="63"/>
      <c r="X16" s="63"/>
      <c r="Y16" s="63"/>
      <c r="Z16" s="63"/>
      <c r="AA16" s="63"/>
      <c r="AB16" s="63"/>
      <c r="AC16" s="63"/>
      <c r="AD16" s="63"/>
      <c r="AE16" s="63"/>
      <c r="AF16" s="63"/>
      <c r="AG16" s="63"/>
      <c r="AH16" s="63"/>
      <c r="AI16" s="63"/>
      <c r="AJ16" s="63"/>
      <c r="AK16" s="63"/>
      <c r="AL16" s="63"/>
      <c r="AM16" s="63"/>
      <c r="AN16" s="63"/>
      <c r="AO16" s="63"/>
      <c r="AP16" s="63"/>
    </row>
    <row r="17" spans="4:111" x14ac:dyDescent="0.25">
      <c r="D17" s="29" t="s">
        <v>859</v>
      </c>
      <c r="F17" s="2"/>
    </row>
    <row r="18" spans="4:111" x14ac:dyDescent="0.25">
      <c r="D18" s="91"/>
      <c r="F18" s="2"/>
    </row>
    <row r="19" spans="4:111" x14ac:dyDescent="0.25">
      <c r="D19"/>
      <c r="E19" s="32" t="s">
        <v>860</v>
      </c>
      <c r="F19" s="32"/>
    </row>
    <row r="20" spans="4:111" x14ac:dyDescent="0.25">
      <c r="D20"/>
      <c r="E20" s="91"/>
      <c r="F20" s="23" t="s">
        <v>192</v>
      </c>
      <c r="G20" s="23" t="s">
        <v>327</v>
      </c>
      <c r="H20" s="302"/>
      <c r="I20" s="302"/>
      <c r="J20" s="318">
        <f>'Unit rate charges'!J217</f>
        <v>2.1812548702806467</v>
      </c>
      <c r="K20" s="318">
        <f>'Unit rate charges'!K217</f>
        <v>2.52657420114173</v>
      </c>
      <c r="L20" s="318">
        <f>'Unit rate charges'!L217</f>
        <v>0.85754957267127052</v>
      </c>
      <c r="M20" s="318">
        <f>'Unit rate charges'!M217</f>
        <v>2.2398015486733498</v>
      </c>
      <c r="N20" s="318">
        <f>'Unit rate charges'!N217</f>
        <v>2.4357122429871434</v>
      </c>
      <c r="O20" s="318">
        <f>'Unit rate charges'!O217</f>
        <v>0.77709672833130972</v>
      </c>
      <c r="P20" s="318">
        <f>'Unit rate charges'!P217</f>
        <v>2.1130558314365118</v>
      </c>
      <c r="Q20" s="318">
        <f>'Unit rate charges'!Q217</f>
        <v>1.5437565865293077</v>
      </c>
      <c r="R20" s="318">
        <f>'Unit rate charges'!R217</f>
        <v>0.78588931926926087</v>
      </c>
      <c r="S20" s="318">
        <f>'Unit rate charges'!S217</f>
        <v>9.2860596177916985</v>
      </c>
      <c r="T20" s="318">
        <f>'Unit rate charges'!T217</f>
        <v>10.147472710891583</v>
      </c>
      <c r="U20" s="318">
        <f>'Unit rate charges'!U217</f>
        <v>6.8120939588588545</v>
      </c>
      <c r="V20" s="318">
        <f>'Unit rate charges'!V217</f>
        <v>4.0192524728674064</v>
      </c>
      <c r="W20" s="318">
        <f>'Unit rate charges'!W217</f>
        <v>2.5912776700784232</v>
      </c>
      <c r="X20" s="318">
        <f>'Unit rate charges'!X217</f>
        <v>3.2735965599064762</v>
      </c>
      <c r="Y20" s="318">
        <f>'Unit rate charges'!Y217</f>
        <v>3.3598921033853024</v>
      </c>
      <c r="Z20" s="318">
        <f>'Unit rate charges'!Z217</f>
        <v>4.2265496602454524</v>
      </c>
      <c r="AA20" s="318">
        <f>'Unit rate charges'!AA217</f>
        <v>3.2764562377993087</v>
      </c>
      <c r="AB20" s="318">
        <f>'Unit rate charges'!AB217</f>
        <v>18.431963873020528</v>
      </c>
      <c r="AC20" s="318">
        <f>'Unit rate charges'!AC217</f>
        <v>-1.2841828889894253</v>
      </c>
      <c r="AD20" s="318">
        <f>'Unit rate charges'!AD217</f>
        <v>-1.1523156075321794</v>
      </c>
      <c r="AE20" s="318">
        <f>'Unit rate charges'!AE217</f>
        <v>-1.2841828889894253</v>
      </c>
      <c r="AF20" s="318">
        <f>'Unit rate charges'!AF217</f>
        <v>-1.2841828889894253</v>
      </c>
      <c r="AG20" s="318">
        <f>'Unit rate charges'!AG217</f>
        <v>-6.7715623244648135</v>
      </c>
      <c r="AH20" s="318">
        <f>'Unit rate charges'!AH217</f>
        <v>-6.7715623244648135</v>
      </c>
      <c r="AI20" s="318">
        <f>'Unit rate charges'!AI217</f>
        <v>-1.1523156075321794</v>
      </c>
      <c r="AJ20" s="318">
        <f>'Unit rate charges'!AJ217</f>
        <v>-1.1523156075321794</v>
      </c>
      <c r="AK20" s="318">
        <f>'Unit rate charges'!AK217</f>
        <v>-6.0880001830517498</v>
      </c>
      <c r="AL20" s="318">
        <f>'Unit rate charges'!AL217</f>
        <v>-6.0880001830517498</v>
      </c>
      <c r="AM20" s="318">
        <f>'Unit rate charges'!AM217</f>
        <v>-0.61647152195632826</v>
      </c>
      <c r="AN20" s="318">
        <f>'Unit rate charges'!AN217</f>
        <v>-0.61647152195632826</v>
      </c>
      <c r="AO20" s="318">
        <f>'Unit rate charges'!AO217</f>
        <v>-3.3270697869504446</v>
      </c>
      <c r="AP20" s="318">
        <f>'Unit rate charges'!AP217</f>
        <v>-3.3270697869504446</v>
      </c>
      <c r="AQ20" s="304"/>
      <c r="AR20" s="304"/>
      <c r="AS20" s="304"/>
      <c r="AT20" s="304"/>
      <c r="AU20" s="304"/>
      <c r="AV20" s="304"/>
      <c r="AW20" s="304"/>
      <c r="AX20" s="304"/>
      <c r="AY20" s="304"/>
      <c r="AZ20" s="304"/>
      <c r="BA20" s="304"/>
      <c r="BB20" s="304"/>
      <c r="BC20" s="304"/>
      <c r="BD20" s="304"/>
      <c r="BE20" s="304"/>
      <c r="BF20" s="304"/>
      <c r="BG20" s="304"/>
      <c r="BH20" s="304"/>
      <c r="BI20" s="304"/>
      <c r="BJ20" s="304"/>
      <c r="BK20" s="304"/>
      <c r="BL20" s="304"/>
      <c r="BM20" s="304"/>
      <c r="BN20" s="304"/>
      <c r="BO20" s="304"/>
      <c r="BP20" s="304"/>
      <c r="BQ20" s="304"/>
      <c r="BR20" s="304"/>
      <c r="BS20" s="304"/>
      <c r="BT20" s="304"/>
      <c r="BU20" s="304"/>
      <c r="BV20" s="304"/>
      <c r="BW20" s="304"/>
      <c r="BX20" s="304"/>
      <c r="BY20" s="304"/>
      <c r="BZ20" s="304"/>
      <c r="CA20" s="304"/>
      <c r="CB20" s="304"/>
      <c r="CC20" s="304"/>
      <c r="CD20" s="304"/>
      <c r="CE20" s="304"/>
      <c r="CF20" s="304"/>
      <c r="CG20" s="304"/>
      <c r="CH20" s="304"/>
      <c r="CI20" s="304"/>
      <c r="CJ20" s="304"/>
      <c r="CK20" s="304"/>
      <c r="CL20" s="304"/>
      <c r="CM20" s="304"/>
      <c r="CN20" s="304"/>
      <c r="CO20" s="304"/>
      <c r="CP20" s="304"/>
      <c r="CQ20" s="304"/>
      <c r="CR20" s="304"/>
      <c r="CS20" s="304"/>
      <c r="CT20" s="304"/>
      <c r="CU20" s="304"/>
      <c r="CV20" s="304"/>
      <c r="CW20" s="304"/>
      <c r="CX20" s="304"/>
      <c r="CY20" s="304"/>
      <c r="CZ20" s="304"/>
      <c r="DA20" s="304"/>
      <c r="DB20" s="304"/>
      <c r="DC20" s="304"/>
      <c r="DD20" s="304"/>
      <c r="DE20" s="304"/>
      <c r="DF20" s="304"/>
      <c r="DG20" s="304"/>
    </row>
    <row r="21" spans="4:111" x14ac:dyDescent="0.25">
      <c r="D21"/>
      <c r="E21" s="91"/>
      <c r="F21" t="s">
        <v>193</v>
      </c>
      <c r="G21" t="s">
        <v>327</v>
      </c>
      <c r="H21" s="304"/>
      <c r="I21" s="304"/>
      <c r="J21" s="319">
        <f>'Unit rate charges'!J218</f>
        <v>0</v>
      </c>
      <c r="K21" s="319">
        <f>'Unit rate charges'!K218</f>
        <v>0.87428917856668065</v>
      </c>
      <c r="L21" s="319">
        <f>'Unit rate charges'!L218</f>
        <v>0</v>
      </c>
      <c r="M21" s="319">
        <f>'Unit rate charges'!M218</f>
        <v>0</v>
      </c>
      <c r="N21" s="319">
        <f>'Unit rate charges'!N218</f>
        <v>0.74368804964490787</v>
      </c>
      <c r="O21" s="319">
        <f>'Unit rate charges'!O218</f>
        <v>0</v>
      </c>
      <c r="P21" s="319">
        <f>'Unit rate charges'!P218</f>
        <v>0.70007732172153636</v>
      </c>
      <c r="Q21" s="319">
        <f>'Unit rate charges'!Q218</f>
        <v>0.51034324501475914</v>
      </c>
      <c r="R21" s="319">
        <f>'Unit rate charges'!R218</f>
        <v>0.24508239849318561</v>
      </c>
      <c r="S21" s="319">
        <f>'Unit rate charges'!S218</f>
        <v>1.4297196397962209</v>
      </c>
      <c r="T21" s="319">
        <f>'Unit rate charges'!T218</f>
        <v>1.5624117090109557</v>
      </c>
      <c r="U21" s="319">
        <f>'Unit rate charges'!U218</f>
        <v>1.0402561060815092</v>
      </c>
      <c r="V21" s="319">
        <f>'Unit rate charges'!V218</f>
        <v>0.59300883388133552</v>
      </c>
      <c r="W21" s="319">
        <f>'Unit rate charges'!W218</f>
        <v>0.36704350228485144</v>
      </c>
      <c r="X21" s="319">
        <f>'Unit rate charges'!X218</f>
        <v>0</v>
      </c>
      <c r="Y21" s="319">
        <f>'Unit rate charges'!Y218</f>
        <v>0</v>
      </c>
      <c r="Z21" s="319">
        <f>'Unit rate charges'!Z218</f>
        <v>0</v>
      </c>
      <c r="AA21" s="319">
        <f>'Unit rate charges'!AA218</f>
        <v>0</v>
      </c>
      <c r="AB21" s="319">
        <f>'Unit rate charges'!AB218</f>
        <v>3.2369694985311281</v>
      </c>
      <c r="AC21" s="319">
        <f>'Unit rate charges'!AC218</f>
        <v>0</v>
      </c>
      <c r="AD21" s="319">
        <f>'Unit rate charges'!AD218</f>
        <v>0</v>
      </c>
      <c r="AE21" s="319">
        <f>'Unit rate charges'!AE218</f>
        <v>0</v>
      </c>
      <c r="AF21" s="319">
        <f>'Unit rate charges'!AF218</f>
        <v>0</v>
      </c>
      <c r="AG21" s="319">
        <f>'Unit rate charges'!AG218</f>
        <v>-1.0426332107186289</v>
      </c>
      <c r="AH21" s="319">
        <f>'Unit rate charges'!AH218</f>
        <v>-1.0426332107186289</v>
      </c>
      <c r="AI21" s="319">
        <f>'Unit rate charges'!AI218</f>
        <v>0</v>
      </c>
      <c r="AJ21" s="319">
        <f>'Unit rate charges'!AJ218</f>
        <v>0</v>
      </c>
      <c r="AK21" s="319">
        <f>'Unit rate charges'!AK218</f>
        <v>-0.93407500674127786</v>
      </c>
      <c r="AL21" s="319">
        <f>'Unit rate charges'!AL218</f>
        <v>-0.93407500674127786</v>
      </c>
      <c r="AM21" s="319">
        <f>'Unit rate charges'!AM218</f>
        <v>0</v>
      </c>
      <c r="AN21" s="319">
        <f>'Unit rate charges'!AN218</f>
        <v>0</v>
      </c>
      <c r="AO21" s="319">
        <f>'Unit rate charges'!AO218</f>
        <v>-0.49082486830513528</v>
      </c>
      <c r="AP21" s="319">
        <f>'Unit rate charges'!AP218</f>
        <v>-0.49082486830513528</v>
      </c>
      <c r="AQ21" s="304"/>
      <c r="AR21" s="304"/>
      <c r="AS21" s="304"/>
      <c r="AT21" s="304"/>
      <c r="AU21" s="304"/>
      <c r="AV21" s="304"/>
      <c r="AW21" s="304"/>
      <c r="AX21" s="304"/>
      <c r="AY21" s="304"/>
      <c r="AZ21" s="304"/>
      <c r="BA21" s="304"/>
      <c r="BB21" s="304"/>
      <c r="BC21" s="304"/>
      <c r="BD21" s="304"/>
      <c r="BE21" s="304"/>
      <c r="BF21" s="304"/>
      <c r="BG21" s="304"/>
      <c r="BH21" s="304"/>
      <c r="BI21" s="304"/>
      <c r="BJ21" s="304"/>
      <c r="BK21" s="304"/>
      <c r="BL21" s="304"/>
      <c r="BM21" s="304"/>
      <c r="BN21" s="304"/>
      <c r="BO21" s="304"/>
      <c r="BP21" s="304"/>
      <c r="BQ21" s="304"/>
      <c r="BR21" s="304"/>
      <c r="BS21" s="304"/>
      <c r="BT21" s="304"/>
      <c r="BU21" s="304"/>
      <c r="BV21" s="304"/>
      <c r="BW21" s="304"/>
      <c r="BX21" s="304"/>
      <c r="BY21" s="304"/>
      <c r="BZ21" s="304"/>
      <c r="CA21" s="304"/>
      <c r="CB21" s="304"/>
      <c r="CC21" s="304"/>
      <c r="CD21" s="304"/>
      <c r="CE21" s="304"/>
      <c r="CF21" s="304"/>
      <c r="CG21" s="304"/>
      <c r="CH21" s="304"/>
      <c r="CI21" s="304"/>
      <c r="CJ21" s="304"/>
      <c r="CK21" s="304"/>
      <c r="CL21" s="304"/>
      <c r="CM21" s="304"/>
      <c r="CN21" s="304"/>
      <c r="CO21" s="304"/>
      <c r="CP21" s="304"/>
      <c r="CQ21" s="304"/>
      <c r="CR21" s="304"/>
      <c r="CS21" s="304"/>
      <c r="CT21" s="304"/>
      <c r="CU21" s="304"/>
      <c r="CV21" s="304"/>
      <c r="CW21" s="304"/>
      <c r="CX21" s="304"/>
      <c r="CY21" s="304"/>
      <c r="CZ21" s="304"/>
      <c r="DA21" s="304"/>
      <c r="DB21" s="304"/>
      <c r="DC21" s="304"/>
      <c r="DD21" s="304"/>
      <c r="DE21" s="304"/>
      <c r="DF21" s="304"/>
      <c r="DG21" s="304"/>
    </row>
    <row r="22" spans="4:111" x14ac:dyDescent="0.25">
      <c r="D22"/>
      <c r="E22" s="91"/>
      <c r="F22" t="s">
        <v>194</v>
      </c>
      <c r="G22" t="s">
        <v>327</v>
      </c>
      <c r="H22" s="304"/>
      <c r="I22" s="304"/>
      <c r="J22" s="319">
        <f>'Unit rate charges'!J219</f>
        <v>0</v>
      </c>
      <c r="K22" s="319">
        <f>'Unit rate charges'!K219</f>
        <v>0</v>
      </c>
      <c r="L22" s="319">
        <f>'Unit rate charges'!L219</f>
        <v>0</v>
      </c>
      <c r="M22" s="319">
        <f>'Unit rate charges'!M219</f>
        <v>0</v>
      </c>
      <c r="N22" s="319">
        <f>'Unit rate charges'!N219</f>
        <v>0</v>
      </c>
      <c r="O22" s="319">
        <f>'Unit rate charges'!O219</f>
        <v>0</v>
      </c>
      <c r="P22" s="319">
        <f>'Unit rate charges'!P219</f>
        <v>0</v>
      </c>
      <c r="Q22" s="319">
        <f>'Unit rate charges'!Q219</f>
        <v>0</v>
      </c>
      <c r="R22" s="319">
        <f>'Unit rate charges'!R219</f>
        <v>0</v>
      </c>
      <c r="S22" s="319">
        <f>'Unit rate charges'!S219</f>
        <v>0.66940329493843409</v>
      </c>
      <c r="T22" s="319">
        <f>'Unit rate charges'!T219</f>
        <v>0.73153374793817616</v>
      </c>
      <c r="U22" s="319">
        <f>'Unit rate charges'!U219</f>
        <v>0.48663101438528217</v>
      </c>
      <c r="V22" s="319">
        <f>'Unit rate charges'!V219</f>
        <v>0.2763746609613566</v>
      </c>
      <c r="W22" s="319">
        <f>'Unit rate charges'!W219</f>
        <v>0.17027445482226455</v>
      </c>
      <c r="X22" s="319">
        <f>'Unit rate charges'!X219</f>
        <v>0</v>
      </c>
      <c r="Y22" s="319">
        <f>'Unit rate charges'!Y219</f>
        <v>0</v>
      </c>
      <c r="Z22" s="319">
        <f>'Unit rate charges'!Z219</f>
        <v>0</v>
      </c>
      <c r="AA22" s="319">
        <f>'Unit rate charges'!AA219</f>
        <v>0</v>
      </c>
      <c r="AB22" s="319">
        <f>'Unit rate charges'!AB219</f>
        <v>2.3957065733317577</v>
      </c>
      <c r="AC22" s="319">
        <f>'Unit rate charges'!AC219</f>
        <v>0</v>
      </c>
      <c r="AD22" s="319">
        <f>'Unit rate charges'!AD219</f>
        <v>0</v>
      </c>
      <c r="AE22" s="319">
        <f>'Unit rate charges'!AE219</f>
        <v>0</v>
      </c>
      <c r="AF22" s="319">
        <f>'Unit rate charges'!AF219</f>
        <v>0</v>
      </c>
      <c r="AG22" s="319">
        <f>'Unit rate charges'!AG219</f>
        <v>-0.48816987089385483</v>
      </c>
      <c r="AH22" s="319">
        <f>'Unit rate charges'!AH219</f>
        <v>-0.48816987089385483</v>
      </c>
      <c r="AI22" s="319">
        <f>'Unit rate charges'!AI219</f>
        <v>0</v>
      </c>
      <c r="AJ22" s="319">
        <f>'Unit rate charges'!AJ219</f>
        <v>0</v>
      </c>
      <c r="AK22" s="319">
        <f>'Unit rate charges'!AK219</f>
        <v>-0.43717848120950387</v>
      </c>
      <c r="AL22" s="319">
        <f>'Unit rate charges'!AL219</f>
        <v>-0.43717848120950387</v>
      </c>
      <c r="AM22" s="319">
        <f>'Unit rate charges'!AM219</f>
        <v>0</v>
      </c>
      <c r="AN22" s="319">
        <f>'Unit rate charges'!AN219</f>
        <v>0</v>
      </c>
      <c r="AO22" s="319">
        <f>'Unit rate charges'!AO219</f>
        <v>-0.22874833921883997</v>
      </c>
      <c r="AP22" s="319">
        <f>'Unit rate charges'!AP219</f>
        <v>-0.22874833921883997</v>
      </c>
      <c r="AQ22" s="304"/>
      <c r="AR22" s="304"/>
      <c r="AS22" s="304"/>
      <c r="AT22" s="304"/>
      <c r="AU22" s="304"/>
      <c r="AV22" s="304"/>
      <c r="AW22" s="304"/>
      <c r="AX22" s="304"/>
      <c r="AY22" s="304"/>
      <c r="AZ22" s="304"/>
      <c r="BA22" s="304"/>
      <c r="BB22" s="304"/>
      <c r="BC22" s="304"/>
      <c r="BD22" s="304"/>
      <c r="BE22" s="304"/>
      <c r="BF22" s="304"/>
      <c r="BG22" s="304"/>
      <c r="BH22" s="304"/>
      <c r="BI22" s="304"/>
      <c r="BJ22" s="304"/>
      <c r="BK22" s="304"/>
      <c r="BL22" s="304"/>
      <c r="BM22" s="304"/>
      <c r="BN22" s="304"/>
      <c r="BO22" s="304"/>
      <c r="BP22" s="304"/>
      <c r="BQ22" s="304"/>
      <c r="BR22" s="304"/>
      <c r="BS22" s="304"/>
      <c r="BT22" s="304"/>
      <c r="BU22" s="304"/>
      <c r="BV22" s="304"/>
      <c r="BW22" s="304"/>
      <c r="BX22" s="304"/>
      <c r="BY22" s="304"/>
      <c r="BZ22" s="304"/>
      <c r="CA22" s="304"/>
      <c r="CB22" s="304"/>
      <c r="CC22" s="304"/>
      <c r="CD22" s="304"/>
      <c r="CE22" s="304"/>
      <c r="CF22" s="304"/>
      <c r="CG22" s="304"/>
      <c r="CH22" s="304"/>
      <c r="CI22" s="304"/>
      <c r="CJ22" s="304"/>
      <c r="CK22" s="304"/>
      <c r="CL22" s="304"/>
      <c r="CM22" s="304"/>
      <c r="CN22" s="304"/>
      <c r="CO22" s="304"/>
      <c r="CP22" s="304"/>
      <c r="CQ22" s="304"/>
      <c r="CR22" s="304"/>
      <c r="CS22" s="304"/>
      <c r="CT22" s="304"/>
      <c r="CU22" s="304"/>
      <c r="CV22" s="304"/>
      <c r="CW22" s="304"/>
      <c r="CX22" s="304"/>
      <c r="CY22" s="304"/>
      <c r="CZ22" s="304"/>
      <c r="DA22" s="304"/>
      <c r="DB22" s="304"/>
      <c r="DC22" s="304"/>
      <c r="DD22" s="304"/>
      <c r="DE22" s="304"/>
      <c r="DF22" s="304"/>
      <c r="DG22" s="304"/>
    </row>
    <row r="23" spans="4:111" x14ac:dyDescent="0.25">
      <c r="D23"/>
      <c r="E23" s="91"/>
      <c r="F23" t="s">
        <v>195</v>
      </c>
      <c r="G23" t="s">
        <v>328</v>
      </c>
      <c r="J23" s="123">
        <f>'Fixed charges'!J161</f>
        <v>6.7190234897470793</v>
      </c>
      <c r="K23" s="123">
        <f>'Fixed charges'!K161</f>
        <v>6.7190234897470793</v>
      </c>
      <c r="L23" s="123">
        <f>'Fixed charges'!L161</f>
        <v>0</v>
      </c>
      <c r="M23" s="123">
        <f>'Fixed charges'!M161</f>
        <v>9.4927277702556907</v>
      </c>
      <c r="N23" s="123">
        <f>'Fixed charges'!N161</f>
        <v>9.4927277702556907</v>
      </c>
      <c r="O23" s="123">
        <f>'Fixed charges'!O161</f>
        <v>0</v>
      </c>
      <c r="P23" s="123">
        <f>'Fixed charges'!P161</f>
        <v>82.380657371582515</v>
      </c>
      <c r="Q23" s="123">
        <f>'Fixed charges'!Q161</f>
        <v>50.973932528541532</v>
      </c>
      <c r="R23" s="123">
        <f>'Fixed charges'!R161</f>
        <v>2503.0647914127785</v>
      </c>
      <c r="S23" s="123">
        <f>'Fixed charges'!S161</f>
        <v>6.7190234897470793</v>
      </c>
      <c r="T23" s="123">
        <f>'Fixed charges'!T161</f>
        <v>9.4927277702556907</v>
      </c>
      <c r="U23" s="123">
        <f>'Fixed charges'!U161</f>
        <v>26.853541752552729</v>
      </c>
      <c r="V23" s="123">
        <f>'Fixed charges'!V161</f>
        <v>50.973932528541532</v>
      </c>
      <c r="W23" s="123">
        <f>'Fixed charges'!W161</f>
        <v>298.7414348318261</v>
      </c>
      <c r="X23" s="123">
        <f>'Fixed charges'!X161</f>
        <v>0</v>
      </c>
      <c r="Y23" s="123">
        <f>'Fixed charges'!Y161</f>
        <v>0</v>
      </c>
      <c r="Z23" s="123">
        <f>'Fixed charges'!Z161</f>
        <v>0</v>
      </c>
      <c r="AA23" s="123">
        <f>'Fixed charges'!AA161</f>
        <v>0</v>
      </c>
      <c r="AB23" s="123">
        <f>'Fixed charges'!AB161</f>
        <v>0</v>
      </c>
      <c r="AC23" s="123">
        <f>'Fixed charges'!AC161</f>
        <v>0</v>
      </c>
      <c r="AD23" s="123">
        <f>'Fixed charges'!AD161</f>
        <v>0</v>
      </c>
      <c r="AE23" s="123">
        <f>'Fixed charges'!AE161</f>
        <v>0</v>
      </c>
      <c r="AF23" s="123">
        <f>'Fixed charges'!AF161</f>
        <v>0</v>
      </c>
      <c r="AG23" s="123">
        <f>'Fixed charges'!AG161</f>
        <v>0</v>
      </c>
      <c r="AH23" s="123">
        <f>'Fixed charges'!AH161</f>
        <v>0</v>
      </c>
      <c r="AI23" s="123">
        <f>'Fixed charges'!AI161</f>
        <v>0</v>
      </c>
      <c r="AJ23" s="123">
        <f>'Fixed charges'!AJ161</f>
        <v>0</v>
      </c>
      <c r="AK23" s="123">
        <f>'Fixed charges'!AK161</f>
        <v>0</v>
      </c>
      <c r="AL23" s="123">
        <f>'Fixed charges'!AL161</f>
        <v>0</v>
      </c>
      <c r="AM23" s="123">
        <f>'Fixed charges'!AM161</f>
        <v>414.58577923888919</v>
      </c>
      <c r="AN23" s="123">
        <f>'Fixed charges'!AN161</f>
        <v>414.58577923888919</v>
      </c>
      <c r="AO23" s="123">
        <f>'Fixed charges'!AO161</f>
        <v>414.58577923888919</v>
      </c>
      <c r="AP23" s="123">
        <f>'Fixed charges'!AP161</f>
        <v>414.58577923888919</v>
      </c>
    </row>
    <row r="24" spans="4:111" x14ac:dyDescent="0.25">
      <c r="D24"/>
      <c r="E24" s="91"/>
      <c r="F24" t="s">
        <v>196</v>
      </c>
      <c r="G24" t="s">
        <v>329</v>
      </c>
      <c r="J24" s="123">
        <f>'Capacity charges'!J256</f>
        <v>0</v>
      </c>
      <c r="K24" s="123">
        <f>'Capacity charges'!K256</f>
        <v>0</v>
      </c>
      <c r="L24" s="123">
        <f>'Capacity charges'!L256</f>
        <v>0</v>
      </c>
      <c r="M24" s="123">
        <f>'Capacity charges'!M256</f>
        <v>0</v>
      </c>
      <c r="N24" s="123">
        <f>'Capacity charges'!N256</f>
        <v>0</v>
      </c>
      <c r="O24" s="123">
        <f>'Capacity charges'!O256</f>
        <v>0</v>
      </c>
      <c r="P24" s="123">
        <f>'Capacity charges'!P256</f>
        <v>0</v>
      </c>
      <c r="Q24" s="123">
        <f>'Capacity charges'!Q256</f>
        <v>0</v>
      </c>
      <c r="R24" s="123">
        <f>'Capacity charges'!R256</f>
        <v>0</v>
      </c>
      <c r="S24" s="123">
        <f>'Capacity charges'!S256</f>
        <v>0</v>
      </c>
      <c r="T24" s="123">
        <f>'Capacity charges'!T256</f>
        <v>0</v>
      </c>
      <c r="U24" s="123">
        <f>'Capacity charges'!U256</f>
        <v>4.7604233393884687</v>
      </c>
      <c r="V24" s="123">
        <f>'Capacity charges'!V256</f>
        <v>7.7880488652241713</v>
      </c>
      <c r="W24" s="123">
        <f>'Capacity charges'!W256</f>
        <v>10.490510240626477</v>
      </c>
      <c r="X24" s="123">
        <f>'Capacity charges'!X256</f>
        <v>0</v>
      </c>
      <c r="Y24" s="123">
        <f>'Capacity charges'!Y256</f>
        <v>0</v>
      </c>
      <c r="Z24" s="123">
        <f>'Capacity charges'!Z256</f>
        <v>0</v>
      </c>
      <c r="AA24" s="123">
        <f>'Capacity charges'!AA256</f>
        <v>0</v>
      </c>
      <c r="AB24" s="123">
        <f>'Capacity charges'!AB256</f>
        <v>0</v>
      </c>
      <c r="AC24" s="123">
        <f>'Capacity charges'!AC256</f>
        <v>0</v>
      </c>
      <c r="AD24" s="123">
        <f>'Capacity charges'!AD256</f>
        <v>0</v>
      </c>
      <c r="AE24" s="123">
        <f>'Capacity charges'!AE256</f>
        <v>0</v>
      </c>
      <c r="AF24" s="123">
        <f>'Capacity charges'!AF256</f>
        <v>0</v>
      </c>
      <c r="AG24" s="123">
        <f>'Capacity charges'!AG256</f>
        <v>0</v>
      </c>
      <c r="AH24" s="123">
        <f>'Capacity charges'!AH256</f>
        <v>0</v>
      </c>
      <c r="AI24" s="123">
        <f>'Capacity charges'!AI256</f>
        <v>0</v>
      </c>
      <c r="AJ24" s="123">
        <f>'Capacity charges'!AJ256</f>
        <v>0</v>
      </c>
      <c r="AK24" s="123">
        <f>'Capacity charges'!AK256</f>
        <v>0</v>
      </c>
      <c r="AL24" s="123">
        <f>'Capacity charges'!AL256</f>
        <v>0</v>
      </c>
      <c r="AM24" s="123">
        <f>'Capacity charges'!AM256</f>
        <v>0</v>
      </c>
      <c r="AN24" s="123">
        <f>'Capacity charges'!AN256</f>
        <v>0</v>
      </c>
      <c r="AO24" s="123">
        <f>'Capacity charges'!AO256</f>
        <v>0</v>
      </c>
      <c r="AP24" s="123">
        <f>'Capacity charges'!AP256</f>
        <v>0</v>
      </c>
    </row>
    <row r="25" spans="4:111" x14ac:dyDescent="0.25">
      <c r="D25"/>
      <c r="E25" s="91"/>
      <c r="F25" t="s">
        <v>197</v>
      </c>
      <c r="G25" t="s">
        <v>329</v>
      </c>
      <c r="J25" s="123">
        <f>'Capacity charges'!J257</f>
        <v>0</v>
      </c>
      <c r="K25" s="123">
        <f>'Capacity charges'!K257</f>
        <v>0</v>
      </c>
      <c r="L25" s="123">
        <f>'Capacity charges'!L257</f>
        <v>0</v>
      </c>
      <c r="M25" s="123">
        <f>'Capacity charges'!M257</f>
        <v>0</v>
      </c>
      <c r="N25" s="123">
        <f>'Capacity charges'!N257</f>
        <v>0</v>
      </c>
      <c r="O25" s="123">
        <f>'Capacity charges'!O257</f>
        <v>0</v>
      </c>
      <c r="P25" s="123">
        <f>'Capacity charges'!P257</f>
        <v>0</v>
      </c>
      <c r="Q25" s="123">
        <f>'Capacity charges'!Q257</f>
        <v>0</v>
      </c>
      <c r="R25" s="123">
        <f>'Capacity charges'!R257</f>
        <v>0</v>
      </c>
      <c r="S25" s="123">
        <f>'Capacity charges'!S257</f>
        <v>0</v>
      </c>
      <c r="T25" s="123">
        <f>'Capacity charges'!T257</f>
        <v>0</v>
      </c>
      <c r="U25" s="123">
        <f>'Capacity charges'!U257</f>
        <v>8.74459489120105</v>
      </c>
      <c r="V25" s="123">
        <f>'Capacity charges'!V257</f>
        <v>10.791835128460974</v>
      </c>
      <c r="W25" s="123">
        <f>'Capacity charges'!W257</f>
        <v>12.369639898498342</v>
      </c>
      <c r="X25" s="123">
        <f>'Capacity charges'!X257</f>
        <v>0</v>
      </c>
      <c r="Y25" s="123">
        <f>'Capacity charges'!Y257</f>
        <v>0</v>
      </c>
      <c r="Z25" s="123">
        <f>'Capacity charges'!Z257</f>
        <v>0</v>
      </c>
      <c r="AA25" s="123">
        <f>'Capacity charges'!AA257</f>
        <v>0</v>
      </c>
      <c r="AB25" s="123">
        <f>'Capacity charges'!AB257</f>
        <v>0</v>
      </c>
      <c r="AC25" s="123">
        <f>'Capacity charges'!AC257</f>
        <v>0</v>
      </c>
      <c r="AD25" s="123">
        <f>'Capacity charges'!AD257</f>
        <v>0</v>
      </c>
      <c r="AE25" s="123">
        <f>'Capacity charges'!AE257</f>
        <v>0</v>
      </c>
      <c r="AF25" s="123">
        <f>'Capacity charges'!AF257</f>
        <v>0</v>
      </c>
      <c r="AG25" s="123">
        <f>'Capacity charges'!AG257</f>
        <v>0</v>
      </c>
      <c r="AH25" s="123">
        <f>'Capacity charges'!AH257</f>
        <v>0</v>
      </c>
      <c r="AI25" s="123">
        <f>'Capacity charges'!AI257</f>
        <v>0</v>
      </c>
      <c r="AJ25" s="123">
        <f>'Capacity charges'!AJ257</f>
        <v>0</v>
      </c>
      <c r="AK25" s="123">
        <f>'Capacity charges'!AK257</f>
        <v>0</v>
      </c>
      <c r="AL25" s="123">
        <f>'Capacity charges'!AL257</f>
        <v>0</v>
      </c>
      <c r="AM25" s="123">
        <f>'Capacity charges'!AM257</f>
        <v>0</v>
      </c>
      <c r="AN25" s="123">
        <f>'Capacity charges'!AN257</f>
        <v>0</v>
      </c>
      <c r="AO25" s="123">
        <f>'Capacity charges'!AO257</f>
        <v>0</v>
      </c>
      <c r="AP25" s="123">
        <f>'Capacity charges'!AP257</f>
        <v>0</v>
      </c>
    </row>
    <row r="26" spans="4:111" x14ac:dyDescent="0.25">
      <c r="D26"/>
      <c r="E26" s="91"/>
      <c r="F26" s="37" t="s">
        <v>198</v>
      </c>
      <c r="G26" s="37" t="s">
        <v>330</v>
      </c>
      <c r="H26" s="308"/>
      <c r="I26" s="308"/>
      <c r="J26" s="323">
        <f>'Reactive power charges'!J250</f>
        <v>0</v>
      </c>
      <c r="K26" s="323">
        <f>'Reactive power charges'!K250</f>
        <v>0</v>
      </c>
      <c r="L26" s="323">
        <f>'Reactive power charges'!L250</f>
        <v>0</v>
      </c>
      <c r="M26" s="323">
        <f>'Reactive power charges'!M250</f>
        <v>0</v>
      </c>
      <c r="N26" s="323">
        <f>'Reactive power charges'!N250</f>
        <v>0</v>
      </c>
      <c r="O26" s="323">
        <f>'Reactive power charges'!O250</f>
        <v>0</v>
      </c>
      <c r="P26" s="323">
        <f>'Reactive power charges'!P250</f>
        <v>0</v>
      </c>
      <c r="Q26" s="323">
        <f>'Reactive power charges'!Q250</f>
        <v>0</v>
      </c>
      <c r="R26" s="323">
        <f>'Reactive power charges'!R250</f>
        <v>0</v>
      </c>
      <c r="S26" s="323">
        <f>'Reactive power charges'!S250</f>
        <v>0</v>
      </c>
      <c r="T26" s="323">
        <f>'Reactive power charges'!T250</f>
        <v>0</v>
      </c>
      <c r="U26" s="323">
        <f>'Reactive power charges'!U250</f>
        <v>0.27302916255585569</v>
      </c>
      <c r="V26" s="323">
        <f>'Reactive power charges'!V250</f>
        <v>0.13743063341796527</v>
      </c>
      <c r="W26" s="323">
        <f>'Reactive power charges'!W250</f>
        <v>9.1281039164551034E-2</v>
      </c>
      <c r="X26" s="323">
        <f>'Reactive power charges'!X250</f>
        <v>0</v>
      </c>
      <c r="Y26" s="323">
        <f>'Reactive power charges'!Y250</f>
        <v>0</v>
      </c>
      <c r="Z26" s="323">
        <f>'Reactive power charges'!Z250</f>
        <v>0</v>
      </c>
      <c r="AA26" s="323">
        <f>'Reactive power charges'!AA250</f>
        <v>0</v>
      </c>
      <c r="AB26" s="323">
        <f>'Reactive power charges'!AB250</f>
        <v>0</v>
      </c>
      <c r="AC26" s="323">
        <f>'Reactive power charges'!AC250</f>
        <v>0</v>
      </c>
      <c r="AD26" s="323">
        <f>'Reactive power charges'!AD250</f>
        <v>0</v>
      </c>
      <c r="AE26" s="323">
        <f>'Reactive power charges'!AE250</f>
        <v>0.26528190408582319</v>
      </c>
      <c r="AF26" s="323">
        <f>'Reactive power charges'!AF250</f>
        <v>0</v>
      </c>
      <c r="AG26" s="323">
        <f>'Reactive power charges'!AG250</f>
        <v>0.26528190408582319</v>
      </c>
      <c r="AH26" s="323">
        <f>'Reactive power charges'!AH250</f>
        <v>0</v>
      </c>
      <c r="AI26" s="323">
        <f>'Reactive power charges'!AI250</f>
        <v>0.22477736432656778</v>
      </c>
      <c r="AJ26" s="323">
        <f>'Reactive power charges'!AJ250</f>
        <v>0</v>
      </c>
      <c r="AK26" s="323">
        <f>'Reactive power charges'!AK250</f>
        <v>0.22477736432656778</v>
      </c>
      <c r="AL26" s="323">
        <f>'Reactive power charges'!AL250</f>
        <v>0</v>
      </c>
      <c r="AM26" s="323">
        <f>'Reactive power charges'!AM250</f>
        <v>0.20598367886563043</v>
      </c>
      <c r="AN26" s="323">
        <f>'Reactive power charges'!AN250</f>
        <v>0</v>
      </c>
      <c r="AO26" s="323">
        <f>'Reactive power charges'!AO250</f>
        <v>0.20598367886563043</v>
      </c>
      <c r="AP26" s="323">
        <f>'Reactive power charges'!AP250</f>
        <v>0</v>
      </c>
      <c r="AQ26" s="304"/>
      <c r="AR26" s="304"/>
      <c r="AS26" s="304"/>
      <c r="AT26" s="304"/>
      <c r="AU26" s="304"/>
      <c r="AV26" s="304"/>
      <c r="AW26" s="304"/>
      <c r="AX26" s="304"/>
      <c r="AY26" s="304"/>
      <c r="AZ26" s="304"/>
      <c r="BA26" s="304"/>
      <c r="BB26" s="304"/>
      <c r="BC26" s="304"/>
      <c r="BD26" s="304"/>
      <c r="BE26" s="304"/>
      <c r="BF26" s="304"/>
      <c r="BG26" s="304"/>
      <c r="BH26" s="304"/>
      <c r="BI26" s="304"/>
      <c r="BJ26" s="304"/>
      <c r="BK26" s="304"/>
      <c r="BL26" s="304"/>
      <c r="BM26" s="304"/>
      <c r="BN26" s="304"/>
      <c r="BO26" s="304"/>
      <c r="BP26" s="304"/>
      <c r="BQ26" s="304"/>
      <c r="BR26" s="304"/>
      <c r="BS26" s="304"/>
      <c r="BT26" s="304"/>
      <c r="BU26" s="304"/>
      <c r="BV26" s="304"/>
      <c r="BW26" s="304"/>
      <c r="BX26" s="304"/>
      <c r="BY26" s="304"/>
      <c r="BZ26" s="304"/>
      <c r="CA26" s="304"/>
      <c r="CB26" s="304"/>
      <c r="CC26" s="304"/>
      <c r="CD26" s="304"/>
      <c r="CE26" s="304"/>
      <c r="CF26" s="304"/>
      <c r="CG26" s="304"/>
      <c r="CH26" s="304"/>
      <c r="CI26" s="304"/>
      <c r="CJ26" s="304"/>
      <c r="CK26" s="304"/>
      <c r="CL26" s="304"/>
      <c r="CM26" s="304"/>
      <c r="CN26" s="304"/>
      <c r="CO26" s="304"/>
      <c r="CP26" s="304"/>
      <c r="CQ26" s="304"/>
      <c r="CR26" s="304"/>
      <c r="CS26" s="304"/>
      <c r="CT26" s="304"/>
      <c r="CU26" s="304"/>
      <c r="CV26" s="304"/>
      <c r="CW26" s="304"/>
      <c r="CX26" s="304"/>
      <c r="CY26" s="304"/>
      <c r="CZ26" s="304"/>
      <c r="DA26" s="304"/>
      <c r="DB26" s="304"/>
      <c r="DC26" s="304"/>
      <c r="DD26" s="304"/>
      <c r="DE26" s="304"/>
      <c r="DF26" s="304"/>
      <c r="DG26" s="304"/>
    </row>
    <row r="27" spans="4:111" x14ac:dyDescent="0.25">
      <c r="D27"/>
      <c r="E27" s="91"/>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4:111" x14ac:dyDescent="0.25">
      <c r="D28"/>
      <c r="E28" s="32" t="s">
        <v>861</v>
      </c>
      <c r="J28" s="92"/>
      <c r="K28" s="92"/>
      <c r="L28" s="92"/>
      <c r="M28" s="92"/>
      <c r="N28" s="92"/>
      <c r="O28" s="92"/>
      <c r="P28" s="92"/>
      <c r="Q28" s="92"/>
      <c r="R28" s="92"/>
      <c r="S28" s="92"/>
      <c r="T28" s="92"/>
      <c r="U28" s="92"/>
      <c r="V28" s="92"/>
      <c r="W28" s="92"/>
      <c r="X28" s="92"/>
      <c r="Y28" s="92"/>
      <c r="Z28" s="92"/>
      <c r="AA28" s="92"/>
      <c r="AB28" s="92"/>
      <c r="AC28" s="92"/>
      <c r="AD28" s="92"/>
      <c r="AE28" s="92"/>
      <c r="AF28" s="92"/>
      <c r="AG28" s="92"/>
      <c r="AH28" s="92"/>
      <c r="AI28" s="92"/>
      <c r="AJ28" s="92"/>
      <c r="AK28" s="92"/>
      <c r="AL28" s="92"/>
      <c r="AM28" s="92"/>
      <c r="AN28" s="92"/>
      <c r="AO28" s="92"/>
      <c r="AP28" s="92"/>
    </row>
    <row r="29" spans="4:111" x14ac:dyDescent="0.25">
      <c r="D29" s="91"/>
      <c r="F29" s="23" t="s">
        <v>192</v>
      </c>
      <c r="G29" s="23" t="s">
        <v>243</v>
      </c>
      <c r="H29" s="23"/>
      <c r="I29" s="23"/>
      <c r="J29" s="127">
        <f>'Volume adjustments'!J66</f>
        <v>2359360.6618815465</v>
      </c>
      <c r="K29" s="127">
        <f>'Volume adjustments'!K66</f>
        <v>241333.8974547495</v>
      </c>
      <c r="L29" s="127">
        <f>'Volume adjustments'!L66</f>
        <v>423055.87757845432</v>
      </c>
      <c r="M29" s="127">
        <f>'Volume adjustments'!M66</f>
        <v>837309.17840270267</v>
      </c>
      <c r="N29" s="127">
        <f>'Volume adjustments'!N66</f>
        <v>152179.51963638922</v>
      </c>
      <c r="O29" s="127">
        <f>'Volume adjustments'!O66</f>
        <v>28141.504302703608</v>
      </c>
      <c r="P29" s="127">
        <f>'Volume adjustments'!P66</f>
        <v>29913.305426474391</v>
      </c>
      <c r="Q29" s="127">
        <f>'Volume adjustments'!Q66</f>
        <v>0</v>
      </c>
      <c r="R29" s="127">
        <f>'Volume adjustments'!R66</f>
        <v>548.35018676020832</v>
      </c>
      <c r="S29" s="127">
        <f>'Volume adjustments'!S66</f>
        <v>54.029994132566102</v>
      </c>
      <c r="T29" s="127">
        <f>'Volume adjustments'!T66</f>
        <v>7839.6449077915986</v>
      </c>
      <c r="U29" s="127">
        <f>'Volume adjustments'!U66</f>
        <v>168230.36601316402</v>
      </c>
      <c r="V29" s="127">
        <f>'Volume adjustments'!V66</f>
        <v>11348.554214700629</v>
      </c>
      <c r="W29" s="127">
        <f>'Volume adjustments'!W66</f>
        <v>88351.013324953004</v>
      </c>
      <c r="X29" s="127">
        <f>'Volume adjustments'!X66</f>
        <v>14143.024463568723</v>
      </c>
      <c r="Y29" s="127">
        <f>'Volume adjustments'!Y66</f>
        <v>17280.638083641774</v>
      </c>
      <c r="Z29" s="127">
        <f>'Volume adjustments'!Z66</f>
        <v>3520.726250029109</v>
      </c>
      <c r="AA29" s="127">
        <f>'Volume adjustments'!AA66</f>
        <v>44.247535426088803</v>
      </c>
      <c r="AB29" s="127">
        <f>'Volume adjustments'!AB66</f>
        <v>4621.3412299929805</v>
      </c>
      <c r="AC29" s="127">
        <f>'Volume adjustments'!AC66</f>
        <v>6412.5597704205047</v>
      </c>
      <c r="AD29" s="127">
        <f>'Volume adjustments'!AD66</f>
        <v>0</v>
      </c>
      <c r="AE29" s="127">
        <f>'Volume adjustments'!AE66</f>
        <v>359281.93051380559</v>
      </c>
      <c r="AF29" s="127">
        <f>'Volume adjustments'!AF66</f>
        <v>0</v>
      </c>
      <c r="AG29" s="127">
        <f>'Volume adjustments'!AG66</f>
        <v>5139.8693554110105</v>
      </c>
      <c r="AH29" s="127">
        <f>'Volume adjustments'!AH66</f>
        <v>0</v>
      </c>
      <c r="AI29" s="127">
        <f>'Volume adjustments'!AI66</f>
        <v>3513.2890000000002</v>
      </c>
      <c r="AJ29" s="127">
        <f>'Volume adjustments'!AJ66</f>
        <v>0</v>
      </c>
      <c r="AK29" s="127">
        <f>'Volume adjustments'!AK66</f>
        <v>0</v>
      </c>
      <c r="AL29" s="127">
        <f>'Volume adjustments'!AL66</f>
        <v>0</v>
      </c>
      <c r="AM29" s="127">
        <f>'Volume adjustments'!AM66</f>
        <v>652626.70721495803</v>
      </c>
      <c r="AN29" s="127">
        <f>'Volume adjustments'!AN66</f>
        <v>0</v>
      </c>
      <c r="AO29" s="127">
        <f>'Volume adjustments'!AO66</f>
        <v>92924.847805563244</v>
      </c>
      <c r="AP29" s="127">
        <f>'Volume adjustments'!AP66</f>
        <v>0</v>
      </c>
    </row>
    <row r="30" spans="4:111" x14ac:dyDescent="0.25">
      <c r="D30" s="91"/>
      <c r="F30" t="s">
        <v>193</v>
      </c>
      <c r="G30" t="s">
        <v>243</v>
      </c>
      <c r="J30" s="123">
        <f>'Volume adjustments'!J77</f>
        <v>0</v>
      </c>
      <c r="K30" s="123">
        <f>'Volume adjustments'!K77</f>
        <v>204289.9974625294</v>
      </c>
      <c r="L30" s="123">
        <f>'Volume adjustments'!L77</f>
        <v>0</v>
      </c>
      <c r="M30" s="123">
        <f>'Volume adjustments'!M77</f>
        <v>0</v>
      </c>
      <c r="N30" s="123">
        <f>'Volume adjustments'!N77</f>
        <v>82289.749092955753</v>
      </c>
      <c r="O30" s="123">
        <f>'Volume adjustments'!O77</f>
        <v>0</v>
      </c>
      <c r="P30" s="123">
        <f>'Volume adjustments'!P77</f>
        <v>10042.285925586189</v>
      </c>
      <c r="Q30" s="123">
        <f>'Volume adjustments'!Q77</f>
        <v>0</v>
      </c>
      <c r="R30" s="123">
        <f>'Volume adjustments'!R77</f>
        <v>269.81773904335392</v>
      </c>
      <c r="S30" s="123">
        <f>'Volume adjustments'!S77</f>
        <v>136.73224650179375</v>
      </c>
      <c r="T30" s="123">
        <f>'Volume adjustments'!T77</f>
        <v>39067.558275099967</v>
      </c>
      <c r="U30" s="123">
        <f>'Volume adjustments'!U77</f>
        <v>813957.57788120955</v>
      </c>
      <c r="V30" s="123">
        <f>'Volume adjustments'!V77</f>
        <v>55692.626742093176</v>
      </c>
      <c r="W30" s="123">
        <f>'Volume adjustments'!W77</f>
        <v>428873.62609942525</v>
      </c>
      <c r="X30" s="123">
        <f>'Volume adjustments'!X77</f>
        <v>0</v>
      </c>
      <c r="Y30" s="123">
        <f>'Volume adjustments'!Y77</f>
        <v>0</v>
      </c>
      <c r="Z30" s="123">
        <f>'Volume adjustments'!Z77</f>
        <v>0</v>
      </c>
      <c r="AA30" s="123">
        <f>'Volume adjustments'!AA77</f>
        <v>0</v>
      </c>
      <c r="AB30" s="123">
        <f>'Volume adjustments'!AB77</f>
        <v>15832.064594910415</v>
      </c>
      <c r="AC30" s="123">
        <f>'Volume adjustments'!AC77</f>
        <v>0</v>
      </c>
      <c r="AD30" s="123">
        <f>'Volume adjustments'!AD77</f>
        <v>0</v>
      </c>
      <c r="AE30" s="123">
        <f>'Volume adjustments'!AE77</f>
        <v>0</v>
      </c>
      <c r="AF30" s="123">
        <f>'Volume adjustments'!AF77</f>
        <v>0</v>
      </c>
      <c r="AG30" s="123">
        <f>'Volume adjustments'!AG77</f>
        <v>22429.580480403067</v>
      </c>
      <c r="AH30" s="123">
        <f>'Volume adjustments'!AH77</f>
        <v>0</v>
      </c>
      <c r="AI30" s="123">
        <f>'Volume adjustments'!AI77</f>
        <v>0</v>
      </c>
      <c r="AJ30" s="123">
        <f>'Volume adjustments'!AJ77</f>
        <v>0</v>
      </c>
      <c r="AK30" s="123">
        <f>'Volume adjustments'!AK77</f>
        <v>0</v>
      </c>
      <c r="AL30" s="123">
        <f>'Volume adjustments'!AL77</f>
        <v>0</v>
      </c>
      <c r="AM30" s="123">
        <f>'Volume adjustments'!AM77</f>
        <v>0</v>
      </c>
      <c r="AN30" s="123">
        <f>'Volume adjustments'!AN77</f>
        <v>0</v>
      </c>
      <c r="AO30" s="123">
        <f>'Volume adjustments'!AO77</f>
        <v>385063.70152251818</v>
      </c>
      <c r="AP30" s="123">
        <f>'Volume adjustments'!AP77</f>
        <v>0</v>
      </c>
    </row>
    <row r="31" spans="4:111" x14ac:dyDescent="0.25">
      <c r="D31" s="91"/>
      <c r="F31" t="s">
        <v>194</v>
      </c>
      <c r="G31" t="s">
        <v>243</v>
      </c>
      <c r="J31" s="123">
        <f>'Volume adjustments'!J88</f>
        <v>0</v>
      </c>
      <c r="K31" s="123">
        <f>'Volume adjustments'!K88</f>
        <v>0</v>
      </c>
      <c r="L31" s="123">
        <f>'Volume adjustments'!L88</f>
        <v>0</v>
      </c>
      <c r="M31" s="123">
        <f>'Volume adjustments'!M88</f>
        <v>0</v>
      </c>
      <c r="N31" s="123">
        <f>'Volume adjustments'!N88</f>
        <v>0</v>
      </c>
      <c r="O31" s="123">
        <f>'Volume adjustments'!O88</f>
        <v>0</v>
      </c>
      <c r="P31" s="123">
        <f>'Volume adjustments'!P88</f>
        <v>0</v>
      </c>
      <c r="Q31" s="123">
        <f>'Volume adjustments'!Q88</f>
        <v>0</v>
      </c>
      <c r="R31" s="123">
        <f>'Volume adjustments'!R88</f>
        <v>0</v>
      </c>
      <c r="S31" s="123">
        <f>'Volume adjustments'!S88</f>
        <v>165.30614809900308</v>
      </c>
      <c r="T31" s="123">
        <f>'Volume adjustments'!T88</f>
        <v>27199.510570379593</v>
      </c>
      <c r="U31" s="123">
        <f>'Volume adjustments'!U88</f>
        <v>618006.62124219816</v>
      </c>
      <c r="V31" s="123">
        <f>'Volume adjustments'!V88</f>
        <v>57152.779721852334</v>
      </c>
      <c r="W31" s="123">
        <f>'Volume adjustments'!W88</f>
        <v>401128.44876738428</v>
      </c>
      <c r="X31" s="123">
        <f>'Volume adjustments'!X88</f>
        <v>0</v>
      </c>
      <c r="Y31" s="123">
        <f>'Volume adjustments'!Y88</f>
        <v>0</v>
      </c>
      <c r="Z31" s="123">
        <f>'Volume adjustments'!Z88</f>
        <v>0</v>
      </c>
      <c r="AA31" s="123">
        <f>'Volume adjustments'!AA88</f>
        <v>0</v>
      </c>
      <c r="AB31" s="123">
        <f>'Volume adjustments'!AB88</f>
        <v>62407.524160774294</v>
      </c>
      <c r="AC31" s="123">
        <f>'Volume adjustments'!AC88</f>
        <v>0</v>
      </c>
      <c r="AD31" s="123">
        <f>'Volume adjustments'!AD88</f>
        <v>0</v>
      </c>
      <c r="AE31" s="123">
        <f>'Volume adjustments'!AE88</f>
        <v>0</v>
      </c>
      <c r="AF31" s="123">
        <f>'Volume adjustments'!AF88</f>
        <v>0</v>
      </c>
      <c r="AG31" s="123">
        <f>'Volume adjustments'!AG88</f>
        <v>25751.216289277676</v>
      </c>
      <c r="AH31" s="123">
        <f>'Volume adjustments'!AH88</f>
        <v>0</v>
      </c>
      <c r="AI31" s="123">
        <f>'Volume adjustments'!AI88</f>
        <v>0</v>
      </c>
      <c r="AJ31" s="123">
        <f>'Volume adjustments'!AJ88</f>
        <v>0</v>
      </c>
      <c r="AK31" s="123">
        <f>'Volume adjustments'!AK88</f>
        <v>0</v>
      </c>
      <c r="AL31" s="123">
        <f>'Volume adjustments'!AL88</f>
        <v>0</v>
      </c>
      <c r="AM31" s="123">
        <f>'Volume adjustments'!AM88</f>
        <v>0</v>
      </c>
      <c r="AN31" s="123">
        <f>'Volume adjustments'!AN88</f>
        <v>0</v>
      </c>
      <c r="AO31" s="123">
        <f>'Volume adjustments'!AO88</f>
        <v>361762.50157246564</v>
      </c>
      <c r="AP31" s="123">
        <f>'Volume adjustments'!AP88</f>
        <v>0</v>
      </c>
    </row>
    <row r="32" spans="4:111" x14ac:dyDescent="0.25">
      <c r="D32" s="91"/>
      <c r="F32" t="s">
        <v>248</v>
      </c>
      <c r="G32" t="s">
        <v>248</v>
      </c>
      <c r="J32" s="123">
        <f>'Volume adjustments'!J103</f>
        <v>648027.97230304021</v>
      </c>
      <c r="K32" s="123">
        <f>'Volume adjustments'!K103</f>
        <v>62348.292383718399</v>
      </c>
      <c r="L32" s="123">
        <f>'Volume adjustments'!L103</f>
        <v>74712.24696844838</v>
      </c>
      <c r="M32" s="123">
        <f>'Volume adjustments'!M103</f>
        <v>62025.622806435131</v>
      </c>
      <c r="N32" s="123">
        <f>'Volume adjustments'!N103</f>
        <v>10120.901457473723</v>
      </c>
      <c r="O32" s="123">
        <f>'Volume adjustments'!O103</f>
        <v>2439.6302539687426</v>
      </c>
      <c r="P32" s="123">
        <f>'Volume adjustments'!P103</f>
        <v>408.11128582133045</v>
      </c>
      <c r="Q32" s="123">
        <f>'Volume adjustments'!Q103</f>
        <v>0</v>
      </c>
      <c r="R32" s="123">
        <f>'Volume adjustments'!R103</f>
        <v>1</v>
      </c>
      <c r="S32" s="123">
        <f>'Volume adjustments'!S103</f>
        <v>72.364170019668492</v>
      </c>
      <c r="T32" s="123">
        <f>'Volume adjustments'!T103</f>
        <v>972.04369291698447</v>
      </c>
      <c r="U32" s="123">
        <f>'Volume adjustments'!U103</f>
        <v>6693.2392036845376</v>
      </c>
      <c r="V32" s="123">
        <f>'Volume adjustments'!V103</f>
        <v>90.355381823885764</v>
      </c>
      <c r="W32" s="123">
        <f>'Volume adjustments'!W103</f>
        <v>723.15193655095402</v>
      </c>
      <c r="X32" s="123">
        <f>'Volume adjustments'!X103</f>
        <v>261</v>
      </c>
      <c r="Y32" s="123">
        <f>'Volume adjustments'!Y103</f>
        <v>2330.1701467704784</v>
      </c>
      <c r="Z32" s="123">
        <f>'Volume adjustments'!Z103</f>
        <v>1406</v>
      </c>
      <c r="AA32" s="123">
        <f>'Volume adjustments'!AA103</f>
        <v>6</v>
      </c>
      <c r="AB32" s="123">
        <f>'Volume adjustments'!AB103</f>
        <v>14</v>
      </c>
      <c r="AC32" s="123">
        <f>'Volume adjustments'!AC103</f>
        <v>404.27777777777777</v>
      </c>
      <c r="AD32" s="123">
        <f>'Volume adjustments'!AD103</f>
        <v>0</v>
      </c>
      <c r="AE32" s="123">
        <f>'Volume adjustments'!AE103</f>
        <v>779.57731074699097</v>
      </c>
      <c r="AF32" s="123">
        <f>'Volume adjustments'!AF103</f>
        <v>0</v>
      </c>
      <c r="AG32" s="123">
        <f>'Volume adjustments'!AG103</f>
        <v>44.041666727513075</v>
      </c>
      <c r="AH32" s="123">
        <f>'Volume adjustments'!AH103</f>
        <v>0</v>
      </c>
      <c r="AI32" s="123">
        <f>'Volume adjustments'!AI103</f>
        <v>2</v>
      </c>
      <c r="AJ32" s="123">
        <f>'Volume adjustments'!AJ103</f>
        <v>0</v>
      </c>
      <c r="AK32" s="123">
        <f>'Volume adjustments'!AK103</f>
        <v>0</v>
      </c>
      <c r="AL32" s="123">
        <f>'Volume adjustments'!AL103</f>
        <v>0</v>
      </c>
      <c r="AM32" s="123">
        <f>'Volume adjustments'!AM103</f>
        <v>293</v>
      </c>
      <c r="AN32" s="123">
        <f>'Volume adjustments'!AN103</f>
        <v>0</v>
      </c>
      <c r="AO32" s="123">
        <f>'Volume adjustments'!AO103</f>
        <v>100</v>
      </c>
      <c r="AP32" s="123">
        <f>'Volume adjustments'!AP103</f>
        <v>0</v>
      </c>
    </row>
    <row r="33" spans="2:111" x14ac:dyDescent="0.25">
      <c r="D33" s="91"/>
      <c r="F33" t="s">
        <v>862</v>
      </c>
      <c r="G33" t="s">
        <v>301</v>
      </c>
      <c r="J33" s="123">
        <f>'Volume adjustments'!J114</f>
        <v>0</v>
      </c>
      <c r="K33" s="123">
        <f>'Volume adjustments'!K114</f>
        <v>0</v>
      </c>
      <c r="L33" s="123">
        <f>'Volume adjustments'!L114</f>
        <v>0</v>
      </c>
      <c r="M33" s="123">
        <f>'Volume adjustments'!M114</f>
        <v>0</v>
      </c>
      <c r="N33" s="123">
        <f>'Volume adjustments'!N114</f>
        <v>0</v>
      </c>
      <c r="O33" s="123">
        <f>'Volume adjustments'!O114</f>
        <v>0</v>
      </c>
      <c r="P33" s="123">
        <f>'Volume adjustments'!P114</f>
        <v>0</v>
      </c>
      <c r="Q33" s="123">
        <f>'Volume adjustments'!Q114</f>
        <v>0</v>
      </c>
      <c r="R33" s="123">
        <f>'Volume adjustments'!R114</f>
        <v>0</v>
      </c>
      <c r="S33" s="123">
        <f>'Volume adjustments'!S114</f>
        <v>0</v>
      </c>
      <c r="T33" s="123">
        <f>'Volume adjustments'!T114</f>
        <v>0</v>
      </c>
      <c r="U33" s="123">
        <f>'Volume adjustments'!U114</f>
        <v>865207.30769612629</v>
      </c>
      <c r="V33" s="123">
        <f>'Volume adjustments'!V114</f>
        <v>31863.811242778251</v>
      </c>
      <c r="W33" s="123">
        <f>'Volume adjustments'!W114</f>
        <v>417431.11194524198</v>
      </c>
      <c r="X33" s="123">
        <f>'Volume adjustments'!X114</f>
        <v>0</v>
      </c>
      <c r="Y33" s="123">
        <f>'Volume adjustments'!Y114</f>
        <v>0</v>
      </c>
      <c r="Z33" s="123">
        <f>'Volume adjustments'!Z114</f>
        <v>0</v>
      </c>
      <c r="AA33" s="123">
        <f>'Volume adjustments'!AA114</f>
        <v>0</v>
      </c>
      <c r="AB33" s="123">
        <f>'Volume adjustments'!AB114</f>
        <v>0</v>
      </c>
      <c r="AC33" s="123">
        <f>'Volume adjustments'!AC114</f>
        <v>0</v>
      </c>
      <c r="AD33" s="123">
        <f>'Volume adjustments'!AD114</f>
        <v>0</v>
      </c>
      <c r="AE33" s="123">
        <f>'Volume adjustments'!AE114</f>
        <v>0</v>
      </c>
      <c r="AF33" s="123">
        <f>'Volume adjustments'!AF114</f>
        <v>0</v>
      </c>
      <c r="AG33" s="123">
        <f>'Volume adjustments'!AG114</f>
        <v>0</v>
      </c>
      <c r="AH33" s="123">
        <f>'Volume adjustments'!AH114</f>
        <v>0</v>
      </c>
      <c r="AI33" s="123">
        <f>'Volume adjustments'!AI114</f>
        <v>0</v>
      </c>
      <c r="AJ33" s="123">
        <f>'Volume adjustments'!AJ114</f>
        <v>0</v>
      </c>
      <c r="AK33" s="123">
        <f>'Volume adjustments'!AK114</f>
        <v>0</v>
      </c>
      <c r="AL33" s="123">
        <f>'Volume adjustments'!AL114</f>
        <v>0</v>
      </c>
      <c r="AM33" s="123">
        <f>'Volume adjustments'!AM114</f>
        <v>0</v>
      </c>
      <c r="AN33" s="123">
        <f>'Volume adjustments'!AN114</f>
        <v>0</v>
      </c>
      <c r="AO33" s="123">
        <f>'Volume adjustments'!AO114</f>
        <v>0</v>
      </c>
      <c r="AP33" s="123">
        <f>'Volume adjustments'!AP114</f>
        <v>0</v>
      </c>
    </row>
    <row r="34" spans="2:111" x14ac:dyDescent="0.25">
      <c r="D34" s="91"/>
      <c r="F34" t="s">
        <v>302</v>
      </c>
      <c r="G34" t="s">
        <v>301</v>
      </c>
      <c r="J34" s="123">
        <f>'Volume adjustments'!J125</f>
        <v>0</v>
      </c>
      <c r="K34" s="123">
        <f>'Volume adjustments'!K125</f>
        <v>0</v>
      </c>
      <c r="L34" s="123">
        <f>'Volume adjustments'!L125</f>
        <v>0</v>
      </c>
      <c r="M34" s="123">
        <f>'Volume adjustments'!M125</f>
        <v>0</v>
      </c>
      <c r="N34" s="123">
        <f>'Volume adjustments'!N125</f>
        <v>0</v>
      </c>
      <c r="O34" s="123">
        <f>'Volume adjustments'!O125</f>
        <v>0</v>
      </c>
      <c r="P34" s="123">
        <f>'Volume adjustments'!P125</f>
        <v>0</v>
      </c>
      <c r="Q34" s="123">
        <f>'Volume adjustments'!Q125</f>
        <v>0</v>
      </c>
      <c r="R34" s="123">
        <f>'Volume adjustments'!R125</f>
        <v>0</v>
      </c>
      <c r="S34" s="123">
        <f>'Volume adjustments'!S125</f>
        <v>0</v>
      </c>
      <c r="T34" s="123">
        <f>'Volume adjustments'!T125</f>
        <v>0</v>
      </c>
      <c r="U34" s="123">
        <f>'Volume adjustments'!U125</f>
        <v>19860.688270861865</v>
      </c>
      <c r="V34" s="123">
        <f>'Volume adjustments'!V125</f>
        <v>1241.120857125464</v>
      </c>
      <c r="W34" s="123">
        <f>'Volume adjustments'!W125</f>
        <v>11113.625162499586</v>
      </c>
      <c r="X34" s="123">
        <f>'Volume adjustments'!X125</f>
        <v>0</v>
      </c>
      <c r="Y34" s="123">
        <f>'Volume adjustments'!Y125</f>
        <v>0</v>
      </c>
      <c r="Z34" s="123">
        <f>'Volume adjustments'!Z125</f>
        <v>0</v>
      </c>
      <c r="AA34" s="123">
        <f>'Volume adjustments'!AA125</f>
        <v>0</v>
      </c>
      <c r="AB34" s="123">
        <f>'Volume adjustments'!AB125</f>
        <v>0</v>
      </c>
      <c r="AC34" s="123">
        <f>'Volume adjustments'!AC125</f>
        <v>0</v>
      </c>
      <c r="AD34" s="123">
        <f>'Volume adjustments'!AD125</f>
        <v>0</v>
      </c>
      <c r="AE34" s="123">
        <f>'Volume adjustments'!AE125</f>
        <v>0</v>
      </c>
      <c r="AF34" s="123">
        <f>'Volume adjustments'!AF125</f>
        <v>0</v>
      </c>
      <c r="AG34" s="123">
        <f>'Volume adjustments'!AG125</f>
        <v>0</v>
      </c>
      <c r="AH34" s="123">
        <f>'Volume adjustments'!AH125</f>
        <v>0</v>
      </c>
      <c r="AI34" s="123">
        <f>'Volume adjustments'!AI125</f>
        <v>0</v>
      </c>
      <c r="AJ34" s="123">
        <f>'Volume adjustments'!AJ125</f>
        <v>0</v>
      </c>
      <c r="AK34" s="123">
        <f>'Volume adjustments'!AK125</f>
        <v>0</v>
      </c>
      <c r="AL34" s="123">
        <f>'Volume adjustments'!AL125</f>
        <v>0</v>
      </c>
      <c r="AM34" s="123">
        <f>'Volume adjustments'!AM125</f>
        <v>0</v>
      </c>
      <c r="AN34" s="123">
        <f>'Volume adjustments'!AN125</f>
        <v>0</v>
      </c>
      <c r="AO34" s="123">
        <f>'Volume adjustments'!AO125</f>
        <v>0</v>
      </c>
      <c r="AP34" s="123">
        <f>'Volume adjustments'!AP125</f>
        <v>0</v>
      </c>
    </row>
    <row r="35" spans="2:111" x14ac:dyDescent="0.25">
      <c r="D35" s="91"/>
      <c r="F35" s="37" t="s">
        <v>251</v>
      </c>
      <c r="G35" s="67" t="s">
        <v>304</v>
      </c>
      <c r="H35" s="37"/>
      <c r="I35" s="37"/>
      <c r="J35" s="128">
        <f>'Volume adjustments'!J136</f>
        <v>0</v>
      </c>
      <c r="K35" s="128">
        <f>'Volume adjustments'!K136</f>
        <v>0</v>
      </c>
      <c r="L35" s="128">
        <f>'Volume adjustments'!L136</f>
        <v>0</v>
      </c>
      <c r="M35" s="128">
        <f>'Volume adjustments'!M136</f>
        <v>0</v>
      </c>
      <c r="N35" s="128">
        <f>'Volume adjustments'!N136</f>
        <v>0</v>
      </c>
      <c r="O35" s="128">
        <f>'Volume adjustments'!O136</f>
        <v>0</v>
      </c>
      <c r="P35" s="128">
        <f>'Volume adjustments'!P136</f>
        <v>0</v>
      </c>
      <c r="Q35" s="128">
        <f>'Volume adjustments'!Q136</f>
        <v>0</v>
      </c>
      <c r="R35" s="128">
        <f>'Volume adjustments'!R136</f>
        <v>0</v>
      </c>
      <c r="S35" s="128">
        <f>'Volume adjustments'!S136</f>
        <v>0</v>
      </c>
      <c r="T35" s="128">
        <f>'Volume adjustments'!T136</f>
        <v>0</v>
      </c>
      <c r="U35" s="128">
        <f>'Volume adjustments'!U136</f>
        <v>135373.75373704548</v>
      </c>
      <c r="V35" s="128">
        <f>'Volume adjustments'!V136</f>
        <v>8352.9120220057539</v>
      </c>
      <c r="W35" s="128">
        <f>'Volume adjustments'!W136</f>
        <v>159557.90273842067</v>
      </c>
      <c r="X35" s="128">
        <f>'Volume adjustments'!X136</f>
        <v>0</v>
      </c>
      <c r="Y35" s="128">
        <f>'Volume adjustments'!Y136</f>
        <v>0</v>
      </c>
      <c r="Z35" s="128">
        <f>'Volume adjustments'!Z136</f>
        <v>0</v>
      </c>
      <c r="AA35" s="128">
        <f>'Volume adjustments'!AA136</f>
        <v>0</v>
      </c>
      <c r="AB35" s="128">
        <f>'Volume adjustments'!AB136</f>
        <v>0</v>
      </c>
      <c r="AC35" s="128">
        <f>'Volume adjustments'!AC136</f>
        <v>0</v>
      </c>
      <c r="AD35" s="128">
        <f>'Volume adjustments'!AD136</f>
        <v>0</v>
      </c>
      <c r="AE35" s="128">
        <f>'Volume adjustments'!AE136</f>
        <v>12047.748992658477</v>
      </c>
      <c r="AF35" s="128">
        <f>'Volume adjustments'!AF136</f>
        <v>0</v>
      </c>
      <c r="AG35" s="128">
        <f>'Volume adjustments'!AG136</f>
        <v>1323.8326474736825</v>
      </c>
      <c r="AH35" s="128">
        <f>'Volume adjustments'!AH136</f>
        <v>0</v>
      </c>
      <c r="AI35" s="128">
        <f>'Volume adjustments'!AI136</f>
        <v>0</v>
      </c>
      <c r="AJ35" s="128">
        <f>'Volume adjustments'!AJ136</f>
        <v>0</v>
      </c>
      <c r="AK35" s="128">
        <f>'Volume adjustments'!AK136</f>
        <v>0</v>
      </c>
      <c r="AL35" s="128">
        <f>'Volume adjustments'!AL136</f>
        <v>0</v>
      </c>
      <c r="AM35" s="128">
        <f>'Volume adjustments'!AM136</f>
        <v>25810.491778498552</v>
      </c>
      <c r="AN35" s="128">
        <f>'Volume adjustments'!AN136</f>
        <v>0</v>
      </c>
      <c r="AO35" s="128">
        <f>'Volume adjustments'!AO136</f>
        <v>6845.2281192707514</v>
      </c>
      <c r="AP35" s="128">
        <f>'Volume adjustments'!AP136</f>
        <v>0</v>
      </c>
    </row>
    <row r="36" spans="2:111" x14ac:dyDescent="0.25">
      <c r="D36" s="91"/>
      <c r="F36" s="2"/>
      <c r="J36" s="63"/>
      <c r="K36" s="63"/>
      <c r="L36" s="63"/>
      <c r="M36" s="63"/>
      <c r="N36" s="63"/>
      <c r="O36" s="63"/>
      <c r="P36" s="63"/>
      <c r="Q36" s="63"/>
      <c r="R36" s="63"/>
      <c r="S36" s="63"/>
      <c r="T36" s="63"/>
      <c r="U36" s="63"/>
      <c r="V36" s="63"/>
      <c r="W36" s="63"/>
      <c r="X36" s="63"/>
      <c r="Y36" s="63"/>
      <c r="Z36" s="63"/>
      <c r="AA36" s="63"/>
      <c r="AB36" s="63"/>
      <c r="AC36" s="63"/>
      <c r="AD36" s="63"/>
      <c r="AE36" s="63"/>
      <c r="AF36" s="63"/>
      <c r="AG36" s="63"/>
      <c r="AH36" s="63"/>
      <c r="AI36" s="63"/>
      <c r="AJ36" s="63"/>
      <c r="AK36" s="63"/>
      <c r="AL36" s="63"/>
      <c r="AM36" s="63"/>
      <c r="AN36" s="63"/>
      <c r="AO36" s="63"/>
      <c r="AP36" s="63"/>
    </row>
    <row r="37" spans="2:111" x14ac:dyDescent="0.25">
      <c r="D37" s="91"/>
      <c r="E37" t="s">
        <v>863</v>
      </c>
      <c r="G37" t="s">
        <v>335</v>
      </c>
      <c r="H37" s="123">
        <f>'General inputs'!$H$85</f>
        <v>268421124.97878766</v>
      </c>
      <c r="J37" s="235"/>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row>
    <row r="38" spans="2:111" x14ac:dyDescent="0.25">
      <c r="C38" s="91"/>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c r="AI38" s="63"/>
      <c r="AJ38" s="63"/>
      <c r="AK38" s="63"/>
      <c r="AL38" s="63"/>
      <c r="AM38" s="63"/>
      <c r="AN38" s="63"/>
      <c r="AO38" s="63"/>
      <c r="AP38" s="63"/>
    </row>
    <row r="39" spans="2:111" x14ac:dyDescent="0.25">
      <c r="C39" s="31" t="str">
        <f ca="1">INDEX('Version control'!$H$34:$H$56,MATCH($A$1,'Version control'!$F$34:$F$56,0),1)&amp;"-B: Net revenue before matching"</f>
        <v>Section 115-B: Net revenue before matching</v>
      </c>
      <c r="D39" s="31"/>
      <c r="E39" s="31"/>
      <c r="F39" s="31"/>
      <c r="G39" s="31"/>
      <c r="H39" s="31"/>
      <c r="I39" s="31"/>
      <c r="J39" s="31"/>
      <c r="K39" s="31"/>
      <c r="L39" s="31"/>
      <c r="M39" s="31"/>
      <c r="N39" s="31"/>
      <c r="O39" s="31"/>
      <c r="P39" s="31"/>
      <c r="Q39" s="31"/>
      <c r="R39" s="31"/>
      <c r="S39" s="31"/>
      <c r="T39" s="31"/>
      <c r="U39" s="31"/>
      <c r="V39" s="31"/>
      <c r="W39" s="31"/>
      <c r="X39" s="31"/>
      <c r="Y39" s="31"/>
      <c r="Z39" s="31"/>
      <c r="AA39" s="31"/>
      <c r="AB39" s="31"/>
      <c r="AC39" s="31"/>
      <c r="AD39" s="31"/>
      <c r="AE39" s="31"/>
      <c r="AF39" s="31"/>
      <c r="AG39" s="31"/>
      <c r="AH39" s="31"/>
      <c r="AI39" s="31"/>
      <c r="AJ39" s="31"/>
      <c r="AK39" s="31"/>
      <c r="AL39" s="31"/>
      <c r="AM39" s="31"/>
      <c r="AN39" s="31"/>
      <c r="AO39" s="31"/>
      <c r="AP39" s="31"/>
      <c r="AQ39" s="31"/>
      <c r="AR39" s="31"/>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31"/>
      <c r="CG39" s="31"/>
      <c r="CH39" s="31"/>
      <c r="CI39" s="31"/>
      <c r="CJ39" s="31"/>
      <c r="CK39" s="31"/>
      <c r="CL39" s="31"/>
      <c r="CM39" s="31"/>
      <c r="CN39" s="31"/>
      <c r="CO39" s="31"/>
      <c r="CP39" s="31"/>
      <c r="CQ39" s="31"/>
      <c r="CR39" s="31"/>
      <c r="CS39" s="31"/>
      <c r="CT39" s="31"/>
      <c r="CU39" s="31"/>
      <c r="CV39" s="31"/>
      <c r="CW39" s="31"/>
      <c r="CX39" s="31"/>
      <c r="CY39" s="31"/>
      <c r="CZ39" s="31"/>
      <c r="DA39" s="31"/>
      <c r="DB39" s="31"/>
      <c r="DC39" s="31"/>
      <c r="DD39" s="31"/>
      <c r="DE39" s="31"/>
      <c r="DF39" s="31"/>
      <c r="DG39" s="31"/>
    </row>
    <row r="40" spans="2:111" x14ac:dyDescent="0.25">
      <c r="C40" s="29"/>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63"/>
      <c r="AL40" s="63"/>
      <c r="AM40" s="63"/>
      <c r="AN40" s="63"/>
      <c r="AO40" s="63"/>
      <c r="AP40" s="63"/>
    </row>
    <row r="41" spans="2:111" x14ac:dyDescent="0.25">
      <c r="B41" s="29"/>
      <c r="D41" s="29" t="s">
        <v>864</v>
      </c>
      <c r="F41" s="2"/>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63"/>
      <c r="AL41" s="63"/>
      <c r="AM41" s="63"/>
      <c r="AN41" s="63"/>
      <c r="AO41" s="63"/>
      <c r="AP41" s="63"/>
    </row>
    <row r="42" spans="2:111" x14ac:dyDescent="0.25">
      <c r="D42" s="29" t="s">
        <v>865</v>
      </c>
      <c r="F42" s="2"/>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63"/>
      <c r="AL42" s="63"/>
      <c r="AM42" s="63"/>
      <c r="AN42" s="63"/>
      <c r="AO42" s="63"/>
      <c r="AP42" s="63"/>
    </row>
    <row r="43" spans="2:111" x14ac:dyDescent="0.25">
      <c r="D43" s="29"/>
      <c r="F43" s="2"/>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row>
    <row r="44" spans="2:111" x14ac:dyDescent="0.25">
      <c r="D44"/>
      <c r="E44" s="32" t="s">
        <v>866</v>
      </c>
      <c r="F44" s="32"/>
      <c r="H44" s="131" t="s">
        <v>657</v>
      </c>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63"/>
      <c r="AL44" s="63"/>
      <c r="AM44" s="63"/>
      <c r="AN44" s="63"/>
      <c r="AO44" s="63"/>
      <c r="AP44" s="63"/>
    </row>
    <row r="45" spans="2:111" x14ac:dyDescent="0.25">
      <c r="D45" s="91"/>
      <c r="F45" s="23" t="s">
        <v>192</v>
      </c>
      <c r="G45" s="23" t="s">
        <v>335</v>
      </c>
      <c r="H45" s="163">
        <f t="shared" ref="H45:H51" si="0">SUM(J45:AP45)</f>
        <v>89356967.395281613</v>
      </c>
      <c r="I45" s="132"/>
      <c r="J45" s="129">
        <f t="shared" ref="J45:AP45" si="1">J29 * thousand * J20 / hundred</f>
        <v>51463669.344776936</v>
      </c>
      <c r="K45" s="129">
        <f t="shared" si="1"/>
        <v>6097479.9917015387</v>
      </c>
      <c r="L45" s="129">
        <f t="shared" si="1"/>
        <v>3627913.8703347282</v>
      </c>
      <c r="M45" s="129">
        <f t="shared" si="1"/>
        <v>18754063.945047837</v>
      </c>
      <c r="N45" s="129">
        <f t="shared" si="1"/>
        <v>3706655.1911025564</v>
      </c>
      <c r="O45" s="129">
        <f t="shared" si="1"/>
        <v>218686.7092395245</v>
      </c>
      <c r="P45" s="129">
        <f t="shared" si="1"/>
        <v>632084.84468953172</v>
      </c>
      <c r="Q45" s="129">
        <f t="shared" si="1"/>
        <v>0</v>
      </c>
      <c r="R45" s="129">
        <f t="shared" si="1"/>
        <v>4309.4255499415221</v>
      </c>
      <c r="S45" s="129">
        <f t="shared" si="1"/>
        <v>5017.2574666394448</v>
      </c>
      <c r="T45" s="129">
        <f t="shared" si="1"/>
        <v>795525.82764895412</v>
      </c>
      <c r="U45" s="129">
        <f t="shared" si="1"/>
        <v>11460010.600148885</v>
      </c>
      <c r="V45" s="129">
        <f t="shared" si="1"/>
        <v>456127.0459090533</v>
      </c>
      <c r="W45" s="129">
        <f t="shared" si="1"/>
        <v>2289420.0795775196</v>
      </c>
      <c r="X45" s="129">
        <f t="shared" si="1"/>
        <v>462985.56230611703</v>
      </c>
      <c r="Y45" s="129">
        <f t="shared" si="1"/>
        <v>580610.79438687325</v>
      </c>
      <c r="Z45" s="129">
        <f t="shared" si="1"/>
        <v>148805.24335877775</v>
      </c>
      <c r="AA45" s="129">
        <f t="shared" si="1"/>
        <v>1449.7511345405455</v>
      </c>
      <c r="AB45" s="129">
        <f t="shared" si="1"/>
        <v>851803.94596130867</v>
      </c>
      <c r="AC45" s="129">
        <f t="shared" si="1"/>
        <v>-82348.995317959707</v>
      </c>
      <c r="AD45" s="129">
        <f t="shared" si="1"/>
        <v>0</v>
      </c>
      <c r="AE45" s="129">
        <f t="shared" si="1"/>
        <v>-4613837.0748891681</v>
      </c>
      <c r="AF45" s="129">
        <f t="shared" si="1"/>
        <v>0</v>
      </c>
      <c r="AG45" s="129">
        <f t="shared" si="1"/>
        <v>-348049.45679772442</v>
      </c>
      <c r="AH45" s="129">
        <f t="shared" si="1"/>
        <v>0</v>
      </c>
      <c r="AI45" s="129">
        <f t="shared" si="1"/>
        <v>-40484.177484711232</v>
      </c>
      <c r="AJ45" s="129">
        <f t="shared" si="1"/>
        <v>0</v>
      </c>
      <c r="AK45" s="129">
        <f t="shared" si="1"/>
        <v>0</v>
      </c>
      <c r="AL45" s="129">
        <f t="shared" si="1"/>
        <v>0</v>
      </c>
      <c r="AM45" s="129">
        <f t="shared" si="1"/>
        <v>-4023257.7946615224</v>
      </c>
      <c r="AN45" s="129">
        <f t="shared" si="1"/>
        <v>0</v>
      </c>
      <c r="AO45" s="129">
        <f t="shared" si="1"/>
        <v>-3091674.535908578</v>
      </c>
      <c r="AP45" s="129">
        <f t="shared" si="1"/>
        <v>0</v>
      </c>
    </row>
    <row r="46" spans="2:111" x14ac:dyDescent="0.25">
      <c r="D46" s="91"/>
      <c r="F46" t="s">
        <v>193</v>
      </c>
      <c r="G46" t="s">
        <v>335</v>
      </c>
      <c r="H46" s="92">
        <f t="shared" si="0"/>
        <v>11841671.225384666</v>
      </c>
      <c r="I46" s="63"/>
      <c r="J46" s="101">
        <f t="shared" ref="J46:AP46" si="2">J30 * thousand * J21 / hundred</f>
        <v>0</v>
      </c>
      <c r="K46" s="101">
        <f t="shared" si="2"/>
        <v>1786085.3407090411</v>
      </c>
      <c r="L46" s="101">
        <f t="shared" si="2"/>
        <v>0</v>
      </c>
      <c r="M46" s="101">
        <f t="shared" si="2"/>
        <v>0</v>
      </c>
      <c r="N46" s="101">
        <f t="shared" si="2"/>
        <v>611979.03008709091</v>
      </c>
      <c r="O46" s="101">
        <f t="shared" si="2"/>
        <v>0</v>
      </c>
      <c r="P46" s="101">
        <f t="shared" si="2"/>
        <v>70303.766347462602</v>
      </c>
      <c r="Q46" s="101">
        <f t="shared" si="2"/>
        <v>0</v>
      </c>
      <c r="R46" s="101">
        <f t="shared" si="2"/>
        <v>661.27578640753632</v>
      </c>
      <c r="S46" s="101">
        <f t="shared" si="2"/>
        <v>1954.8877821707265</v>
      </c>
      <c r="T46" s="101">
        <f t="shared" si="2"/>
        <v>610396.10491484054</v>
      </c>
      <c r="U46" s="101">
        <f t="shared" si="2"/>
        <v>8467243.404822439</v>
      </c>
      <c r="V46" s="101">
        <f t="shared" si="2"/>
        <v>330262.19640117156</v>
      </c>
      <c r="W46" s="101">
        <f t="shared" si="2"/>
        <v>1574152.7776113693</v>
      </c>
      <c r="X46" s="101">
        <f t="shared" si="2"/>
        <v>0</v>
      </c>
      <c r="Y46" s="101">
        <f t="shared" si="2"/>
        <v>0</v>
      </c>
      <c r="Z46" s="101">
        <f t="shared" si="2"/>
        <v>0</v>
      </c>
      <c r="AA46" s="101">
        <f t="shared" si="2"/>
        <v>0</v>
      </c>
      <c r="AB46" s="101">
        <f t="shared" si="2"/>
        <v>512479.10192499595</v>
      </c>
      <c r="AC46" s="101">
        <f t="shared" si="2"/>
        <v>0</v>
      </c>
      <c r="AD46" s="101">
        <f t="shared" si="2"/>
        <v>0</v>
      </c>
      <c r="AE46" s="101">
        <f t="shared" si="2"/>
        <v>0</v>
      </c>
      <c r="AF46" s="101">
        <f t="shared" si="2"/>
        <v>0</v>
      </c>
      <c r="AG46" s="101">
        <f t="shared" si="2"/>
        <v>-233858.25511354537</v>
      </c>
      <c r="AH46" s="101">
        <f t="shared" si="2"/>
        <v>0</v>
      </c>
      <c r="AI46" s="101">
        <f t="shared" si="2"/>
        <v>0</v>
      </c>
      <c r="AJ46" s="101">
        <f t="shared" si="2"/>
        <v>0</v>
      </c>
      <c r="AK46" s="101">
        <f t="shared" si="2"/>
        <v>0</v>
      </c>
      <c r="AL46" s="101">
        <f t="shared" si="2"/>
        <v>0</v>
      </c>
      <c r="AM46" s="101">
        <f t="shared" si="2"/>
        <v>0</v>
      </c>
      <c r="AN46" s="101">
        <f t="shared" si="2"/>
        <v>0</v>
      </c>
      <c r="AO46" s="101">
        <f t="shared" si="2"/>
        <v>-1889988.4058887789</v>
      </c>
      <c r="AP46" s="101">
        <f t="shared" si="2"/>
        <v>0</v>
      </c>
    </row>
    <row r="47" spans="2:111" x14ac:dyDescent="0.25">
      <c r="D47" s="91"/>
      <c r="F47" t="s">
        <v>194</v>
      </c>
      <c r="G47" t="s">
        <v>335</v>
      </c>
      <c r="H47" s="92">
        <f t="shared" si="0"/>
        <v>4590332.8992762612</v>
      </c>
      <c r="I47" s="63"/>
      <c r="J47" s="101">
        <f t="shared" ref="J47:AP47" si="3">J31 * thousand * J22 / hundred</f>
        <v>0</v>
      </c>
      <c r="K47" s="101">
        <f t="shared" si="3"/>
        <v>0</v>
      </c>
      <c r="L47" s="101">
        <f t="shared" si="3"/>
        <v>0</v>
      </c>
      <c r="M47" s="101">
        <f t="shared" si="3"/>
        <v>0</v>
      </c>
      <c r="N47" s="101">
        <f t="shared" si="3"/>
        <v>0</v>
      </c>
      <c r="O47" s="101">
        <f t="shared" si="3"/>
        <v>0</v>
      </c>
      <c r="P47" s="101">
        <f t="shared" si="3"/>
        <v>0</v>
      </c>
      <c r="Q47" s="101">
        <f t="shared" si="3"/>
        <v>0</v>
      </c>
      <c r="R47" s="101">
        <f t="shared" si="3"/>
        <v>0</v>
      </c>
      <c r="S47" s="101">
        <f t="shared" si="3"/>
        <v>1106.5648021105342</v>
      </c>
      <c r="T47" s="101">
        <f t="shared" si="3"/>
        <v>198973.59909633824</v>
      </c>
      <c r="U47" s="101">
        <f t="shared" si="3"/>
        <v>3007411.8899191171</v>
      </c>
      <c r="V47" s="101">
        <f t="shared" si="3"/>
        <v>157955.80118626036</v>
      </c>
      <c r="W47" s="101">
        <f t="shared" si="3"/>
        <v>683019.2792756703</v>
      </c>
      <c r="X47" s="101">
        <f t="shared" si="3"/>
        <v>0</v>
      </c>
      <c r="Y47" s="101">
        <f t="shared" si="3"/>
        <v>0</v>
      </c>
      <c r="Z47" s="101">
        <f t="shared" si="3"/>
        <v>0</v>
      </c>
      <c r="AA47" s="101">
        <f t="shared" si="3"/>
        <v>0</v>
      </c>
      <c r="AB47" s="101">
        <f t="shared" si="3"/>
        <v>1495101.1585732745</v>
      </c>
      <c r="AC47" s="101">
        <f t="shared" si="3"/>
        <v>0</v>
      </c>
      <c r="AD47" s="101">
        <f t="shared" si="3"/>
        <v>0</v>
      </c>
      <c r="AE47" s="101">
        <f t="shared" si="3"/>
        <v>0</v>
      </c>
      <c r="AF47" s="101">
        <f t="shared" si="3"/>
        <v>0</v>
      </c>
      <c r="AG47" s="101">
        <f t="shared" si="3"/>
        <v>-125709.67931296416</v>
      </c>
      <c r="AH47" s="101">
        <f t="shared" si="3"/>
        <v>0</v>
      </c>
      <c r="AI47" s="101">
        <f t="shared" si="3"/>
        <v>0</v>
      </c>
      <c r="AJ47" s="101">
        <f t="shared" si="3"/>
        <v>0</v>
      </c>
      <c r="AK47" s="101">
        <f t="shared" si="3"/>
        <v>0</v>
      </c>
      <c r="AL47" s="101">
        <f t="shared" si="3"/>
        <v>0</v>
      </c>
      <c r="AM47" s="101">
        <f t="shared" si="3"/>
        <v>0</v>
      </c>
      <c r="AN47" s="101">
        <f t="shared" si="3"/>
        <v>0</v>
      </c>
      <c r="AO47" s="101">
        <f t="shared" si="3"/>
        <v>-827525.714263545</v>
      </c>
      <c r="AP47" s="101">
        <f t="shared" si="3"/>
        <v>0</v>
      </c>
    </row>
    <row r="48" spans="2:111" x14ac:dyDescent="0.25">
      <c r="D48" s="91"/>
      <c r="F48" t="s">
        <v>195</v>
      </c>
      <c r="G48" t="s">
        <v>335</v>
      </c>
      <c r="H48" s="92">
        <f t="shared" si="0"/>
        <v>22144731.88983205</v>
      </c>
      <c r="I48" s="63"/>
      <c r="J48" s="101">
        <f t="shared" ref="J48:AP48" si="4">J32 * J23 * days_in_year / hundred</f>
        <v>15892520.362898136</v>
      </c>
      <c r="K48" s="101">
        <f t="shared" si="4"/>
        <v>1529056.6899121534</v>
      </c>
      <c r="L48" s="101">
        <f t="shared" si="4"/>
        <v>0</v>
      </c>
      <c r="M48" s="101">
        <f t="shared" si="4"/>
        <v>2149092.085099488</v>
      </c>
      <c r="N48" s="101">
        <f t="shared" si="4"/>
        <v>350673.61248764471</v>
      </c>
      <c r="O48" s="101">
        <f t="shared" si="4"/>
        <v>0</v>
      </c>
      <c r="P48" s="101">
        <f t="shared" si="4"/>
        <v>122714.73742453899</v>
      </c>
      <c r="Q48" s="101">
        <f t="shared" si="4"/>
        <v>0</v>
      </c>
      <c r="R48" s="101">
        <f t="shared" si="4"/>
        <v>9136.1864886566418</v>
      </c>
      <c r="S48" s="101">
        <f t="shared" si="4"/>
        <v>1774.6904373504447</v>
      </c>
      <c r="T48" s="101">
        <f t="shared" si="4"/>
        <v>33679.813475440576</v>
      </c>
      <c r="U48" s="101">
        <f t="shared" si="4"/>
        <v>656040.70121827419</v>
      </c>
      <c r="V48" s="101">
        <f t="shared" si="4"/>
        <v>16811.057348886967</v>
      </c>
      <c r="W48" s="101">
        <f t="shared" si="4"/>
        <v>788529.38201225665</v>
      </c>
      <c r="X48" s="101">
        <f t="shared" si="4"/>
        <v>0</v>
      </c>
      <c r="Y48" s="101">
        <f t="shared" si="4"/>
        <v>0</v>
      </c>
      <c r="Z48" s="101">
        <f t="shared" si="4"/>
        <v>0</v>
      </c>
      <c r="AA48" s="101">
        <f t="shared" si="4"/>
        <v>0</v>
      </c>
      <c r="AB48" s="101">
        <f t="shared" si="4"/>
        <v>0</v>
      </c>
      <c r="AC48" s="101">
        <f t="shared" si="4"/>
        <v>0</v>
      </c>
      <c r="AD48" s="101">
        <f t="shared" si="4"/>
        <v>0</v>
      </c>
      <c r="AE48" s="101">
        <f t="shared" si="4"/>
        <v>0</v>
      </c>
      <c r="AF48" s="101">
        <f t="shared" si="4"/>
        <v>0</v>
      </c>
      <c r="AG48" s="101">
        <f t="shared" si="4"/>
        <v>0</v>
      </c>
      <c r="AH48" s="101">
        <f t="shared" si="4"/>
        <v>0</v>
      </c>
      <c r="AI48" s="101">
        <f t="shared" si="4"/>
        <v>0</v>
      </c>
      <c r="AJ48" s="101">
        <f t="shared" si="4"/>
        <v>0</v>
      </c>
      <c r="AK48" s="101">
        <f t="shared" si="4"/>
        <v>0</v>
      </c>
      <c r="AL48" s="101">
        <f t="shared" si="4"/>
        <v>0</v>
      </c>
      <c r="AM48" s="101">
        <f t="shared" si="4"/>
        <v>443378.76160703006</v>
      </c>
      <c r="AN48" s="101">
        <f t="shared" si="4"/>
        <v>0</v>
      </c>
      <c r="AO48" s="101">
        <f t="shared" si="4"/>
        <v>151323.80942219455</v>
      </c>
      <c r="AP48" s="101">
        <f t="shared" si="4"/>
        <v>0</v>
      </c>
    </row>
    <row r="49" spans="2:111" x14ac:dyDescent="0.25">
      <c r="D49" s="91"/>
      <c r="F49" t="s">
        <v>862</v>
      </c>
      <c r="G49" t="s">
        <v>335</v>
      </c>
      <c r="H49" s="92">
        <f t="shared" si="0"/>
        <v>31922809.971198</v>
      </c>
      <c r="I49" s="63"/>
      <c r="J49" s="101">
        <f t="shared" ref="J49:AP49" si="5">J33 * J24 * days_in_year / hundred</f>
        <v>0</v>
      </c>
      <c r="K49" s="101">
        <f t="shared" si="5"/>
        <v>0</v>
      </c>
      <c r="L49" s="101">
        <f t="shared" si="5"/>
        <v>0</v>
      </c>
      <c r="M49" s="101">
        <f t="shared" si="5"/>
        <v>0</v>
      </c>
      <c r="N49" s="101">
        <f t="shared" si="5"/>
        <v>0</v>
      </c>
      <c r="O49" s="101">
        <f t="shared" si="5"/>
        <v>0</v>
      </c>
      <c r="P49" s="101">
        <f t="shared" si="5"/>
        <v>0</v>
      </c>
      <c r="Q49" s="101">
        <f t="shared" si="5"/>
        <v>0</v>
      </c>
      <c r="R49" s="101">
        <f t="shared" si="5"/>
        <v>0</v>
      </c>
      <c r="S49" s="101">
        <f t="shared" si="5"/>
        <v>0</v>
      </c>
      <c r="T49" s="101">
        <f t="shared" si="5"/>
        <v>0</v>
      </c>
      <c r="U49" s="101">
        <f t="shared" si="5"/>
        <v>15033448.672526265</v>
      </c>
      <c r="V49" s="101">
        <f t="shared" si="5"/>
        <v>905772.75431728258</v>
      </c>
      <c r="W49" s="101">
        <f t="shared" si="5"/>
        <v>15983588.544354454</v>
      </c>
      <c r="X49" s="101">
        <f t="shared" si="5"/>
        <v>0</v>
      </c>
      <c r="Y49" s="101">
        <f t="shared" si="5"/>
        <v>0</v>
      </c>
      <c r="Z49" s="101">
        <f t="shared" si="5"/>
        <v>0</v>
      </c>
      <c r="AA49" s="101">
        <f t="shared" si="5"/>
        <v>0</v>
      </c>
      <c r="AB49" s="101">
        <f t="shared" si="5"/>
        <v>0</v>
      </c>
      <c r="AC49" s="101">
        <f t="shared" si="5"/>
        <v>0</v>
      </c>
      <c r="AD49" s="101">
        <f t="shared" si="5"/>
        <v>0</v>
      </c>
      <c r="AE49" s="101">
        <f t="shared" si="5"/>
        <v>0</v>
      </c>
      <c r="AF49" s="101">
        <f t="shared" si="5"/>
        <v>0</v>
      </c>
      <c r="AG49" s="101">
        <f t="shared" si="5"/>
        <v>0</v>
      </c>
      <c r="AH49" s="101">
        <f t="shared" si="5"/>
        <v>0</v>
      </c>
      <c r="AI49" s="101">
        <f t="shared" si="5"/>
        <v>0</v>
      </c>
      <c r="AJ49" s="101">
        <f t="shared" si="5"/>
        <v>0</v>
      </c>
      <c r="AK49" s="101">
        <f t="shared" si="5"/>
        <v>0</v>
      </c>
      <c r="AL49" s="101">
        <f t="shared" si="5"/>
        <v>0</v>
      </c>
      <c r="AM49" s="101">
        <f t="shared" si="5"/>
        <v>0</v>
      </c>
      <c r="AN49" s="101">
        <f t="shared" si="5"/>
        <v>0</v>
      </c>
      <c r="AO49" s="101">
        <f t="shared" si="5"/>
        <v>0</v>
      </c>
      <c r="AP49" s="101">
        <f t="shared" si="5"/>
        <v>0</v>
      </c>
    </row>
    <row r="50" spans="2:111" x14ac:dyDescent="0.25">
      <c r="D50" s="91"/>
      <c r="F50" t="s">
        <v>302</v>
      </c>
      <c r="G50" t="s">
        <v>335</v>
      </c>
      <c r="H50" s="92">
        <f t="shared" si="0"/>
        <v>1184568.0291946188</v>
      </c>
      <c r="I50" s="63"/>
      <c r="J50" s="101">
        <f t="shared" ref="J50:AP50" si="6">J34 * J25 * days_in_year / hundred</f>
        <v>0</v>
      </c>
      <c r="K50" s="101">
        <f t="shared" si="6"/>
        <v>0</v>
      </c>
      <c r="L50" s="101">
        <f t="shared" si="6"/>
        <v>0</v>
      </c>
      <c r="M50" s="101">
        <f t="shared" si="6"/>
        <v>0</v>
      </c>
      <c r="N50" s="101">
        <f t="shared" si="6"/>
        <v>0</v>
      </c>
      <c r="O50" s="101">
        <f t="shared" si="6"/>
        <v>0</v>
      </c>
      <c r="P50" s="101">
        <f t="shared" si="6"/>
        <v>0</v>
      </c>
      <c r="Q50" s="101">
        <f t="shared" si="6"/>
        <v>0</v>
      </c>
      <c r="R50" s="101">
        <f t="shared" si="6"/>
        <v>0</v>
      </c>
      <c r="S50" s="101">
        <f t="shared" si="6"/>
        <v>0</v>
      </c>
      <c r="T50" s="101">
        <f t="shared" si="6"/>
        <v>0</v>
      </c>
      <c r="U50" s="101">
        <f t="shared" si="6"/>
        <v>633908.90714027081</v>
      </c>
      <c r="V50" s="101">
        <f t="shared" si="6"/>
        <v>48887.996575761448</v>
      </c>
      <c r="W50" s="101">
        <f t="shared" si="6"/>
        <v>501771.12547858647</v>
      </c>
      <c r="X50" s="101">
        <f t="shared" si="6"/>
        <v>0</v>
      </c>
      <c r="Y50" s="101">
        <f t="shared" si="6"/>
        <v>0</v>
      </c>
      <c r="Z50" s="101">
        <f t="shared" si="6"/>
        <v>0</v>
      </c>
      <c r="AA50" s="101">
        <f t="shared" si="6"/>
        <v>0</v>
      </c>
      <c r="AB50" s="101">
        <f t="shared" si="6"/>
        <v>0</v>
      </c>
      <c r="AC50" s="101">
        <f t="shared" si="6"/>
        <v>0</v>
      </c>
      <c r="AD50" s="101">
        <f t="shared" si="6"/>
        <v>0</v>
      </c>
      <c r="AE50" s="101">
        <f t="shared" si="6"/>
        <v>0</v>
      </c>
      <c r="AF50" s="101">
        <f t="shared" si="6"/>
        <v>0</v>
      </c>
      <c r="AG50" s="101">
        <f t="shared" si="6"/>
        <v>0</v>
      </c>
      <c r="AH50" s="101">
        <f t="shared" si="6"/>
        <v>0</v>
      </c>
      <c r="AI50" s="101">
        <f t="shared" si="6"/>
        <v>0</v>
      </c>
      <c r="AJ50" s="101">
        <f t="shared" si="6"/>
        <v>0</v>
      </c>
      <c r="AK50" s="101">
        <f t="shared" si="6"/>
        <v>0</v>
      </c>
      <c r="AL50" s="101">
        <f t="shared" si="6"/>
        <v>0</v>
      </c>
      <c r="AM50" s="101">
        <f t="shared" si="6"/>
        <v>0</v>
      </c>
      <c r="AN50" s="101">
        <f t="shared" si="6"/>
        <v>0</v>
      </c>
      <c r="AO50" s="101">
        <f t="shared" si="6"/>
        <v>0</v>
      </c>
      <c r="AP50" s="101">
        <f t="shared" si="6"/>
        <v>0</v>
      </c>
    </row>
    <row r="51" spans="2:111" x14ac:dyDescent="0.25">
      <c r="D51" s="91"/>
      <c r="F51" s="37" t="s">
        <v>251</v>
      </c>
      <c r="G51" s="67" t="s">
        <v>335</v>
      </c>
      <c r="H51" s="82">
        <f t="shared" si="0"/>
        <v>629473.23732497718</v>
      </c>
      <c r="I51" s="133"/>
      <c r="J51" s="103">
        <f t="shared" ref="J51:AP51" si="7">J35 * thousand * J26 / hundred</f>
        <v>0</v>
      </c>
      <c r="K51" s="103">
        <f t="shared" si="7"/>
        <v>0</v>
      </c>
      <c r="L51" s="103">
        <f t="shared" si="7"/>
        <v>0</v>
      </c>
      <c r="M51" s="103">
        <f t="shared" si="7"/>
        <v>0</v>
      </c>
      <c r="N51" s="103">
        <f t="shared" si="7"/>
        <v>0</v>
      </c>
      <c r="O51" s="103">
        <f t="shared" si="7"/>
        <v>0</v>
      </c>
      <c r="P51" s="103">
        <f t="shared" si="7"/>
        <v>0</v>
      </c>
      <c r="Q51" s="103">
        <f t="shared" si="7"/>
        <v>0</v>
      </c>
      <c r="R51" s="103">
        <f t="shared" si="7"/>
        <v>0</v>
      </c>
      <c r="S51" s="103">
        <f t="shared" si="7"/>
        <v>0</v>
      </c>
      <c r="T51" s="103">
        <f t="shared" si="7"/>
        <v>0</v>
      </c>
      <c r="U51" s="103">
        <f t="shared" si="7"/>
        <v>369609.82614868163</v>
      </c>
      <c r="V51" s="103">
        <f t="shared" si="7"/>
        <v>11479.459900687878</v>
      </c>
      <c r="W51" s="103">
        <f t="shared" si="7"/>
        <v>145646.11168879402</v>
      </c>
      <c r="X51" s="103">
        <f t="shared" si="7"/>
        <v>0</v>
      </c>
      <c r="Y51" s="103">
        <f t="shared" si="7"/>
        <v>0</v>
      </c>
      <c r="Z51" s="103">
        <f t="shared" si="7"/>
        <v>0</v>
      </c>
      <c r="AA51" s="103">
        <f t="shared" si="7"/>
        <v>0</v>
      </c>
      <c r="AB51" s="103">
        <f t="shared" si="7"/>
        <v>0</v>
      </c>
      <c r="AC51" s="103">
        <f t="shared" si="7"/>
        <v>0</v>
      </c>
      <c r="AD51" s="103">
        <f t="shared" si="7"/>
        <v>0</v>
      </c>
      <c r="AE51" s="103">
        <f t="shared" si="7"/>
        <v>31960.49792720499</v>
      </c>
      <c r="AF51" s="103">
        <f t="shared" si="7"/>
        <v>0</v>
      </c>
      <c r="AG51" s="103">
        <f t="shared" si="7"/>
        <v>3511.8884541279481</v>
      </c>
      <c r="AH51" s="103">
        <f t="shared" si="7"/>
        <v>0</v>
      </c>
      <c r="AI51" s="103">
        <f t="shared" si="7"/>
        <v>0</v>
      </c>
      <c r="AJ51" s="103">
        <f t="shared" si="7"/>
        <v>0</v>
      </c>
      <c r="AK51" s="103">
        <f t="shared" si="7"/>
        <v>0</v>
      </c>
      <c r="AL51" s="103">
        <f t="shared" si="7"/>
        <v>0</v>
      </c>
      <c r="AM51" s="103">
        <f t="shared" si="7"/>
        <v>53165.400498662406</v>
      </c>
      <c r="AN51" s="103">
        <f t="shared" si="7"/>
        <v>0</v>
      </c>
      <c r="AO51" s="103">
        <f t="shared" si="7"/>
        <v>14100.052706818497</v>
      </c>
      <c r="AP51" s="103">
        <f t="shared" si="7"/>
        <v>0</v>
      </c>
    </row>
    <row r="52" spans="2:111" x14ac:dyDescent="0.25">
      <c r="D52"/>
      <c r="E52" s="29"/>
      <c r="F52" s="111" t="s">
        <v>101</v>
      </c>
      <c r="G52" s="156" t="s">
        <v>335</v>
      </c>
      <c r="H52" s="184">
        <f>SUM(J52:AP52)</f>
        <v>161670554.64749214</v>
      </c>
      <c r="I52" s="185"/>
      <c r="J52" s="157">
        <f t="shared" ref="J52:AP52" si="8">SUM(J45:J51)</f>
        <v>67356189.70767507</v>
      </c>
      <c r="K52" s="157">
        <f t="shared" si="8"/>
        <v>9412622.022322733</v>
      </c>
      <c r="L52" s="157">
        <f t="shared" si="8"/>
        <v>3627913.8703347282</v>
      </c>
      <c r="M52" s="157">
        <f t="shared" si="8"/>
        <v>20903156.030147325</v>
      </c>
      <c r="N52" s="157">
        <f t="shared" si="8"/>
        <v>4669307.8336772919</v>
      </c>
      <c r="O52" s="157">
        <f t="shared" si="8"/>
        <v>218686.7092395245</v>
      </c>
      <c r="P52" s="157">
        <f t="shared" si="8"/>
        <v>825103.3484615332</v>
      </c>
      <c r="Q52" s="157">
        <f t="shared" si="8"/>
        <v>0</v>
      </c>
      <c r="R52" s="157">
        <f t="shared" si="8"/>
        <v>14106.887825005701</v>
      </c>
      <c r="S52" s="157">
        <f t="shared" si="8"/>
        <v>9853.4004882711506</v>
      </c>
      <c r="T52" s="157">
        <f t="shared" si="8"/>
        <v>1638575.3451355735</v>
      </c>
      <c r="U52" s="157">
        <f t="shared" si="8"/>
        <v>39627674.001923934</v>
      </c>
      <c r="V52" s="157">
        <f t="shared" si="8"/>
        <v>1927296.3116391038</v>
      </c>
      <c r="W52" s="157">
        <f t="shared" si="8"/>
        <v>21966127.299998648</v>
      </c>
      <c r="X52" s="157">
        <f t="shared" si="8"/>
        <v>462985.56230611703</v>
      </c>
      <c r="Y52" s="157">
        <f t="shared" si="8"/>
        <v>580610.79438687325</v>
      </c>
      <c r="Z52" s="157">
        <f t="shared" si="8"/>
        <v>148805.24335877775</v>
      </c>
      <c r="AA52" s="157">
        <f t="shared" si="8"/>
        <v>1449.7511345405455</v>
      </c>
      <c r="AB52" s="157">
        <f t="shared" si="8"/>
        <v>2859384.2064595791</v>
      </c>
      <c r="AC52" s="157">
        <f t="shared" si="8"/>
        <v>-82348.995317959707</v>
      </c>
      <c r="AD52" s="157">
        <f t="shared" si="8"/>
        <v>0</v>
      </c>
      <c r="AE52" s="157">
        <f t="shared" si="8"/>
        <v>-4581876.5769619634</v>
      </c>
      <c r="AF52" s="157">
        <f t="shared" si="8"/>
        <v>0</v>
      </c>
      <c r="AG52" s="157">
        <f t="shared" si="8"/>
        <v>-704105.50277010608</v>
      </c>
      <c r="AH52" s="157">
        <f t="shared" si="8"/>
        <v>0</v>
      </c>
      <c r="AI52" s="157">
        <f t="shared" si="8"/>
        <v>-40484.177484711232</v>
      </c>
      <c r="AJ52" s="157">
        <f t="shared" si="8"/>
        <v>0</v>
      </c>
      <c r="AK52" s="157">
        <f t="shared" si="8"/>
        <v>0</v>
      </c>
      <c r="AL52" s="157">
        <f t="shared" si="8"/>
        <v>0</v>
      </c>
      <c r="AM52" s="157">
        <f t="shared" si="8"/>
        <v>-3526713.6325558298</v>
      </c>
      <c r="AN52" s="157">
        <f t="shared" si="8"/>
        <v>0</v>
      </c>
      <c r="AO52" s="157">
        <f t="shared" si="8"/>
        <v>-5643764.7939318893</v>
      </c>
      <c r="AP52" s="157">
        <f t="shared" si="8"/>
        <v>0</v>
      </c>
      <c r="AQ52" s="236"/>
      <c r="AR52" s="236"/>
      <c r="AS52" s="236"/>
      <c r="AT52" s="236"/>
      <c r="AU52" s="236"/>
      <c r="AV52" s="236"/>
      <c r="AW52" s="236"/>
      <c r="AX52" s="236"/>
      <c r="AY52" s="236"/>
      <c r="AZ52" s="236"/>
      <c r="BA52" s="236"/>
      <c r="BB52" s="236"/>
      <c r="BC52" s="236"/>
      <c r="BD52" s="236"/>
      <c r="BE52" s="236"/>
      <c r="BF52" s="236"/>
      <c r="BG52" s="236"/>
      <c r="BH52" s="236"/>
      <c r="BI52" s="236"/>
      <c r="BJ52" s="236"/>
      <c r="BK52" s="236"/>
      <c r="BL52" s="236"/>
      <c r="BM52" s="236"/>
      <c r="BN52" s="236"/>
      <c r="BO52" s="236"/>
      <c r="BP52" s="236"/>
      <c r="BQ52" s="236"/>
      <c r="BR52" s="236"/>
      <c r="BS52" s="236"/>
      <c r="BT52" s="236"/>
      <c r="BU52" s="236"/>
      <c r="BV52" s="236"/>
      <c r="BW52" s="236"/>
      <c r="BX52" s="236"/>
      <c r="BY52" s="236"/>
      <c r="BZ52" s="236"/>
      <c r="CA52" s="236"/>
      <c r="CB52" s="236"/>
      <c r="CC52" s="236"/>
      <c r="CD52" s="236"/>
      <c r="CE52" s="236"/>
      <c r="CF52" s="236"/>
      <c r="CG52" s="236"/>
      <c r="CH52" s="236"/>
      <c r="CI52" s="236"/>
      <c r="CJ52" s="236"/>
      <c r="CK52" s="236"/>
      <c r="CL52" s="236"/>
      <c r="CM52" s="236"/>
      <c r="CN52" s="236"/>
      <c r="CO52" s="236"/>
      <c r="CP52" s="236"/>
      <c r="CQ52" s="236"/>
      <c r="CR52" s="236"/>
      <c r="CS52" s="236"/>
      <c r="CT52" s="236"/>
      <c r="CU52" s="236"/>
      <c r="CV52" s="236"/>
      <c r="CW52" s="236"/>
      <c r="CX52" s="236"/>
      <c r="CY52" s="236"/>
      <c r="CZ52" s="236"/>
      <c r="DA52" s="236"/>
      <c r="DB52" s="236"/>
      <c r="DC52" s="236"/>
      <c r="DD52" s="236"/>
      <c r="DE52" s="236"/>
      <c r="DF52" s="236"/>
      <c r="DG52" s="236"/>
    </row>
    <row r="53" spans="2:111" x14ac:dyDescent="0.25">
      <c r="D53"/>
      <c r="E53" s="32"/>
      <c r="F53" s="29"/>
      <c r="H53" s="92"/>
    </row>
    <row r="54" spans="2:111" x14ac:dyDescent="0.25">
      <c r="D54" s="91"/>
      <c r="E54" t="s">
        <v>867</v>
      </c>
      <c r="G54" t="s">
        <v>335</v>
      </c>
      <c r="H54" s="101">
        <f>H37 - H52</f>
        <v>106750570.33129552</v>
      </c>
      <c r="I54" s="236" t="s">
        <v>190</v>
      </c>
      <c r="J54" s="236"/>
      <c r="K54" s="236"/>
      <c r="L54" s="236"/>
      <c r="M54" s="236"/>
      <c r="N54" s="236"/>
      <c r="O54" s="236"/>
      <c r="P54" s="236"/>
      <c r="Q54" s="236"/>
      <c r="R54" s="236"/>
      <c r="S54" s="236"/>
      <c r="T54" s="236"/>
      <c r="U54" s="236"/>
      <c r="V54" s="236"/>
      <c r="W54" s="236"/>
      <c r="X54" s="236"/>
      <c r="Y54" s="236"/>
      <c r="Z54" s="236"/>
      <c r="AA54" s="236"/>
      <c r="AB54" s="236"/>
      <c r="AC54" s="236"/>
      <c r="AD54" s="236"/>
      <c r="AE54" s="236"/>
      <c r="AF54" s="236"/>
      <c r="AG54" s="236"/>
      <c r="AH54" s="236"/>
      <c r="AI54" s="236"/>
      <c r="AJ54" s="236"/>
      <c r="AK54" s="236"/>
      <c r="AL54" s="236"/>
      <c r="AM54" s="236"/>
      <c r="AN54" s="236"/>
      <c r="AO54" s="236"/>
      <c r="AP54" s="236"/>
      <c r="AQ54" s="236"/>
      <c r="AR54" s="236"/>
      <c r="AS54" s="236"/>
      <c r="AT54" s="236"/>
      <c r="AU54" s="236"/>
      <c r="AV54" s="236"/>
      <c r="AW54" s="236"/>
      <c r="AX54" s="236"/>
      <c r="AY54" s="236"/>
      <c r="AZ54" s="236"/>
      <c r="BA54" s="236"/>
      <c r="BB54" s="236"/>
      <c r="BC54" s="236"/>
      <c r="BD54" s="236"/>
      <c r="BE54" s="236"/>
      <c r="BF54" s="236"/>
      <c r="BG54" s="236"/>
      <c r="BH54" s="236"/>
      <c r="BI54" s="236"/>
      <c r="BJ54" s="236"/>
      <c r="BK54" s="236"/>
      <c r="BL54" s="236"/>
      <c r="BM54" s="236"/>
      <c r="BN54" s="236"/>
      <c r="BO54" s="236"/>
      <c r="BP54" s="236"/>
      <c r="BQ54" s="236"/>
      <c r="BR54" s="236"/>
      <c r="BS54" s="236"/>
      <c r="BT54" s="236"/>
      <c r="BU54" s="236"/>
      <c r="BV54" s="236"/>
      <c r="BW54" s="236"/>
      <c r="BX54" s="236"/>
      <c r="BY54" s="236"/>
      <c r="BZ54" s="236"/>
      <c r="CA54" s="236"/>
      <c r="CB54" s="236"/>
      <c r="CC54" s="236"/>
      <c r="CD54" s="236"/>
      <c r="CE54" s="236"/>
      <c r="CF54" s="236"/>
      <c r="CG54" s="236"/>
      <c r="CH54" s="236"/>
      <c r="CI54" s="236"/>
      <c r="CJ54" s="236"/>
      <c r="CK54" s="236"/>
      <c r="CL54" s="236"/>
      <c r="CM54" s="236"/>
      <c r="CN54" s="236"/>
      <c r="CO54" s="236"/>
      <c r="CP54" s="236"/>
      <c r="CQ54" s="236"/>
      <c r="CR54" s="236"/>
      <c r="CS54" s="236"/>
      <c r="CT54" s="236"/>
      <c r="CU54" s="236"/>
      <c r="CV54" s="236"/>
      <c r="CW54" s="236"/>
      <c r="CX54" s="236"/>
      <c r="CY54" s="236"/>
      <c r="CZ54" s="236"/>
      <c r="DA54" s="236"/>
      <c r="DB54" s="236"/>
      <c r="DC54" s="236"/>
      <c r="DD54" s="236"/>
      <c r="DE54" s="236"/>
      <c r="DF54" s="236"/>
      <c r="DG54" s="236" t="s">
        <v>868</v>
      </c>
    </row>
    <row r="55" spans="2:111" x14ac:dyDescent="0.25">
      <c r="C55" s="91"/>
      <c r="I55" s="236"/>
      <c r="J55" s="236"/>
      <c r="K55" s="236"/>
      <c r="L55" s="236"/>
      <c r="M55" s="236"/>
      <c r="N55" s="236"/>
      <c r="O55" s="236"/>
      <c r="P55" s="236"/>
      <c r="Q55" s="236"/>
      <c r="R55" s="236"/>
      <c r="S55" s="236"/>
      <c r="T55" s="236"/>
      <c r="U55" s="236"/>
      <c r="V55" s="236"/>
      <c r="W55" s="236"/>
      <c r="X55" s="236"/>
      <c r="Y55" s="236"/>
      <c r="Z55" s="236"/>
      <c r="AA55" s="236"/>
      <c r="AB55" s="236"/>
      <c r="AC55" s="236"/>
      <c r="AD55" s="236"/>
      <c r="AE55" s="236"/>
      <c r="AF55" s="236"/>
      <c r="AG55" s="236"/>
      <c r="AH55" s="236"/>
      <c r="AI55" s="236"/>
      <c r="AJ55" s="236"/>
      <c r="AK55" s="236"/>
      <c r="AL55" s="236"/>
      <c r="AM55" s="236"/>
      <c r="AN55" s="236"/>
      <c r="AO55" s="236"/>
      <c r="AP55" s="236"/>
      <c r="AQ55" s="236"/>
      <c r="AR55" s="236"/>
      <c r="AS55" s="236"/>
      <c r="AT55" s="236"/>
      <c r="AU55" s="236"/>
      <c r="AV55" s="236"/>
      <c r="AW55" s="236"/>
      <c r="AX55" s="236"/>
      <c r="AY55" s="236"/>
      <c r="AZ55" s="236"/>
      <c r="BA55" s="236"/>
      <c r="BB55" s="236"/>
      <c r="BC55" s="236"/>
      <c r="BD55" s="236"/>
      <c r="BE55" s="236"/>
      <c r="BF55" s="236"/>
      <c r="BG55" s="236"/>
      <c r="BH55" s="236"/>
      <c r="BI55" s="236"/>
      <c r="BJ55" s="236"/>
      <c r="BK55" s="236"/>
      <c r="BL55" s="236"/>
      <c r="BM55" s="236"/>
      <c r="BN55" s="236"/>
      <c r="BO55" s="236"/>
      <c r="BP55" s="236"/>
      <c r="BQ55" s="236"/>
      <c r="BR55" s="236"/>
      <c r="BS55" s="236"/>
      <c r="BT55" s="236"/>
      <c r="BU55" s="236"/>
      <c r="BV55" s="236"/>
      <c r="BW55" s="236"/>
      <c r="BX55" s="236"/>
      <c r="BY55" s="236"/>
      <c r="BZ55" s="236"/>
      <c r="CA55" s="236"/>
      <c r="CB55" s="236"/>
      <c r="CC55" s="236"/>
      <c r="CD55" s="236"/>
      <c r="CE55" s="236"/>
      <c r="CF55" s="236"/>
      <c r="CG55" s="236"/>
      <c r="CH55" s="236"/>
      <c r="CI55" s="236"/>
      <c r="CJ55" s="236"/>
      <c r="CK55" s="236"/>
      <c r="CL55" s="236"/>
      <c r="CM55" s="236"/>
      <c r="CN55" s="236"/>
      <c r="CO55" s="236"/>
      <c r="CP55" s="236"/>
      <c r="CQ55" s="236"/>
      <c r="CR55" s="236"/>
      <c r="CS55" s="236"/>
      <c r="CT55" s="236"/>
      <c r="CU55" s="236"/>
      <c r="CV55" s="236"/>
      <c r="CW55" s="236"/>
      <c r="CX55" s="236"/>
      <c r="CY55" s="236"/>
      <c r="CZ55" s="236"/>
      <c r="DA55" s="236"/>
      <c r="DB55" s="236"/>
      <c r="DC55" s="236"/>
      <c r="DD55" s="236"/>
      <c r="DE55" s="236"/>
      <c r="DF55" s="236"/>
      <c r="DG55" s="236"/>
    </row>
    <row r="56" spans="2:111" x14ac:dyDescent="0.25">
      <c r="B56" s="30" t="s">
        <v>869</v>
      </c>
      <c r="C56" s="30"/>
      <c r="D56" s="30"/>
      <c r="E56" s="30"/>
      <c r="F56" s="30"/>
      <c r="G56" s="30"/>
      <c r="H56" s="30"/>
      <c r="I56" s="30"/>
      <c r="J56" s="30"/>
      <c r="K56" s="30"/>
      <c r="L56" s="30"/>
      <c r="M56" s="30"/>
      <c r="N56" s="30"/>
      <c r="O56" s="30"/>
      <c r="P56" s="30"/>
      <c r="Q56" s="30"/>
      <c r="R56" s="30"/>
      <c r="S56" s="30"/>
      <c r="T56" s="30"/>
      <c r="U56" s="30"/>
      <c r="V56" s="30"/>
      <c r="W56" s="30"/>
      <c r="X56" s="30"/>
      <c r="Y56" s="30"/>
      <c r="Z56" s="30"/>
      <c r="AA56" s="30"/>
      <c r="AB56" s="30"/>
      <c r="AC56" s="30"/>
      <c r="AD56" s="30"/>
      <c r="AE56" s="30"/>
      <c r="AF56" s="30"/>
      <c r="AG56" s="30"/>
      <c r="AH56" s="30"/>
      <c r="AI56" s="30"/>
      <c r="AJ56" s="30"/>
      <c r="AK56" s="30"/>
      <c r="AL56" s="30"/>
      <c r="AM56" s="30"/>
      <c r="AN56" s="30"/>
      <c r="AO56" s="30"/>
      <c r="AP56" s="30"/>
      <c r="AQ56" s="30"/>
      <c r="AR56" s="30"/>
      <c r="AS56" s="108"/>
      <c r="AT56" s="108"/>
      <c r="AU56" s="108"/>
      <c r="AV56" s="108"/>
      <c r="AW56" s="108"/>
      <c r="AX56" s="108"/>
      <c r="AY56" s="108"/>
      <c r="AZ56" s="108"/>
      <c r="BA56" s="108"/>
      <c r="BB56" s="108"/>
      <c r="BC56" s="108"/>
      <c r="BD56" s="108"/>
      <c r="BE56" s="108"/>
      <c r="BF56" s="108"/>
      <c r="BG56" s="108"/>
      <c r="BH56" s="108"/>
      <c r="BI56" s="108"/>
      <c r="BJ56" s="108"/>
      <c r="BK56" s="108"/>
      <c r="BL56" s="108"/>
      <c r="BM56" s="108"/>
      <c r="BN56" s="108"/>
      <c r="BO56" s="108"/>
      <c r="BP56" s="108"/>
      <c r="BQ56" s="108"/>
      <c r="BR56" s="108"/>
      <c r="BS56" s="108"/>
      <c r="BT56" s="108"/>
      <c r="BU56" s="108"/>
      <c r="BV56" s="108"/>
      <c r="BW56" s="108"/>
      <c r="BX56" s="108"/>
      <c r="BY56" s="108"/>
      <c r="BZ56" s="108"/>
      <c r="CA56" s="108"/>
      <c r="CB56" s="108"/>
      <c r="CC56" s="108"/>
      <c r="CD56" s="108"/>
      <c r="CE56" s="108"/>
      <c r="CF56" s="108"/>
      <c r="CG56" s="108"/>
      <c r="CH56" s="108"/>
      <c r="CI56" s="108"/>
      <c r="CJ56" s="108"/>
      <c r="CK56" s="108"/>
      <c r="CL56" s="108"/>
      <c r="CM56" s="108"/>
      <c r="CN56" s="108"/>
      <c r="CO56" s="108"/>
      <c r="CP56" s="108"/>
      <c r="CQ56" s="108"/>
      <c r="CR56" s="108"/>
      <c r="CS56" s="108"/>
      <c r="CT56" s="108"/>
      <c r="CU56" s="108"/>
      <c r="CV56" s="108"/>
      <c r="CW56" s="108"/>
      <c r="CX56" s="108"/>
      <c r="CY56" s="108"/>
      <c r="CZ56" s="108"/>
      <c r="DA56" s="108"/>
      <c r="DB56" s="108"/>
      <c r="DC56" s="108"/>
      <c r="DD56" s="108"/>
      <c r="DE56" s="108"/>
      <c r="DF56" s="108"/>
      <c r="DG56" s="108"/>
    </row>
    <row r="57" spans="2:111" x14ac:dyDescent="0.25">
      <c r="C57" s="29"/>
    </row>
    <row r="58" spans="2:111" x14ac:dyDescent="0.25">
      <c r="C58" s="29" t="s">
        <v>870</v>
      </c>
    </row>
    <row r="59" spans="2:111" x14ac:dyDescent="0.25">
      <c r="C59" s="29" t="s">
        <v>871</v>
      </c>
    </row>
    <row r="60" spans="2:111" x14ac:dyDescent="0.25">
      <c r="C60" s="29" t="s">
        <v>872</v>
      </c>
    </row>
    <row r="61" spans="2:111" x14ac:dyDescent="0.25">
      <c r="C61" s="29"/>
    </row>
    <row r="62" spans="2:111" x14ac:dyDescent="0.25">
      <c r="C62" s="31" t="str">
        <f ca="1">INDEX('Version control'!$H$34:$H$56,MATCH($A$1,'Version control'!$F$34:$F$56,0),1)&amp;"-C: Calculation of unconstrained adder solution"</f>
        <v>Section 115-C: Calculation of unconstrained adder solution</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31"/>
      <c r="BU62" s="31"/>
      <c r="BV62" s="31"/>
      <c r="BW62" s="31"/>
      <c r="BX62" s="31"/>
      <c r="BY62" s="31"/>
      <c r="BZ62" s="31"/>
      <c r="CA62" s="31"/>
      <c r="CB62" s="31"/>
      <c r="CC62" s="31"/>
      <c r="CD62" s="31"/>
      <c r="CE62" s="31"/>
      <c r="CF62" s="31"/>
      <c r="CG62" s="31"/>
      <c r="CH62" s="31"/>
      <c r="CI62" s="31"/>
      <c r="CJ62" s="31"/>
      <c r="CK62" s="31"/>
      <c r="CL62" s="31"/>
      <c r="CM62" s="31"/>
      <c r="CN62" s="31"/>
      <c r="CO62" s="31"/>
      <c r="CP62" s="31"/>
      <c r="CQ62" s="31"/>
      <c r="CR62" s="31"/>
      <c r="CS62" s="31"/>
      <c r="CT62" s="31"/>
      <c r="CU62" s="31"/>
      <c r="CV62" s="31"/>
      <c r="CW62" s="31"/>
      <c r="CX62" s="31"/>
      <c r="CY62" s="31"/>
      <c r="CZ62" s="31"/>
      <c r="DA62" s="31"/>
      <c r="DB62" s="31"/>
      <c r="DC62" s="31"/>
      <c r="DD62" s="31"/>
      <c r="DE62" s="31"/>
      <c r="DF62" s="31"/>
      <c r="DG62" s="31"/>
    </row>
    <row r="63" spans="2:111" x14ac:dyDescent="0.25">
      <c r="D63" s="91"/>
    </row>
    <row r="64" spans="2:111" x14ac:dyDescent="0.25">
      <c r="E64" s="32" t="s">
        <v>873</v>
      </c>
      <c r="H64" s="236"/>
      <c r="I64" s="236"/>
    </row>
    <row r="65" spans="3:111" x14ac:dyDescent="0.25">
      <c r="E65" s="29" t="s">
        <v>874</v>
      </c>
      <c r="H65" s="236"/>
      <c r="I65" s="236"/>
    </row>
    <row r="66" spans="3:111" x14ac:dyDescent="0.25">
      <c r="D66"/>
      <c r="E66" s="29" t="s">
        <v>875</v>
      </c>
      <c r="H66" s="236"/>
      <c r="I66" s="236"/>
    </row>
    <row r="67" spans="3:111" x14ac:dyDescent="0.25">
      <c r="D67"/>
      <c r="E67" s="29" t="s">
        <v>876</v>
      </c>
      <c r="H67" s="236"/>
      <c r="I67" s="236"/>
    </row>
    <row r="68" spans="3:111" x14ac:dyDescent="0.25">
      <c r="C68" s="91"/>
      <c r="F68" s="23" t="s">
        <v>877</v>
      </c>
      <c r="G68" s="23" t="s">
        <v>327</v>
      </c>
      <c r="H68" s="302"/>
      <c r="I68" s="302"/>
      <c r="J68" s="321">
        <f t="shared" ref="J68:AP68" si="9">-J20</f>
        <v>-2.1812548702806467</v>
      </c>
      <c r="K68" s="321">
        <f t="shared" si="9"/>
        <v>-2.52657420114173</v>
      </c>
      <c r="L68" s="321">
        <f t="shared" si="9"/>
        <v>-0.85754957267127052</v>
      </c>
      <c r="M68" s="321">
        <f t="shared" si="9"/>
        <v>-2.2398015486733498</v>
      </c>
      <c r="N68" s="321">
        <f t="shared" si="9"/>
        <v>-2.4357122429871434</v>
      </c>
      <c r="O68" s="321">
        <f t="shared" si="9"/>
        <v>-0.77709672833130972</v>
      </c>
      <c r="P68" s="321">
        <f t="shared" si="9"/>
        <v>-2.1130558314365118</v>
      </c>
      <c r="Q68" s="321">
        <f t="shared" si="9"/>
        <v>-1.5437565865293077</v>
      </c>
      <c r="R68" s="321">
        <f t="shared" si="9"/>
        <v>-0.78588931926926087</v>
      </c>
      <c r="S68" s="321">
        <f t="shared" si="9"/>
        <v>-9.2860596177916985</v>
      </c>
      <c r="T68" s="321">
        <f t="shared" si="9"/>
        <v>-10.147472710891583</v>
      </c>
      <c r="U68" s="321">
        <f t="shared" si="9"/>
        <v>-6.8120939588588545</v>
      </c>
      <c r="V68" s="321">
        <f t="shared" si="9"/>
        <v>-4.0192524728674064</v>
      </c>
      <c r="W68" s="321">
        <f t="shared" si="9"/>
        <v>-2.5912776700784232</v>
      </c>
      <c r="X68" s="321">
        <f t="shared" si="9"/>
        <v>-3.2735965599064762</v>
      </c>
      <c r="Y68" s="321">
        <f t="shared" si="9"/>
        <v>-3.3598921033853024</v>
      </c>
      <c r="Z68" s="321">
        <f t="shared" si="9"/>
        <v>-4.2265496602454524</v>
      </c>
      <c r="AA68" s="321">
        <f t="shared" si="9"/>
        <v>-3.2764562377993087</v>
      </c>
      <c r="AB68" s="321">
        <f t="shared" si="9"/>
        <v>-18.431963873020528</v>
      </c>
      <c r="AC68" s="321">
        <f t="shared" si="9"/>
        <v>1.2841828889894253</v>
      </c>
      <c r="AD68" s="321">
        <f t="shared" si="9"/>
        <v>1.1523156075321794</v>
      </c>
      <c r="AE68" s="321">
        <f t="shared" si="9"/>
        <v>1.2841828889894253</v>
      </c>
      <c r="AF68" s="321">
        <f t="shared" si="9"/>
        <v>1.2841828889894253</v>
      </c>
      <c r="AG68" s="321">
        <f t="shared" si="9"/>
        <v>6.7715623244648135</v>
      </c>
      <c r="AH68" s="321">
        <f t="shared" si="9"/>
        <v>6.7715623244648135</v>
      </c>
      <c r="AI68" s="321">
        <f t="shared" si="9"/>
        <v>1.1523156075321794</v>
      </c>
      <c r="AJ68" s="321">
        <f t="shared" si="9"/>
        <v>1.1523156075321794</v>
      </c>
      <c r="AK68" s="321">
        <f t="shared" si="9"/>
        <v>6.0880001830517498</v>
      </c>
      <c r="AL68" s="321">
        <f t="shared" si="9"/>
        <v>6.0880001830517498</v>
      </c>
      <c r="AM68" s="321">
        <f t="shared" si="9"/>
        <v>0.61647152195632826</v>
      </c>
      <c r="AN68" s="321">
        <f t="shared" si="9"/>
        <v>0.61647152195632826</v>
      </c>
      <c r="AO68" s="321">
        <f t="shared" si="9"/>
        <v>3.3270697869504446</v>
      </c>
      <c r="AP68" s="321">
        <f t="shared" si="9"/>
        <v>3.3270697869504446</v>
      </c>
      <c r="AQ68" s="304"/>
      <c r="AR68" s="304"/>
      <c r="AS68" s="304"/>
      <c r="AT68" s="304"/>
      <c r="AU68" s="304"/>
      <c r="AV68" s="304"/>
      <c r="AW68" s="304"/>
      <c r="AX68" s="304"/>
      <c r="AY68" s="304"/>
      <c r="AZ68" s="304"/>
      <c r="BA68" s="304"/>
      <c r="BB68" s="304"/>
      <c r="BC68" s="304"/>
      <c r="BD68" s="304"/>
      <c r="BE68" s="304"/>
      <c r="BF68" s="304"/>
      <c r="BG68" s="304"/>
      <c r="BH68" s="304"/>
      <c r="BI68" s="304"/>
      <c r="BJ68" s="304"/>
      <c r="BK68" s="304"/>
      <c r="BL68" s="304"/>
      <c r="BM68" s="304"/>
      <c r="BN68" s="304"/>
      <c r="BO68" s="304"/>
      <c r="BP68" s="304"/>
      <c r="BQ68" s="304"/>
      <c r="BR68" s="304"/>
      <c r="BS68" s="304"/>
      <c r="BT68" s="304"/>
      <c r="BU68" s="304"/>
      <c r="BV68" s="304"/>
      <c r="BW68" s="304"/>
      <c r="BX68" s="304"/>
      <c r="BY68" s="304"/>
      <c r="BZ68" s="304"/>
      <c r="CA68" s="304"/>
      <c r="CB68" s="304"/>
      <c r="CC68" s="304"/>
      <c r="CD68" s="304"/>
      <c r="CE68" s="304"/>
      <c r="CF68" s="304"/>
      <c r="CG68" s="304"/>
      <c r="CH68" s="304"/>
      <c r="CI68" s="304"/>
      <c r="CJ68" s="304"/>
      <c r="CK68" s="304"/>
      <c r="CL68" s="304"/>
      <c r="CM68" s="304"/>
      <c r="CN68" s="304"/>
      <c r="CO68" s="304"/>
      <c r="CP68" s="304"/>
      <c r="CQ68" s="304"/>
      <c r="CR68" s="304"/>
      <c r="CS68" s="304"/>
      <c r="CT68" s="304"/>
      <c r="CU68" s="304"/>
      <c r="CV68" s="304"/>
      <c r="CW68" s="304"/>
      <c r="CX68" s="304"/>
      <c r="CY68" s="304"/>
      <c r="CZ68" s="304"/>
      <c r="DA68" s="304"/>
      <c r="DB68" s="304"/>
      <c r="DC68" s="304"/>
      <c r="DD68" s="304"/>
      <c r="DE68" s="304"/>
      <c r="DF68" s="304"/>
      <c r="DG68" s="304"/>
    </row>
    <row r="69" spans="3:111" x14ac:dyDescent="0.25">
      <c r="C69" s="91"/>
      <c r="F69" t="s">
        <v>878</v>
      </c>
      <c r="G69" t="s">
        <v>327</v>
      </c>
      <c r="H69" s="304"/>
      <c r="I69" s="304"/>
      <c r="J69" s="322">
        <f t="shared" ref="J69:AP69" si="10">-J21</f>
        <v>0</v>
      </c>
      <c r="K69" s="322">
        <f t="shared" si="10"/>
        <v>-0.87428917856668065</v>
      </c>
      <c r="L69" s="322">
        <f t="shared" si="10"/>
        <v>0</v>
      </c>
      <c r="M69" s="322">
        <f t="shared" si="10"/>
        <v>0</v>
      </c>
      <c r="N69" s="322">
        <f t="shared" si="10"/>
        <v>-0.74368804964490787</v>
      </c>
      <c r="O69" s="322">
        <f t="shared" si="10"/>
        <v>0</v>
      </c>
      <c r="P69" s="322">
        <f t="shared" si="10"/>
        <v>-0.70007732172153636</v>
      </c>
      <c r="Q69" s="322">
        <f t="shared" si="10"/>
        <v>-0.51034324501475914</v>
      </c>
      <c r="R69" s="322">
        <f t="shared" si="10"/>
        <v>-0.24508239849318561</v>
      </c>
      <c r="S69" s="322">
        <f t="shared" si="10"/>
        <v>-1.4297196397962209</v>
      </c>
      <c r="T69" s="322">
        <f t="shared" si="10"/>
        <v>-1.5624117090109557</v>
      </c>
      <c r="U69" s="322">
        <f t="shared" si="10"/>
        <v>-1.0402561060815092</v>
      </c>
      <c r="V69" s="322">
        <f t="shared" si="10"/>
        <v>-0.59300883388133552</v>
      </c>
      <c r="W69" s="322">
        <f t="shared" si="10"/>
        <v>-0.36704350228485144</v>
      </c>
      <c r="X69" s="322">
        <f t="shared" si="10"/>
        <v>0</v>
      </c>
      <c r="Y69" s="322">
        <f t="shared" si="10"/>
        <v>0</v>
      </c>
      <c r="Z69" s="322">
        <f t="shared" si="10"/>
        <v>0</v>
      </c>
      <c r="AA69" s="322">
        <f t="shared" si="10"/>
        <v>0</v>
      </c>
      <c r="AB69" s="322">
        <f t="shared" si="10"/>
        <v>-3.2369694985311281</v>
      </c>
      <c r="AC69" s="322">
        <f t="shared" si="10"/>
        <v>0</v>
      </c>
      <c r="AD69" s="322">
        <f t="shared" si="10"/>
        <v>0</v>
      </c>
      <c r="AE69" s="322">
        <f t="shared" si="10"/>
        <v>0</v>
      </c>
      <c r="AF69" s="322">
        <f t="shared" si="10"/>
        <v>0</v>
      </c>
      <c r="AG69" s="322">
        <f t="shared" si="10"/>
        <v>1.0426332107186289</v>
      </c>
      <c r="AH69" s="322">
        <f t="shared" si="10"/>
        <v>1.0426332107186289</v>
      </c>
      <c r="AI69" s="322">
        <f t="shared" si="10"/>
        <v>0</v>
      </c>
      <c r="AJ69" s="322">
        <f t="shared" si="10"/>
        <v>0</v>
      </c>
      <c r="AK69" s="322">
        <f t="shared" si="10"/>
        <v>0.93407500674127786</v>
      </c>
      <c r="AL69" s="322">
        <f t="shared" si="10"/>
        <v>0.93407500674127786</v>
      </c>
      <c r="AM69" s="322">
        <f t="shared" si="10"/>
        <v>0</v>
      </c>
      <c r="AN69" s="322">
        <f t="shared" si="10"/>
        <v>0</v>
      </c>
      <c r="AO69" s="322">
        <f t="shared" si="10"/>
        <v>0.49082486830513528</v>
      </c>
      <c r="AP69" s="322">
        <f t="shared" si="10"/>
        <v>0.49082486830513528</v>
      </c>
      <c r="AQ69" s="304"/>
      <c r="AR69" s="304"/>
      <c r="AS69" s="304"/>
      <c r="AT69" s="304"/>
      <c r="AU69" s="304"/>
      <c r="AV69" s="304"/>
      <c r="AW69" s="304"/>
      <c r="AX69" s="304"/>
      <c r="AY69" s="304"/>
      <c r="AZ69" s="304"/>
      <c r="BA69" s="304"/>
      <c r="BB69" s="304"/>
      <c r="BC69" s="304"/>
      <c r="BD69" s="304"/>
      <c r="BE69" s="304"/>
      <c r="BF69" s="304"/>
      <c r="BG69" s="304"/>
      <c r="BH69" s="304"/>
      <c r="BI69" s="304"/>
      <c r="BJ69" s="304"/>
      <c r="BK69" s="304"/>
      <c r="BL69" s="304"/>
      <c r="BM69" s="304"/>
      <c r="BN69" s="304"/>
      <c r="BO69" s="304"/>
      <c r="BP69" s="304"/>
      <c r="BQ69" s="304"/>
      <c r="BR69" s="304"/>
      <c r="BS69" s="304"/>
      <c r="BT69" s="304"/>
      <c r="BU69" s="304"/>
      <c r="BV69" s="304"/>
      <c r="BW69" s="304"/>
      <c r="BX69" s="304"/>
      <c r="BY69" s="304"/>
      <c r="BZ69" s="304"/>
      <c r="CA69" s="304"/>
      <c r="CB69" s="304"/>
      <c r="CC69" s="304"/>
      <c r="CD69" s="304"/>
      <c r="CE69" s="304"/>
      <c r="CF69" s="304"/>
      <c r="CG69" s="304"/>
      <c r="CH69" s="304"/>
      <c r="CI69" s="304"/>
      <c r="CJ69" s="304"/>
      <c r="CK69" s="304"/>
      <c r="CL69" s="304"/>
      <c r="CM69" s="304"/>
      <c r="CN69" s="304"/>
      <c r="CO69" s="304"/>
      <c r="CP69" s="304"/>
      <c r="CQ69" s="304"/>
      <c r="CR69" s="304"/>
      <c r="CS69" s="304"/>
      <c r="CT69" s="304"/>
      <c r="CU69" s="304"/>
      <c r="CV69" s="304"/>
      <c r="CW69" s="304"/>
      <c r="CX69" s="304"/>
      <c r="CY69" s="304"/>
      <c r="CZ69" s="304"/>
      <c r="DA69" s="304"/>
      <c r="DB69" s="304"/>
      <c r="DC69" s="304"/>
      <c r="DD69" s="304"/>
      <c r="DE69" s="304"/>
      <c r="DF69" s="304"/>
      <c r="DG69" s="304"/>
    </row>
    <row r="70" spans="3:111" x14ac:dyDescent="0.25">
      <c r="C70" s="91"/>
      <c r="F70" s="37" t="s">
        <v>879</v>
      </c>
      <c r="G70" s="37" t="s">
        <v>327</v>
      </c>
      <c r="H70" s="308"/>
      <c r="I70" s="308"/>
      <c r="J70" s="324">
        <f t="shared" ref="J70:AP70" si="11">-J22</f>
        <v>0</v>
      </c>
      <c r="K70" s="324">
        <f t="shared" si="11"/>
        <v>0</v>
      </c>
      <c r="L70" s="324">
        <f t="shared" si="11"/>
        <v>0</v>
      </c>
      <c r="M70" s="324">
        <f t="shared" si="11"/>
        <v>0</v>
      </c>
      <c r="N70" s="324">
        <f t="shared" si="11"/>
        <v>0</v>
      </c>
      <c r="O70" s="324">
        <f t="shared" si="11"/>
        <v>0</v>
      </c>
      <c r="P70" s="324">
        <f t="shared" si="11"/>
        <v>0</v>
      </c>
      <c r="Q70" s="324">
        <f t="shared" si="11"/>
        <v>0</v>
      </c>
      <c r="R70" s="324">
        <f t="shared" si="11"/>
        <v>0</v>
      </c>
      <c r="S70" s="324">
        <f t="shared" si="11"/>
        <v>-0.66940329493843409</v>
      </c>
      <c r="T70" s="324">
        <f t="shared" si="11"/>
        <v>-0.73153374793817616</v>
      </c>
      <c r="U70" s="324">
        <f t="shared" si="11"/>
        <v>-0.48663101438528217</v>
      </c>
      <c r="V70" s="324">
        <f t="shared" si="11"/>
        <v>-0.2763746609613566</v>
      </c>
      <c r="W70" s="324">
        <f t="shared" si="11"/>
        <v>-0.17027445482226455</v>
      </c>
      <c r="X70" s="324">
        <f t="shared" si="11"/>
        <v>0</v>
      </c>
      <c r="Y70" s="324">
        <f t="shared" si="11"/>
        <v>0</v>
      </c>
      <c r="Z70" s="324">
        <f t="shared" si="11"/>
        <v>0</v>
      </c>
      <c r="AA70" s="324">
        <f t="shared" si="11"/>
        <v>0</v>
      </c>
      <c r="AB70" s="324">
        <f t="shared" si="11"/>
        <v>-2.3957065733317577</v>
      </c>
      <c r="AC70" s="324">
        <f t="shared" si="11"/>
        <v>0</v>
      </c>
      <c r="AD70" s="324">
        <f t="shared" si="11"/>
        <v>0</v>
      </c>
      <c r="AE70" s="324">
        <f t="shared" si="11"/>
        <v>0</v>
      </c>
      <c r="AF70" s="324">
        <f t="shared" si="11"/>
        <v>0</v>
      </c>
      <c r="AG70" s="324">
        <f t="shared" si="11"/>
        <v>0.48816987089385483</v>
      </c>
      <c r="AH70" s="324">
        <f t="shared" si="11"/>
        <v>0.48816987089385483</v>
      </c>
      <c r="AI70" s="324">
        <f t="shared" si="11"/>
        <v>0</v>
      </c>
      <c r="AJ70" s="324">
        <f t="shared" si="11"/>
        <v>0</v>
      </c>
      <c r="AK70" s="324">
        <f t="shared" si="11"/>
        <v>0.43717848120950387</v>
      </c>
      <c r="AL70" s="324">
        <f t="shared" si="11"/>
        <v>0.43717848120950387</v>
      </c>
      <c r="AM70" s="324">
        <f t="shared" si="11"/>
        <v>0</v>
      </c>
      <c r="AN70" s="324">
        <f t="shared" si="11"/>
        <v>0</v>
      </c>
      <c r="AO70" s="324">
        <f t="shared" si="11"/>
        <v>0.22874833921883997</v>
      </c>
      <c r="AP70" s="324">
        <f t="shared" si="11"/>
        <v>0.22874833921883997</v>
      </c>
      <c r="AQ70" s="304"/>
      <c r="AR70" s="304"/>
      <c r="AS70" s="304"/>
      <c r="AT70" s="304"/>
      <c r="AU70" s="304"/>
      <c r="AV70" s="304"/>
      <c r="AW70" s="304"/>
      <c r="AX70" s="304"/>
      <c r="AY70" s="304"/>
      <c r="AZ70" s="304"/>
      <c r="BA70" s="304"/>
      <c r="BB70" s="304"/>
      <c r="BC70" s="304"/>
      <c r="BD70" s="304"/>
      <c r="BE70" s="304"/>
      <c r="BF70" s="304"/>
      <c r="BG70" s="304"/>
      <c r="BH70" s="304"/>
      <c r="BI70" s="304"/>
      <c r="BJ70" s="304"/>
      <c r="BK70" s="304"/>
      <c r="BL70" s="304"/>
      <c r="BM70" s="304"/>
      <c r="BN70" s="304"/>
      <c r="BO70" s="304"/>
      <c r="BP70" s="304"/>
      <c r="BQ70" s="304"/>
      <c r="BR70" s="304"/>
      <c r="BS70" s="304"/>
      <c r="BT70" s="304"/>
      <c r="BU70" s="304"/>
      <c r="BV70" s="304"/>
      <c r="BW70" s="304"/>
      <c r="BX70" s="304"/>
      <c r="BY70" s="304"/>
      <c r="BZ70" s="304"/>
      <c r="CA70" s="304"/>
      <c r="CB70" s="304"/>
      <c r="CC70" s="304"/>
      <c r="CD70" s="304"/>
      <c r="CE70" s="304"/>
      <c r="CF70" s="304"/>
      <c r="CG70" s="304"/>
      <c r="CH70" s="304"/>
      <c r="CI70" s="304"/>
      <c r="CJ70" s="304"/>
      <c r="CK70" s="304"/>
      <c r="CL70" s="304"/>
      <c r="CM70" s="304"/>
      <c r="CN70" s="304"/>
      <c r="CO70" s="304"/>
      <c r="CP70" s="304"/>
      <c r="CQ70" s="304"/>
      <c r="CR70" s="304"/>
      <c r="CS70" s="304"/>
      <c r="CT70" s="304"/>
      <c r="CU70" s="304"/>
      <c r="CV70" s="304"/>
      <c r="CW70" s="304"/>
      <c r="CX70" s="304"/>
      <c r="CY70" s="304"/>
      <c r="CZ70" s="304"/>
      <c r="DA70" s="304"/>
      <c r="DB70" s="304"/>
      <c r="DC70" s="304"/>
      <c r="DD70" s="304"/>
      <c r="DE70" s="304"/>
      <c r="DF70" s="304"/>
      <c r="DG70" s="304"/>
    </row>
    <row r="71" spans="3:111" x14ac:dyDescent="0.25">
      <c r="C71" s="91"/>
      <c r="F71" s="2"/>
      <c r="J71" s="92"/>
      <c r="K71" s="92"/>
      <c r="L71" s="92"/>
      <c r="M71" s="92"/>
      <c r="N71" s="92"/>
      <c r="O71" s="92"/>
      <c r="P71" s="92"/>
      <c r="Q71" s="92"/>
      <c r="R71" s="92"/>
      <c r="S71" s="92"/>
      <c r="T71" s="92"/>
      <c r="U71" s="92"/>
      <c r="V71" s="92"/>
      <c r="W71" s="92"/>
      <c r="X71" s="92"/>
      <c r="Y71" s="92"/>
      <c r="Z71" s="92"/>
      <c r="AA71" s="92"/>
      <c r="AB71" s="92"/>
      <c r="AC71" s="92"/>
      <c r="AD71" s="92"/>
      <c r="AE71" s="92"/>
      <c r="AF71" s="92"/>
      <c r="AG71" s="92"/>
      <c r="AH71" s="92"/>
      <c r="AI71" s="92"/>
      <c r="AJ71" s="92"/>
      <c r="AK71" s="92"/>
      <c r="AL71" s="92"/>
      <c r="AM71" s="92"/>
      <c r="AN71" s="92"/>
      <c r="AO71" s="92"/>
      <c r="AP71" s="92"/>
    </row>
    <row r="72" spans="3:111" x14ac:dyDescent="0.25">
      <c r="E72" s="32" t="s">
        <v>880</v>
      </c>
      <c r="H72" s="236"/>
      <c r="I72" s="236"/>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3:111" x14ac:dyDescent="0.25">
      <c r="E73" s="29" t="s">
        <v>881</v>
      </c>
      <c r="H73" s="236"/>
      <c r="I73" s="236"/>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111" x14ac:dyDescent="0.25">
      <c r="D74"/>
      <c r="E74" s="29" t="s">
        <v>882</v>
      </c>
      <c r="H74" s="236"/>
      <c r="I74" s="236"/>
      <c r="J74" s="92"/>
      <c r="K74" s="92"/>
      <c r="L74" s="92"/>
      <c r="M74" s="92"/>
      <c r="N74" s="92"/>
      <c r="O74" s="92"/>
      <c r="P74" s="92"/>
      <c r="Q74" s="92"/>
      <c r="R74" s="92"/>
      <c r="S74" s="92"/>
      <c r="T74" s="92"/>
      <c r="U74" s="92"/>
      <c r="V74" s="92"/>
      <c r="W74" s="92"/>
      <c r="X74" s="92"/>
      <c r="Y74" s="92"/>
      <c r="Z74" s="92"/>
      <c r="AA74" s="92"/>
      <c r="AB74" s="92"/>
      <c r="AC74" s="92"/>
      <c r="AD74" s="92"/>
      <c r="AE74" s="92"/>
      <c r="AF74" s="92"/>
      <c r="AG74" s="92"/>
      <c r="AH74" s="92"/>
      <c r="AI74" s="92"/>
      <c r="AJ74" s="92"/>
      <c r="AK74" s="92"/>
      <c r="AL74" s="92"/>
      <c r="AM74" s="92"/>
      <c r="AN74" s="92"/>
      <c r="AO74" s="92"/>
      <c r="AP74" s="92"/>
    </row>
    <row r="75" spans="3:111" x14ac:dyDescent="0.25">
      <c r="D75"/>
      <c r="E75" s="29" t="s">
        <v>883</v>
      </c>
      <c r="H75" s="236"/>
      <c r="I75" s="236"/>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111" x14ac:dyDescent="0.25">
      <c r="F76" s="23" t="s">
        <v>884</v>
      </c>
      <c r="G76" s="23" t="s">
        <v>243</v>
      </c>
      <c r="H76" s="23"/>
      <c r="I76" s="23"/>
      <c r="J76" s="129">
        <f t="shared" ref="J76:AB76" si="12">J29</f>
        <v>2359360.6618815465</v>
      </c>
      <c r="K76" s="129">
        <f t="shared" si="12"/>
        <v>241333.8974547495</v>
      </c>
      <c r="L76" s="129">
        <f t="shared" si="12"/>
        <v>423055.87757845432</v>
      </c>
      <c r="M76" s="129">
        <f t="shared" si="12"/>
        <v>837309.17840270267</v>
      </c>
      <c r="N76" s="129">
        <f t="shared" si="12"/>
        <v>152179.51963638922</v>
      </c>
      <c r="O76" s="129">
        <f t="shared" si="12"/>
        <v>28141.504302703608</v>
      </c>
      <c r="P76" s="129">
        <f t="shared" si="12"/>
        <v>29913.305426474391</v>
      </c>
      <c r="Q76" s="129">
        <f t="shared" si="12"/>
        <v>0</v>
      </c>
      <c r="R76" s="129">
        <f t="shared" si="12"/>
        <v>548.35018676020832</v>
      </c>
      <c r="S76" s="129">
        <f t="shared" si="12"/>
        <v>54.029994132566102</v>
      </c>
      <c r="T76" s="129">
        <f t="shared" si="12"/>
        <v>7839.6449077915986</v>
      </c>
      <c r="U76" s="129">
        <f t="shared" si="12"/>
        <v>168230.36601316402</v>
      </c>
      <c r="V76" s="129">
        <f t="shared" si="12"/>
        <v>11348.554214700629</v>
      </c>
      <c r="W76" s="129">
        <f t="shared" si="12"/>
        <v>88351.013324953004</v>
      </c>
      <c r="X76" s="129">
        <f t="shared" si="12"/>
        <v>14143.024463568723</v>
      </c>
      <c r="Y76" s="129">
        <f t="shared" si="12"/>
        <v>17280.638083641774</v>
      </c>
      <c r="Z76" s="129">
        <f t="shared" si="12"/>
        <v>3520.726250029109</v>
      </c>
      <c r="AA76" s="129">
        <f t="shared" si="12"/>
        <v>44.247535426088803</v>
      </c>
      <c r="AB76" s="129">
        <f t="shared" si="12"/>
        <v>4621.3412299929805</v>
      </c>
      <c r="AC76" s="83"/>
      <c r="AD76" s="83"/>
      <c r="AE76" s="83"/>
      <c r="AF76" s="83"/>
      <c r="AG76" s="83"/>
      <c r="AH76" s="83"/>
      <c r="AI76" s="83"/>
      <c r="AJ76" s="83"/>
      <c r="AK76" s="83"/>
      <c r="AL76" s="83"/>
      <c r="AM76" s="83"/>
      <c r="AN76" s="83"/>
      <c r="AO76" s="83"/>
      <c r="AP76" s="83"/>
    </row>
    <row r="77" spans="3:111" x14ac:dyDescent="0.25">
      <c r="C77" s="91"/>
      <c r="F77" t="s">
        <v>885</v>
      </c>
      <c r="G77" t="s">
        <v>243</v>
      </c>
      <c r="J77" s="101">
        <f t="shared" ref="J77:AB77" si="13">J30</f>
        <v>0</v>
      </c>
      <c r="K77" s="101">
        <f t="shared" si="13"/>
        <v>204289.9974625294</v>
      </c>
      <c r="L77" s="101">
        <f t="shared" si="13"/>
        <v>0</v>
      </c>
      <c r="M77" s="101">
        <f t="shared" si="13"/>
        <v>0</v>
      </c>
      <c r="N77" s="101">
        <f t="shared" si="13"/>
        <v>82289.749092955753</v>
      </c>
      <c r="O77" s="101">
        <f t="shared" si="13"/>
        <v>0</v>
      </c>
      <c r="P77" s="101">
        <f t="shared" si="13"/>
        <v>10042.285925586189</v>
      </c>
      <c r="Q77" s="101">
        <f t="shared" si="13"/>
        <v>0</v>
      </c>
      <c r="R77" s="101">
        <f t="shared" si="13"/>
        <v>269.81773904335392</v>
      </c>
      <c r="S77" s="101">
        <f t="shared" si="13"/>
        <v>136.73224650179375</v>
      </c>
      <c r="T77" s="101">
        <f t="shared" si="13"/>
        <v>39067.558275099967</v>
      </c>
      <c r="U77" s="101">
        <f t="shared" si="13"/>
        <v>813957.57788120955</v>
      </c>
      <c r="V77" s="101">
        <f t="shared" si="13"/>
        <v>55692.626742093176</v>
      </c>
      <c r="W77" s="101">
        <f t="shared" si="13"/>
        <v>428873.62609942525</v>
      </c>
      <c r="X77" s="101">
        <f t="shared" si="13"/>
        <v>0</v>
      </c>
      <c r="Y77" s="101">
        <f t="shared" si="13"/>
        <v>0</v>
      </c>
      <c r="Z77" s="101">
        <f t="shared" si="13"/>
        <v>0</v>
      </c>
      <c r="AA77" s="101">
        <f t="shared" si="13"/>
        <v>0</v>
      </c>
      <c r="AB77" s="101">
        <f t="shared" si="13"/>
        <v>15832.064594910415</v>
      </c>
      <c r="AC77" s="79"/>
      <c r="AD77" s="79"/>
      <c r="AE77" s="79"/>
      <c r="AF77" s="79"/>
      <c r="AG77" s="79"/>
      <c r="AH77" s="79"/>
      <c r="AI77" s="79"/>
      <c r="AJ77" s="79"/>
      <c r="AK77" s="79"/>
      <c r="AL77" s="79"/>
      <c r="AM77" s="79"/>
      <c r="AN77" s="79"/>
      <c r="AO77" s="79"/>
      <c r="AP77" s="79"/>
    </row>
    <row r="78" spans="3:111" x14ac:dyDescent="0.25">
      <c r="C78" s="91"/>
      <c r="F78" s="37" t="s">
        <v>886</v>
      </c>
      <c r="G78" s="37" t="s">
        <v>243</v>
      </c>
      <c r="H78" s="37"/>
      <c r="I78" s="37"/>
      <c r="J78" s="103">
        <f t="shared" ref="J78:AB78" si="14">J31</f>
        <v>0</v>
      </c>
      <c r="K78" s="103">
        <f t="shared" si="14"/>
        <v>0</v>
      </c>
      <c r="L78" s="103">
        <f t="shared" si="14"/>
        <v>0</v>
      </c>
      <c r="M78" s="103">
        <f t="shared" si="14"/>
        <v>0</v>
      </c>
      <c r="N78" s="103">
        <f t="shared" si="14"/>
        <v>0</v>
      </c>
      <c r="O78" s="103">
        <f t="shared" si="14"/>
        <v>0</v>
      </c>
      <c r="P78" s="103">
        <f t="shared" si="14"/>
        <v>0</v>
      </c>
      <c r="Q78" s="103">
        <f t="shared" si="14"/>
        <v>0</v>
      </c>
      <c r="R78" s="103">
        <f t="shared" si="14"/>
        <v>0</v>
      </c>
      <c r="S78" s="103">
        <f t="shared" si="14"/>
        <v>165.30614809900308</v>
      </c>
      <c r="T78" s="103">
        <f t="shared" si="14"/>
        <v>27199.510570379593</v>
      </c>
      <c r="U78" s="103">
        <f t="shared" si="14"/>
        <v>618006.62124219816</v>
      </c>
      <c r="V78" s="103">
        <f t="shared" si="14"/>
        <v>57152.779721852334</v>
      </c>
      <c r="W78" s="103">
        <f t="shared" si="14"/>
        <v>401128.44876738428</v>
      </c>
      <c r="X78" s="103">
        <f t="shared" si="14"/>
        <v>0</v>
      </c>
      <c r="Y78" s="103">
        <f t="shared" si="14"/>
        <v>0</v>
      </c>
      <c r="Z78" s="103">
        <f t="shared" si="14"/>
        <v>0</v>
      </c>
      <c r="AA78" s="103">
        <f t="shared" si="14"/>
        <v>0</v>
      </c>
      <c r="AB78" s="103">
        <f t="shared" si="14"/>
        <v>62407.524160774294</v>
      </c>
      <c r="AC78" s="81"/>
      <c r="AD78" s="81"/>
      <c r="AE78" s="81"/>
      <c r="AF78" s="81"/>
      <c r="AG78" s="81"/>
      <c r="AH78" s="81"/>
      <c r="AI78" s="81"/>
      <c r="AJ78" s="81"/>
      <c r="AK78" s="81"/>
      <c r="AL78" s="81"/>
      <c r="AM78" s="81"/>
      <c r="AN78" s="81"/>
      <c r="AO78" s="81"/>
      <c r="AP78" s="81"/>
    </row>
    <row r="79" spans="3:111" x14ac:dyDescent="0.25">
      <c r="C79" s="91"/>
      <c r="F79" s="2"/>
    </row>
    <row r="80" spans="3:111" x14ac:dyDescent="0.25">
      <c r="E80" s="32" t="s">
        <v>887</v>
      </c>
      <c r="H80" s="236"/>
      <c r="I80" s="236" t="s">
        <v>190</v>
      </c>
      <c r="DG80" t="s">
        <v>888</v>
      </c>
    </row>
    <row r="81" spans="3:111" x14ac:dyDescent="0.25">
      <c r="E81" s="29" t="s">
        <v>889</v>
      </c>
      <c r="H81" s="236"/>
      <c r="I81" s="236"/>
    </row>
    <row r="82" spans="3:111" x14ac:dyDescent="0.25">
      <c r="D82"/>
      <c r="E82" s="29" t="s">
        <v>890</v>
      </c>
      <c r="H82" s="236"/>
      <c r="I82" s="236"/>
    </row>
    <row r="83" spans="3:111" x14ac:dyDescent="0.25">
      <c r="D83"/>
      <c r="E83" s="29" t="s">
        <v>891</v>
      </c>
      <c r="H83" s="236"/>
      <c r="I83" s="236"/>
    </row>
    <row r="84" spans="3:111" x14ac:dyDescent="0.25">
      <c r="E84" s="91"/>
      <c r="F84" t="s">
        <v>892</v>
      </c>
      <c r="G84" t="s">
        <v>327</v>
      </c>
      <c r="H84" s="322">
        <f>H54/SUM(J76:AP78)/ten</f>
        <v>1.481867161241285</v>
      </c>
      <c r="I84" s="304"/>
      <c r="J84" s="304"/>
      <c r="K84" s="304"/>
      <c r="L84" s="304"/>
      <c r="M84" s="304"/>
      <c r="N84" s="304"/>
      <c r="O84" s="304"/>
      <c r="P84" s="304"/>
      <c r="Q84" s="304"/>
      <c r="R84" s="304"/>
      <c r="S84" s="304"/>
      <c r="T84" s="304"/>
      <c r="U84" s="304"/>
      <c r="V84" s="304"/>
      <c r="W84" s="304"/>
      <c r="X84" s="304"/>
      <c r="Y84" s="304"/>
      <c r="Z84" s="304"/>
      <c r="AA84" s="304"/>
      <c r="AB84" s="304"/>
      <c r="AC84" s="304"/>
      <c r="AD84" s="304"/>
      <c r="AE84" s="304"/>
      <c r="AF84" s="304"/>
      <c r="AG84" s="304"/>
      <c r="AH84" s="304"/>
      <c r="AI84" s="304"/>
      <c r="AJ84" s="304"/>
      <c r="AK84" s="304"/>
      <c r="AL84" s="304"/>
      <c r="AM84" s="304"/>
      <c r="AN84" s="304"/>
      <c r="AO84" s="304"/>
      <c r="AP84" s="304"/>
      <c r="AQ84" s="304"/>
      <c r="AR84" s="304"/>
      <c r="AS84" s="304"/>
      <c r="AT84" s="304"/>
      <c r="AU84" s="304"/>
      <c r="AV84" s="304"/>
      <c r="AW84" s="304"/>
      <c r="AX84" s="304"/>
      <c r="AY84" s="304"/>
      <c r="AZ84" s="304"/>
      <c r="BA84" s="304"/>
      <c r="BB84" s="304"/>
      <c r="BC84" s="304"/>
      <c r="BD84" s="304"/>
      <c r="BE84" s="304"/>
      <c r="BF84" s="304"/>
      <c r="BG84" s="304"/>
      <c r="BH84" s="304"/>
      <c r="BI84" s="304"/>
      <c r="BJ84" s="304"/>
      <c r="BK84" s="304"/>
      <c r="BL84" s="304"/>
      <c r="BM84" s="304"/>
      <c r="BN84" s="304"/>
      <c r="BO84" s="304"/>
      <c r="BP84" s="304"/>
      <c r="BQ84" s="304"/>
      <c r="BR84" s="304"/>
      <c r="BS84" s="304"/>
      <c r="BT84" s="304"/>
      <c r="BU84" s="304"/>
      <c r="BV84" s="304"/>
      <c r="BW84" s="304"/>
      <c r="BX84" s="304"/>
      <c r="BY84" s="304"/>
      <c r="BZ84" s="304"/>
      <c r="CA84" s="304"/>
      <c r="CB84" s="304"/>
      <c r="CC84" s="304"/>
      <c r="CD84" s="304"/>
      <c r="CE84" s="304"/>
      <c r="CF84" s="304"/>
      <c r="CG84" s="304"/>
      <c r="CH84" s="304"/>
      <c r="CI84" s="304"/>
      <c r="CJ84" s="304"/>
      <c r="CK84" s="304"/>
      <c r="CL84" s="304"/>
      <c r="CM84" s="304"/>
      <c r="CN84" s="304"/>
      <c r="CO84" s="304"/>
      <c r="CP84" s="304"/>
      <c r="CQ84" s="304"/>
      <c r="CR84" s="304"/>
      <c r="CS84" s="304"/>
      <c r="CT84" s="304"/>
      <c r="CU84" s="304"/>
      <c r="CV84" s="304"/>
      <c r="CW84" s="304"/>
      <c r="CX84" s="304"/>
      <c r="CY84" s="304"/>
      <c r="CZ84" s="304"/>
      <c r="DA84" s="304"/>
      <c r="DB84" s="304"/>
      <c r="DC84" s="304"/>
      <c r="DD84" s="304"/>
      <c r="DE84" s="304"/>
      <c r="DF84" s="304"/>
      <c r="DG84" s="304"/>
    </row>
    <row r="85" spans="3:111" x14ac:dyDescent="0.25">
      <c r="D85" s="91"/>
    </row>
    <row r="86" spans="3:111" x14ac:dyDescent="0.25">
      <c r="C86" s="31" t="str">
        <f ca="1">INDEX('Version control'!$H$34:$H$56,MATCH($A$1,'Version control'!$F$34:$F$56,0),1)&amp;"-D: Algorithm to find constrained adder solution"</f>
        <v>Section 115-D: Algorithm to find constrained adder solution</v>
      </c>
      <c r="D86" s="31"/>
      <c r="E86" s="31"/>
      <c r="F86" s="31"/>
      <c r="G86" s="31"/>
      <c r="H86" s="31"/>
      <c r="I86" s="31"/>
      <c r="J86" s="31"/>
      <c r="K86" s="31"/>
      <c r="L86" s="31"/>
      <c r="M86" s="31"/>
      <c r="N86" s="31"/>
      <c r="O86" s="31"/>
      <c r="P86" s="31"/>
      <c r="Q86" s="31"/>
      <c r="R86" s="31"/>
      <c r="S86" s="31"/>
      <c r="T86" s="31"/>
      <c r="U86" s="31"/>
      <c r="V86" s="31"/>
      <c r="W86" s="31"/>
      <c r="X86" s="31"/>
      <c r="Y86" s="31"/>
      <c r="Z86" s="31"/>
      <c r="AA86" s="31"/>
      <c r="AB86" s="31"/>
      <c r="AC86" s="31"/>
      <c r="AD86" s="31"/>
      <c r="AE86" s="31"/>
      <c r="AF86" s="31"/>
      <c r="AG86" s="31"/>
      <c r="AH86" s="31"/>
      <c r="AI86" s="31"/>
      <c r="AJ86" s="31"/>
      <c r="AK86" s="31"/>
      <c r="AL86" s="31"/>
      <c r="AM86" s="31"/>
      <c r="AN86" s="31"/>
      <c r="AO86" s="31"/>
      <c r="AP86" s="31"/>
      <c r="AQ86" s="31"/>
      <c r="AR86" s="31"/>
      <c r="AS86" s="31"/>
      <c r="AT86" s="31"/>
      <c r="AU86" s="31"/>
      <c r="AV86" s="31"/>
      <c r="AW86" s="31"/>
      <c r="AX86" s="31"/>
      <c r="AY86" s="31"/>
      <c r="AZ86" s="31"/>
      <c r="BA86" s="31"/>
      <c r="BB86" s="31"/>
      <c r="BC86" s="31"/>
      <c r="BD86" s="31"/>
      <c r="BE86" s="31"/>
      <c r="BF86" s="31"/>
      <c r="BG86" s="31"/>
      <c r="BH86" s="31"/>
      <c r="BI86" s="31"/>
      <c r="BJ86" s="31"/>
      <c r="BK86" s="31"/>
      <c r="BL86" s="31"/>
      <c r="BM86" s="31"/>
      <c r="BN86" s="31"/>
      <c r="BO86" s="31"/>
      <c r="BP86" s="31"/>
      <c r="BQ86" s="31"/>
      <c r="BR86" s="31"/>
      <c r="BS86" s="31"/>
      <c r="BT86" s="31"/>
      <c r="BU86" s="31"/>
      <c r="BV86" s="31"/>
      <c r="BW86" s="31"/>
      <c r="BX86" s="31"/>
      <c r="BY86" s="31"/>
      <c r="BZ86" s="31"/>
      <c r="CA86" s="31"/>
      <c r="CB86" s="31"/>
      <c r="CC86" s="31"/>
      <c r="CD86" s="31"/>
      <c r="CE86" s="31"/>
      <c r="CF86" s="31"/>
      <c r="CG86" s="31"/>
      <c r="CH86" s="31"/>
      <c r="CI86" s="31"/>
      <c r="CJ86" s="31"/>
      <c r="CK86" s="31"/>
      <c r="CL86" s="31"/>
      <c r="CM86" s="31"/>
      <c r="CN86" s="31"/>
      <c r="CO86" s="31"/>
      <c r="CP86" s="31"/>
      <c r="CQ86" s="31"/>
      <c r="CR86" s="31"/>
      <c r="CS86" s="31"/>
      <c r="CT86" s="31"/>
      <c r="CU86" s="31"/>
      <c r="CV86" s="31"/>
      <c r="CW86" s="31"/>
      <c r="CX86" s="31"/>
      <c r="CY86" s="31"/>
      <c r="CZ86" s="31"/>
      <c r="DA86" s="31"/>
      <c r="DB86" s="31"/>
      <c r="DC86" s="31"/>
      <c r="DD86" s="31"/>
      <c r="DE86" s="31"/>
      <c r="DF86" s="31"/>
      <c r="DG86" s="31"/>
    </row>
    <row r="87" spans="3:111" x14ac:dyDescent="0.25">
      <c r="D87" s="91"/>
    </row>
    <row r="88" spans="3:111" x14ac:dyDescent="0.25">
      <c r="D88" s="29" t="s">
        <v>893</v>
      </c>
      <c r="E88"/>
      <c r="I88" t="s">
        <v>190</v>
      </c>
      <c r="DG88" t="s">
        <v>888</v>
      </c>
    </row>
    <row r="89" spans="3:111" x14ac:dyDescent="0.25">
      <c r="D89" s="29" t="s">
        <v>894</v>
      </c>
      <c r="E89"/>
    </row>
    <row r="90" spans="3:111" x14ac:dyDescent="0.25">
      <c r="D90" s="29" t="s">
        <v>895</v>
      </c>
      <c r="E90"/>
    </row>
    <row r="91" spans="3:111" outlineLevel="1" x14ac:dyDescent="0.25"/>
    <row r="92" spans="3:111" outlineLevel="1" x14ac:dyDescent="0.25">
      <c r="D92" s="32" t="s">
        <v>896</v>
      </c>
      <c r="E92"/>
      <c r="H92" s="236"/>
      <c r="I92" s="236"/>
    </row>
    <row r="93" spans="3:111" outlineLevel="1" x14ac:dyDescent="0.25">
      <c r="D93" s="32" t="s">
        <v>897</v>
      </c>
      <c r="E93"/>
      <c r="H93" s="236"/>
      <c r="I93" s="236"/>
    </row>
    <row r="94" spans="3:111" outlineLevel="1" x14ac:dyDescent="0.25">
      <c r="D94" s="32"/>
      <c r="E94"/>
      <c r="H94" s="236"/>
      <c r="I94" s="236"/>
    </row>
    <row r="95" spans="3:111" ht="75" outlineLevel="1" x14ac:dyDescent="0.25">
      <c r="D95"/>
      <c r="E95" s="237" t="s">
        <v>898</v>
      </c>
      <c r="F95" s="237"/>
      <c r="G95" s="237"/>
      <c r="H95" s="238"/>
      <c r="I95" s="237"/>
      <c r="J95" s="61" t="s">
        <v>899</v>
      </c>
      <c r="K95" s="61" t="s">
        <v>900</v>
      </c>
      <c r="L95" s="61" t="s">
        <v>901</v>
      </c>
      <c r="M95" s="61" t="s">
        <v>902</v>
      </c>
      <c r="N95" s="61" t="s">
        <v>903</v>
      </c>
      <c r="O95" s="61" t="s">
        <v>904</v>
      </c>
      <c r="P95" s="61" t="s">
        <v>905</v>
      </c>
      <c r="Q95" s="61" t="s">
        <v>906</v>
      </c>
      <c r="R95" s="61" t="s">
        <v>907</v>
      </c>
      <c r="S95" s="61" t="s">
        <v>908</v>
      </c>
      <c r="T95" s="61" t="s">
        <v>909</v>
      </c>
      <c r="U95" s="61" t="s">
        <v>910</v>
      </c>
      <c r="V95" s="61" t="s">
        <v>911</v>
      </c>
      <c r="W95" s="61" t="s">
        <v>912</v>
      </c>
      <c r="X95" s="61" t="s">
        <v>913</v>
      </c>
      <c r="Y95" s="61" t="s">
        <v>914</v>
      </c>
      <c r="Z95" s="61" t="s">
        <v>915</v>
      </c>
      <c r="AA95" s="61" t="s">
        <v>916</v>
      </c>
      <c r="AB95" s="61" t="s">
        <v>917</v>
      </c>
      <c r="AC95" s="61" t="s">
        <v>918</v>
      </c>
      <c r="AD95" s="61" t="s">
        <v>919</v>
      </c>
      <c r="AE95" s="61" t="s">
        <v>920</v>
      </c>
      <c r="AF95" s="61" t="s">
        <v>921</v>
      </c>
      <c r="AG95" s="61" t="s">
        <v>922</v>
      </c>
      <c r="AH95" s="61" t="s">
        <v>923</v>
      </c>
      <c r="AI95" s="61" t="s">
        <v>924</v>
      </c>
      <c r="AJ95" s="61" t="s">
        <v>925</v>
      </c>
      <c r="AK95" s="61" t="s">
        <v>926</v>
      </c>
      <c r="AL95" s="61" t="s">
        <v>927</v>
      </c>
      <c r="AM95" s="61" t="s">
        <v>928</v>
      </c>
      <c r="AN95" s="61" t="s">
        <v>929</v>
      </c>
      <c r="AO95" s="61" t="s">
        <v>930</v>
      </c>
      <c r="AP95" s="61" t="s">
        <v>931</v>
      </c>
      <c r="AQ95" s="61" t="s">
        <v>932</v>
      </c>
      <c r="AR95" s="61" t="s">
        <v>933</v>
      </c>
      <c r="AS95" s="61" t="s">
        <v>934</v>
      </c>
      <c r="AT95" s="61" t="s">
        <v>935</v>
      </c>
      <c r="AU95" s="61" t="s">
        <v>936</v>
      </c>
      <c r="AV95" s="61" t="s">
        <v>937</v>
      </c>
      <c r="AW95" s="61" t="s">
        <v>938</v>
      </c>
      <c r="AX95" s="61" t="s">
        <v>939</v>
      </c>
      <c r="AY95" s="61" t="s">
        <v>940</v>
      </c>
      <c r="AZ95" s="61" t="s">
        <v>941</v>
      </c>
      <c r="BA95" s="61" t="s">
        <v>942</v>
      </c>
      <c r="BB95" s="61" t="s">
        <v>943</v>
      </c>
      <c r="BC95" s="61" t="s">
        <v>944</v>
      </c>
      <c r="BD95" s="61" t="s">
        <v>945</v>
      </c>
      <c r="BE95" s="61" t="s">
        <v>946</v>
      </c>
      <c r="BF95" s="61" t="s">
        <v>947</v>
      </c>
      <c r="BG95" s="61" t="s">
        <v>948</v>
      </c>
      <c r="BH95" s="61" t="s">
        <v>949</v>
      </c>
      <c r="BI95" s="61" t="s">
        <v>950</v>
      </c>
      <c r="BJ95" s="61" t="s">
        <v>951</v>
      </c>
      <c r="BK95" s="61" t="s">
        <v>952</v>
      </c>
      <c r="BL95" s="61" t="s">
        <v>953</v>
      </c>
      <c r="BM95" s="61" t="s">
        <v>954</v>
      </c>
      <c r="BN95" s="61" t="s">
        <v>955</v>
      </c>
      <c r="BO95" s="61" t="s">
        <v>956</v>
      </c>
      <c r="BP95" s="61" t="s">
        <v>957</v>
      </c>
      <c r="BQ95" s="61" t="s">
        <v>958</v>
      </c>
      <c r="BR95" s="61" t="s">
        <v>959</v>
      </c>
      <c r="BS95" s="61" t="s">
        <v>960</v>
      </c>
      <c r="BT95" s="61" t="s">
        <v>961</v>
      </c>
      <c r="BU95" s="61" t="s">
        <v>962</v>
      </c>
      <c r="BV95" s="61" t="s">
        <v>963</v>
      </c>
      <c r="BW95" s="61" t="s">
        <v>964</v>
      </c>
      <c r="BX95" s="61" t="s">
        <v>965</v>
      </c>
      <c r="BY95" s="61" t="s">
        <v>966</v>
      </c>
      <c r="BZ95" s="61" t="s">
        <v>967</v>
      </c>
      <c r="CA95" s="61" t="s">
        <v>968</v>
      </c>
      <c r="CB95" s="61" t="s">
        <v>969</v>
      </c>
      <c r="CC95" s="61" t="s">
        <v>970</v>
      </c>
      <c r="CD95" s="61" t="s">
        <v>971</v>
      </c>
      <c r="CE95" s="61" t="s">
        <v>972</v>
      </c>
      <c r="CF95" s="61" t="s">
        <v>973</v>
      </c>
      <c r="CG95" s="61" t="s">
        <v>974</v>
      </c>
      <c r="CH95" s="61" t="s">
        <v>975</v>
      </c>
      <c r="CI95" s="61" t="s">
        <v>976</v>
      </c>
      <c r="CJ95" s="61" t="s">
        <v>977</v>
      </c>
      <c r="CK95" s="61" t="s">
        <v>978</v>
      </c>
      <c r="CL95" s="61" t="s">
        <v>979</v>
      </c>
      <c r="CM95" s="61" t="s">
        <v>980</v>
      </c>
      <c r="CN95" s="61" t="s">
        <v>981</v>
      </c>
      <c r="CO95" s="61" t="s">
        <v>982</v>
      </c>
      <c r="CP95" s="61" t="s">
        <v>983</v>
      </c>
      <c r="CQ95" s="61" t="s">
        <v>984</v>
      </c>
      <c r="CR95" s="61" t="s">
        <v>985</v>
      </c>
      <c r="CS95" s="61" t="s">
        <v>986</v>
      </c>
      <c r="CT95" s="61" t="s">
        <v>987</v>
      </c>
      <c r="CU95" s="61" t="s">
        <v>988</v>
      </c>
      <c r="CV95" s="61" t="s">
        <v>989</v>
      </c>
      <c r="CW95" s="61" t="s">
        <v>990</v>
      </c>
      <c r="CX95" s="61" t="s">
        <v>991</v>
      </c>
      <c r="CY95" s="61" t="s">
        <v>992</v>
      </c>
      <c r="CZ95" s="61" t="s">
        <v>993</v>
      </c>
      <c r="DA95" s="61" t="s">
        <v>994</v>
      </c>
      <c r="DB95" s="61" t="s">
        <v>995</v>
      </c>
      <c r="DC95" s="61" t="s">
        <v>996</v>
      </c>
      <c r="DD95" s="61" t="s">
        <v>997</v>
      </c>
    </row>
    <row r="96" spans="3:111" outlineLevel="1" x14ac:dyDescent="0.25">
      <c r="C96" s="91"/>
      <c r="E96" t="s">
        <v>998</v>
      </c>
      <c r="G96" t="s">
        <v>327</v>
      </c>
      <c r="H96" s="304"/>
      <c r="I96" s="304"/>
      <c r="J96" s="304">
        <f t="shared" ref="J96:AP96" si="15">J68</f>
        <v>-2.1812548702806467</v>
      </c>
      <c r="K96" s="304">
        <f t="shared" si="15"/>
        <v>-2.52657420114173</v>
      </c>
      <c r="L96" s="304">
        <f t="shared" si="15"/>
        <v>-0.85754957267127052</v>
      </c>
      <c r="M96" s="304">
        <f t="shared" si="15"/>
        <v>-2.2398015486733498</v>
      </c>
      <c r="N96" s="304">
        <f t="shared" si="15"/>
        <v>-2.4357122429871434</v>
      </c>
      <c r="O96" s="304">
        <f t="shared" si="15"/>
        <v>-0.77709672833130972</v>
      </c>
      <c r="P96" s="304">
        <f t="shared" si="15"/>
        <v>-2.1130558314365118</v>
      </c>
      <c r="Q96" s="304">
        <f t="shared" si="15"/>
        <v>-1.5437565865293077</v>
      </c>
      <c r="R96" s="304">
        <f t="shared" si="15"/>
        <v>-0.78588931926926087</v>
      </c>
      <c r="S96" s="304">
        <f t="shared" si="15"/>
        <v>-9.2860596177916985</v>
      </c>
      <c r="T96" s="304">
        <f t="shared" si="15"/>
        <v>-10.147472710891583</v>
      </c>
      <c r="U96" s="304">
        <f t="shared" si="15"/>
        <v>-6.8120939588588545</v>
      </c>
      <c r="V96" s="304">
        <f t="shared" si="15"/>
        <v>-4.0192524728674064</v>
      </c>
      <c r="W96" s="304">
        <f t="shared" si="15"/>
        <v>-2.5912776700784232</v>
      </c>
      <c r="X96" s="304">
        <f t="shared" si="15"/>
        <v>-3.2735965599064762</v>
      </c>
      <c r="Y96" s="304">
        <f t="shared" si="15"/>
        <v>-3.3598921033853024</v>
      </c>
      <c r="Z96" s="304">
        <f t="shared" si="15"/>
        <v>-4.2265496602454524</v>
      </c>
      <c r="AA96" s="304">
        <f t="shared" si="15"/>
        <v>-3.2764562377993087</v>
      </c>
      <c r="AB96" s="304">
        <f t="shared" si="15"/>
        <v>-18.431963873020528</v>
      </c>
      <c r="AC96" s="304">
        <f t="shared" si="15"/>
        <v>1.2841828889894253</v>
      </c>
      <c r="AD96" s="304">
        <f t="shared" si="15"/>
        <v>1.1523156075321794</v>
      </c>
      <c r="AE96" s="304">
        <f t="shared" si="15"/>
        <v>1.2841828889894253</v>
      </c>
      <c r="AF96" s="304">
        <f t="shared" si="15"/>
        <v>1.2841828889894253</v>
      </c>
      <c r="AG96" s="304">
        <f t="shared" si="15"/>
        <v>6.7715623244648135</v>
      </c>
      <c r="AH96" s="304">
        <f t="shared" si="15"/>
        <v>6.7715623244648135</v>
      </c>
      <c r="AI96" s="304">
        <f t="shared" si="15"/>
        <v>1.1523156075321794</v>
      </c>
      <c r="AJ96" s="304">
        <f t="shared" si="15"/>
        <v>1.1523156075321794</v>
      </c>
      <c r="AK96" s="304">
        <f t="shared" si="15"/>
        <v>6.0880001830517498</v>
      </c>
      <c r="AL96" s="304">
        <f t="shared" si="15"/>
        <v>6.0880001830517498</v>
      </c>
      <c r="AM96" s="304">
        <f t="shared" si="15"/>
        <v>0.61647152195632826</v>
      </c>
      <c r="AN96" s="304">
        <f t="shared" si="15"/>
        <v>0.61647152195632826</v>
      </c>
      <c r="AO96" s="304">
        <f t="shared" si="15"/>
        <v>3.3270697869504446</v>
      </c>
      <c r="AP96" s="325">
        <f t="shared" si="15"/>
        <v>3.3270697869504446</v>
      </c>
      <c r="AQ96" s="304">
        <f t="shared" ref="AQ96:BW96" si="16">J69</f>
        <v>0</v>
      </c>
      <c r="AR96" s="304">
        <f t="shared" si="16"/>
        <v>-0.87428917856668065</v>
      </c>
      <c r="AS96" s="304">
        <f t="shared" si="16"/>
        <v>0</v>
      </c>
      <c r="AT96" s="304">
        <f t="shared" si="16"/>
        <v>0</v>
      </c>
      <c r="AU96" s="304">
        <f t="shared" si="16"/>
        <v>-0.74368804964490787</v>
      </c>
      <c r="AV96" s="304">
        <f t="shared" si="16"/>
        <v>0</v>
      </c>
      <c r="AW96" s="304">
        <f t="shared" si="16"/>
        <v>-0.70007732172153636</v>
      </c>
      <c r="AX96" s="304">
        <f t="shared" si="16"/>
        <v>-0.51034324501475914</v>
      </c>
      <c r="AY96" s="304">
        <f t="shared" si="16"/>
        <v>-0.24508239849318561</v>
      </c>
      <c r="AZ96" s="304">
        <f t="shared" si="16"/>
        <v>-1.4297196397962209</v>
      </c>
      <c r="BA96" s="304">
        <f t="shared" si="16"/>
        <v>-1.5624117090109557</v>
      </c>
      <c r="BB96" s="304">
        <f t="shared" si="16"/>
        <v>-1.0402561060815092</v>
      </c>
      <c r="BC96" s="304">
        <f t="shared" si="16"/>
        <v>-0.59300883388133552</v>
      </c>
      <c r="BD96" s="304">
        <f t="shared" si="16"/>
        <v>-0.36704350228485144</v>
      </c>
      <c r="BE96" s="304">
        <f t="shared" si="16"/>
        <v>0</v>
      </c>
      <c r="BF96" s="304">
        <f t="shared" si="16"/>
        <v>0</v>
      </c>
      <c r="BG96" s="304">
        <f t="shared" si="16"/>
        <v>0</v>
      </c>
      <c r="BH96" s="304">
        <f t="shared" si="16"/>
        <v>0</v>
      </c>
      <c r="BI96" s="304">
        <f t="shared" si="16"/>
        <v>-3.2369694985311281</v>
      </c>
      <c r="BJ96" s="304">
        <f t="shared" si="16"/>
        <v>0</v>
      </c>
      <c r="BK96" s="304">
        <f t="shared" si="16"/>
        <v>0</v>
      </c>
      <c r="BL96" s="304">
        <f t="shared" si="16"/>
        <v>0</v>
      </c>
      <c r="BM96" s="304">
        <f t="shared" si="16"/>
        <v>0</v>
      </c>
      <c r="BN96" s="304">
        <f t="shared" si="16"/>
        <v>1.0426332107186289</v>
      </c>
      <c r="BO96" s="304">
        <f t="shared" si="16"/>
        <v>1.0426332107186289</v>
      </c>
      <c r="BP96" s="304">
        <f t="shared" si="16"/>
        <v>0</v>
      </c>
      <c r="BQ96" s="304">
        <f t="shared" si="16"/>
        <v>0</v>
      </c>
      <c r="BR96" s="304">
        <f t="shared" si="16"/>
        <v>0.93407500674127786</v>
      </c>
      <c r="BS96" s="304">
        <f t="shared" si="16"/>
        <v>0.93407500674127786</v>
      </c>
      <c r="BT96" s="304">
        <f t="shared" si="16"/>
        <v>0</v>
      </c>
      <c r="BU96" s="304">
        <f t="shared" si="16"/>
        <v>0</v>
      </c>
      <c r="BV96" s="304">
        <f t="shared" si="16"/>
        <v>0.49082486830513528</v>
      </c>
      <c r="BW96" s="325">
        <f t="shared" si="16"/>
        <v>0.49082486830513528</v>
      </c>
      <c r="BX96" s="304">
        <f t="shared" ref="BX96:DD96" si="17">J70</f>
        <v>0</v>
      </c>
      <c r="BY96" s="304">
        <f t="shared" si="17"/>
        <v>0</v>
      </c>
      <c r="BZ96" s="304">
        <f t="shared" si="17"/>
        <v>0</v>
      </c>
      <c r="CA96" s="304">
        <f t="shared" si="17"/>
        <v>0</v>
      </c>
      <c r="CB96" s="304">
        <f t="shared" si="17"/>
        <v>0</v>
      </c>
      <c r="CC96" s="304">
        <f t="shared" si="17"/>
        <v>0</v>
      </c>
      <c r="CD96" s="304">
        <f t="shared" si="17"/>
        <v>0</v>
      </c>
      <c r="CE96" s="304">
        <f t="shared" si="17"/>
        <v>0</v>
      </c>
      <c r="CF96" s="304">
        <f t="shared" si="17"/>
        <v>0</v>
      </c>
      <c r="CG96" s="304">
        <f t="shared" si="17"/>
        <v>-0.66940329493843409</v>
      </c>
      <c r="CH96" s="304">
        <f t="shared" si="17"/>
        <v>-0.73153374793817616</v>
      </c>
      <c r="CI96" s="304">
        <f t="shared" si="17"/>
        <v>-0.48663101438528217</v>
      </c>
      <c r="CJ96" s="304">
        <f t="shared" si="17"/>
        <v>-0.2763746609613566</v>
      </c>
      <c r="CK96" s="304">
        <f t="shared" si="17"/>
        <v>-0.17027445482226455</v>
      </c>
      <c r="CL96" s="304">
        <f t="shared" si="17"/>
        <v>0</v>
      </c>
      <c r="CM96" s="304">
        <f t="shared" si="17"/>
        <v>0</v>
      </c>
      <c r="CN96" s="304">
        <f t="shared" si="17"/>
        <v>0</v>
      </c>
      <c r="CO96" s="304">
        <f t="shared" si="17"/>
        <v>0</v>
      </c>
      <c r="CP96" s="304">
        <f t="shared" si="17"/>
        <v>-2.3957065733317577</v>
      </c>
      <c r="CQ96" s="304">
        <f t="shared" si="17"/>
        <v>0</v>
      </c>
      <c r="CR96" s="304">
        <f t="shared" si="17"/>
        <v>0</v>
      </c>
      <c r="CS96" s="304">
        <f t="shared" si="17"/>
        <v>0</v>
      </c>
      <c r="CT96" s="304">
        <f t="shared" si="17"/>
        <v>0</v>
      </c>
      <c r="CU96" s="304">
        <f t="shared" si="17"/>
        <v>0.48816987089385483</v>
      </c>
      <c r="CV96" s="304">
        <f t="shared" si="17"/>
        <v>0.48816987089385483</v>
      </c>
      <c r="CW96" s="304">
        <f t="shared" si="17"/>
        <v>0</v>
      </c>
      <c r="CX96" s="304">
        <f t="shared" si="17"/>
        <v>0</v>
      </c>
      <c r="CY96" s="304">
        <f t="shared" si="17"/>
        <v>0.43717848120950387</v>
      </c>
      <c r="CZ96" s="304">
        <f t="shared" si="17"/>
        <v>0.43717848120950387</v>
      </c>
      <c r="DA96" s="304">
        <f t="shared" si="17"/>
        <v>0</v>
      </c>
      <c r="DB96" s="304">
        <f t="shared" si="17"/>
        <v>0</v>
      </c>
      <c r="DC96" s="304">
        <f t="shared" si="17"/>
        <v>0.22874833921883997</v>
      </c>
      <c r="DD96" s="304">
        <f t="shared" si="17"/>
        <v>0.22874833921883997</v>
      </c>
      <c r="DE96" s="304"/>
      <c r="DF96" s="304"/>
      <c r="DG96" s="304"/>
    </row>
    <row r="97" spans="3:111" outlineLevel="1" x14ac:dyDescent="0.25">
      <c r="C97" s="91"/>
      <c r="E97" t="s">
        <v>999</v>
      </c>
      <c r="G97" t="s">
        <v>243</v>
      </c>
      <c r="J97" s="101">
        <f t="shared" ref="J97:AP97" si="18">J76</f>
        <v>2359360.6618815465</v>
      </c>
      <c r="K97" s="101">
        <f t="shared" si="18"/>
        <v>241333.8974547495</v>
      </c>
      <c r="L97" s="101">
        <f t="shared" si="18"/>
        <v>423055.87757845432</v>
      </c>
      <c r="M97" s="101">
        <f t="shared" si="18"/>
        <v>837309.17840270267</v>
      </c>
      <c r="N97" s="101">
        <f t="shared" si="18"/>
        <v>152179.51963638922</v>
      </c>
      <c r="O97" s="101">
        <f t="shared" si="18"/>
        <v>28141.504302703608</v>
      </c>
      <c r="P97" s="101">
        <f t="shared" si="18"/>
        <v>29913.305426474391</v>
      </c>
      <c r="Q97" s="101">
        <f t="shared" si="18"/>
        <v>0</v>
      </c>
      <c r="R97" s="101">
        <f t="shared" si="18"/>
        <v>548.35018676020832</v>
      </c>
      <c r="S97" s="101">
        <f t="shared" si="18"/>
        <v>54.029994132566102</v>
      </c>
      <c r="T97" s="101">
        <f t="shared" si="18"/>
        <v>7839.6449077915986</v>
      </c>
      <c r="U97" s="101">
        <f t="shared" si="18"/>
        <v>168230.36601316402</v>
      </c>
      <c r="V97" s="101">
        <f t="shared" si="18"/>
        <v>11348.554214700629</v>
      </c>
      <c r="W97" s="101">
        <f t="shared" si="18"/>
        <v>88351.013324953004</v>
      </c>
      <c r="X97" s="101">
        <f t="shared" si="18"/>
        <v>14143.024463568723</v>
      </c>
      <c r="Y97" s="101">
        <f t="shared" si="18"/>
        <v>17280.638083641774</v>
      </c>
      <c r="Z97" s="101">
        <f t="shared" si="18"/>
        <v>3520.726250029109</v>
      </c>
      <c r="AA97" s="101">
        <f t="shared" si="18"/>
        <v>44.247535426088803</v>
      </c>
      <c r="AB97" s="101">
        <f t="shared" si="18"/>
        <v>4621.3412299929805</v>
      </c>
      <c r="AC97" s="101">
        <f t="shared" si="18"/>
        <v>0</v>
      </c>
      <c r="AD97" s="101">
        <f t="shared" si="18"/>
        <v>0</v>
      </c>
      <c r="AE97" s="101">
        <f t="shared" si="18"/>
        <v>0</v>
      </c>
      <c r="AF97" s="101">
        <f t="shared" si="18"/>
        <v>0</v>
      </c>
      <c r="AG97" s="101">
        <f t="shared" si="18"/>
        <v>0</v>
      </c>
      <c r="AH97" s="101">
        <f t="shared" si="18"/>
        <v>0</v>
      </c>
      <c r="AI97" s="101">
        <f t="shared" si="18"/>
        <v>0</v>
      </c>
      <c r="AJ97" s="101">
        <f t="shared" si="18"/>
        <v>0</v>
      </c>
      <c r="AK97" s="101">
        <f t="shared" si="18"/>
        <v>0</v>
      </c>
      <c r="AL97" s="101">
        <f t="shared" si="18"/>
        <v>0</v>
      </c>
      <c r="AM97" s="101">
        <f t="shared" si="18"/>
        <v>0</v>
      </c>
      <c r="AN97" s="101">
        <f t="shared" si="18"/>
        <v>0</v>
      </c>
      <c r="AO97" s="101">
        <f t="shared" si="18"/>
        <v>0</v>
      </c>
      <c r="AP97" s="239">
        <f t="shared" si="18"/>
        <v>0</v>
      </c>
      <c r="AQ97" s="101">
        <f t="shared" ref="AQ97:BW97" si="19">J77</f>
        <v>0</v>
      </c>
      <c r="AR97" s="101">
        <f t="shared" si="19"/>
        <v>204289.9974625294</v>
      </c>
      <c r="AS97" s="101">
        <f t="shared" si="19"/>
        <v>0</v>
      </c>
      <c r="AT97" s="101">
        <f t="shared" si="19"/>
        <v>0</v>
      </c>
      <c r="AU97" s="101">
        <f t="shared" si="19"/>
        <v>82289.749092955753</v>
      </c>
      <c r="AV97" s="101">
        <f t="shared" si="19"/>
        <v>0</v>
      </c>
      <c r="AW97" s="101">
        <f t="shared" si="19"/>
        <v>10042.285925586189</v>
      </c>
      <c r="AX97" s="101">
        <f t="shared" si="19"/>
        <v>0</v>
      </c>
      <c r="AY97" s="101">
        <f t="shared" si="19"/>
        <v>269.81773904335392</v>
      </c>
      <c r="AZ97" s="101">
        <f t="shared" si="19"/>
        <v>136.73224650179375</v>
      </c>
      <c r="BA97" s="101">
        <f t="shared" si="19"/>
        <v>39067.558275099967</v>
      </c>
      <c r="BB97" s="101">
        <f t="shared" si="19"/>
        <v>813957.57788120955</v>
      </c>
      <c r="BC97" s="101">
        <f t="shared" si="19"/>
        <v>55692.626742093176</v>
      </c>
      <c r="BD97" s="101">
        <f t="shared" si="19"/>
        <v>428873.62609942525</v>
      </c>
      <c r="BE97" s="101">
        <f t="shared" si="19"/>
        <v>0</v>
      </c>
      <c r="BF97" s="101">
        <f t="shared" si="19"/>
        <v>0</v>
      </c>
      <c r="BG97" s="101">
        <f t="shared" si="19"/>
        <v>0</v>
      </c>
      <c r="BH97" s="101">
        <f t="shared" si="19"/>
        <v>0</v>
      </c>
      <c r="BI97" s="101">
        <f t="shared" si="19"/>
        <v>15832.064594910415</v>
      </c>
      <c r="BJ97" s="101">
        <f t="shared" si="19"/>
        <v>0</v>
      </c>
      <c r="BK97" s="101">
        <f t="shared" si="19"/>
        <v>0</v>
      </c>
      <c r="BL97" s="101">
        <f t="shared" si="19"/>
        <v>0</v>
      </c>
      <c r="BM97" s="101">
        <f t="shared" si="19"/>
        <v>0</v>
      </c>
      <c r="BN97" s="101">
        <f t="shared" si="19"/>
        <v>0</v>
      </c>
      <c r="BO97" s="101">
        <f t="shared" si="19"/>
        <v>0</v>
      </c>
      <c r="BP97" s="101">
        <f t="shared" si="19"/>
        <v>0</v>
      </c>
      <c r="BQ97" s="101">
        <f t="shared" si="19"/>
        <v>0</v>
      </c>
      <c r="BR97" s="101">
        <f t="shared" si="19"/>
        <v>0</v>
      </c>
      <c r="BS97" s="101">
        <f t="shared" si="19"/>
        <v>0</v>
      </c>
      <c r="BT97" s="101">
        <f t="shared" si="19"/>
        <v>0</v>
      </c>
      <c r="BU97" s="101">
        <f t="shared" si="19"/>
        <v>0</v>
      </c>
      <c r="BV97" s="101">
        <f t="shared" si="19"/>
        <v>0</v>
      </c>
      <c r="BW97" s="239">
        <f t="shared" si="19"/>
        <v>0</v>
      </c>
      <c r="BX97" s="101">
        <f t="shared" ref="BX97:DD97" si="20">J78</f>
        <v>0</v>
      </c>
      <c r="BY97" s="101">
        <f t="shared" si="20"/>
        <v>0</v>
      </c>
      <c r="BZ97" s="101">
        <f t="shared" si="20"/>
        <v>0</v>
      </c>
      <c r="CA97" s="101">
        <f t="shared" si="20"/>
        <v>0</v>
      </c>
      <c r="CB97" s="101">
        <f t="shared" si="20"/>
        <v>0</v>
      </c>
      <c r="CC97" s="101">
        <f t="shared" si="20"/>
        <v>0</v>
      </c>
      <c r="CD97" s="101">
        <f t="shared" si="20"/>
        <v>0</v>
      </c>
      <c r="CE97" s="101">
        <f t="shared" si="20"/>
        <v>0</v>
      </c>
      <c r="CF97" s="101">
        <f t="shared" si="20"/>
        <v>0</v>
      </c>
      <c r="CG97" s="101">
        <f t="shared" si="20"/>
        <v>165.30614809900308</v>
      </c>
      <c r="CH97" s="101">
        <f t="shared" si="20"/>
        <v>27199.510570379593</v>
      </c>
      <c r="CI97" s="101">
        <f t="shared" si="20"/>
        <v>618006.62124219816</v>
      </c>
      <c r="CJ97" s="101">
        <f t="shared" si="20"/>
        <v>57152.779721852334</v>
      </c>
      <c r="CK97" s="101">
        <f t="shared" si="20"/>
        <v>401128.44876738428</v>
      </c>
      <c r="CL97" s="101">
        <f t="shared" si="20"/>
        <v>0</v>
      </c>
      <c r="CM97" s="101">
        <f t="shared" si="20"/>
        <v>0</v>
      </c>
      <c r="CN97" s="101">
        <f t="shared" si="20"/>
        <v>0</v>
      </c>
      <c r="CO97" s="101">
        <f t="shared" si="20"/>
        <v>0</v>
      </c>
      <c r="CP97" s="101">
        <f t="shared" si="20"/>
        <v>62407.524160774294</v>
      </c>
      <c r="CQ97" s="101">
        <f t="shared" si="20"/>
        <v>0</v>
      </c>
      <c r="CR97" s="101">
        <f t="shared" si="20"/>
        <v>0</v>
      </c>
      <c r="CS97" s="101">
        <f t="shared" si="20"/>
        <v>0</v>
      </c>
      <c r="CT97" s="101">
        <f t="shared" si="20"/>
        <v>0</v>
      </c>
      <c r="CU97" s="101">
        <f t="shared" si="20"/>
        <v>0</v>
      </c>
      <c r="CV97" s="101">
        <f t="shared" si="20"/>
        <v>0</v>
      </c>
      <c r="CW97" s="101">
        <f t="shared" si="20"/>
        <v>0</v>
      </c>
      <c r="CX97" s="101">
        <f t="shared" si="20"/>
        <v>0</v>
      </c>
      <c r="CY97" s="101">
        <f t="shared" si="20"/>
        <v>0</v>
      </c>
      <c r="CZ97" s="101">
        <f t="shared" si="20"/>
        <v>0</v>
      </c>
      <c r="DA97" s="101">
        <f t="shared" si="20"/>
        <v>0</v>
      </c>
      <c r="DB97" s="101">
        <f t="shared" si="20"/>
        <v>0</v>
      </c>
      <c r="DC97" s="101">
        <f t="shared" si="20"/>
        <v>0</v>
      </c>
      <c r="DD97" s="101">
        <f t="shared" si="20"/>
        <v>0</v>
      </c>
    </row>
    <row r="98" spans="3:111" outlineLevel="1" x14ac:dyDescent="0.25">
      <c r="D98" s="29"/>
      <c r="E98" s="29"/>
      <c r="H98" s="236"/>
      <c r="I98" s="236"/>
    </row>
    <row r="99" spans="3:111" outlineLevel="1" x14ac:dyDescent="0.25">
      <c r="D99" s="32" t="s">
        <v>1000</v>
      </c>
      <c r="E99"/>
      <c r="H99" s="236"/>
      <c r="I99" s="236"/>
    </row>
    <row r="100" spans="3:111" outlineLevel="1" x14ac:dyDescent="0.25">
      <c r="D100" s="32" t="s">
        <v>1001</v>
      </c>
      <c r="E100"/>
      <c r="H100" s="236"/>
      <c r="I100" s="236"/>
    </row>
    <row r="101" spans="3:111" outlineLevel="1" x14ac:dyDescent="0.25">
      <c r="D101" s="32"/>
      <c r="E101"/>
      <c r="H101" s="236"/>
      <c r="I101" s="236"/>
    </row>
    <row r="102" spans="3:111" ht="75" outlineLevel="1" x14ac:dyDescent="0.25">
      <c r="D102"/>
      <c r="E102" s="237" t="s">
        <v>898</v>
      </c>
      <c r="F102" s="237"/>
      <c r="G102" s="237"/>
      <c r="H102" s="237"/>
      <c r="I102" s="237"/>
      <c r="J102" s="61" t="s">
        <v>899</v>
      </c>
      <c r="K102" s="61" t="s">
        <v>900</v>
      </c>
      <c r="L102" s="61" t="s">
        <v>901</v>
      </c>
      <c r="M102" s="61" t="s">
        <v>902</v>
      </c>
      <c r="N102" s="61" t="s">
        <v>903</v>
      </c>
      <c r="O102" s="61" t="s">
        <v>904</v>
      </c>
      <c r="P102" s="61" t="s">
        <v>905</v>
      </c>
      <c r="Q102" s="61" t="s">
        <v>906</v>
      </c>
      <c r="R102" s="61" t="s">
        <v>907</v>
      </c>
      <c r="S102" s="61" t="s">
        <v>908</v>
      </c>
      <c r="T102" s="61" t="s">
        <v>909</v>
      </c>
      <c r="U102" s="61" t="s">
        <v>910</v>
      </c>
      <c r="V102" s="61" t="s">
        <v>911</v>
      </c>
      <c r="W102" s="61" t="s">
        <v>912</v>
      </c>
      <c r="X102" s="61" t="s">
        <v>913</v>
      </c>
      <c r="Y102" s="61" t="s">
        <v>914</v>
      </c>
      <c r="Z102" s="61" t="s">
        <v>915</v>
      </c>
      <c r="AA102" s="61" t="s">
        <v>916</v>
      </c>
      <c r="AB102" s="61" t="s">
        <v>917</v>
      </c>
      <c r="AC102" s="61" t="s">
        <v>918</v>
      </c>
      <c r="AD102" s="61" t="s">
        <v>919</v>
      </c>
      <c r="AE102" s="61" t="s">
        <v>920</v>
      </c>
      <c r="AF102" s="61" t="s">
        <v>921</v>
      </c>
      <c r="AG102" s="61" t="s">
        <v>922</v>
      </c>
      <c r="AH102" s="61" t="s">
        <v>923</v>
      </c>
      <c r="AI102" s="61" t="s">
        <v>924</v>
      </c>
      <c r="AJ102" s="61" t="s">
        <v>925</v>
      </c>
      <c r="AK102" s="61" t="s">
        <v>926</v>
      </c>
      <c r="AL102" s="61" t="s">
        <v>927</v>
      </c>
      <c r="AM102" s="61" t="s">
        <v>928</v>
      </c>
      <c r="AN102" s="61" t="s">
        <v>929</v>
      </c>
      <c r="AO102" s="61" t="s">
        <v>930</v>
      </c>
      <c r="AP102" s="61" t="s">
        <v>931</v>
      </c>
      <c r="AQ102" s="61" t="s">
        <v>932</v>
      </c>
      <c r="AR102" s="61" t="s">
        <v>933</v>
      </c>
      <c r="AS102" s="61" t="s">
        <v>934</v>
      </c>
      <c r="AT102" s="61" t="s">
        <v>935</v>
      </c>
      <c r="AU102" s="61" t="s">
        <v>936</v>
      </c>
      <c r="AV102" s="61" t="s">
        <v>937</v>
      </c>
      <c r="AW102" s="61" t="s">
        <v>938</v>
      </c>
      <c r="AX102" s="61" t="s">
        <v>939</v>
      </c>
      <c r="AY102" s="61" t="s">
        <v>940</v>
      </c>
      <c r="AZ102" s="61" t="s">
        <v>941</v>
      </c>
      <c r="BA102" s="61" t="s">
        <v>942</v>
      </c>
      <c r="BB102" s="61" t="s">
        <v>943</v>
      </c>
      <c r="BC102" s="61" t="s">
        <v>944</v>
      </c>
      <c r="BD102" s="61" t="s">
        <v>945</v>
      </c>
      <c r="BE102" s="61" t="s">
        <v>946</v>
      </c>
      <c r="BF102" s="61" t="s">
        <v>947</v>
      </c>
      <c r="BG102" s="61" t="s">
        <v>948</v>
      </c>
      <c r="BH102" s="61" t="s">
        <v>949</v>
      </c>
      <c r="BI102" s="61" t="s">
        <v>950</v>
      </c>
      <c r="BJ102" s="61" t="s">
        <v>951</v>
      </c>
      <c r="BK102" s="61" t="s">
        <v>952</v>
      </c>
      <c r="BL102" s="61" t="s">
        <v>953</v>
      </c>
      <c r="BM102" s="61" t="s">
        <v>954</v>
      </c>
      <c r="BN102" s="61" t="s">
        <v>955</v>
      </c>
      <c r="BO102" s="61" t="s">
        <v>956</v>
      </c>
      <c r="BP102" s="61" t="s">
        <v>957</v>
      </c>
      <c r="BQ102" s="61" t="s">
        <v>958</v>
      </c>
      <c r="BR102" s="61" t="s">
        <v>959</v>
      </c>
      <c r="BS102" s="61" t="s">
        <v>960</v>
      </c>
      <c r="BT102" s="61" t="s">
        <v>961</v>
      </c>
      <c r="BU102" s="61" t="s">
        <v>962</v>
      </c>
      <c r="BV102" s="61" t="s">
        <v>963</v>
      </c>
      <c r="BW102" s="61" t="s">
        <v>964</v>
      </c>
      <c r="BX102" s="61" t="s">
        <v>965</v>
      </c>
      <c r="BY102" s="61" t="s">
        <v>966</v>
      </c>
      <c r="BZ102" s="61" t="s">
        <v>967</v>
      </c>
      <c r="CA102" s="61" t="s">
        <v>968</v>
      </c>
      <c r="CB102" s="61" t="s">
        <v>969</v>
      </c>
      <c r="CC102" s="61" t="s">
        <v>970</v>
      </c>
      <c r="CD102" s="61" t="s">
        <v>971</v>
      </c>
      <c r="CE102" s="61" t="s">
        <v>972</v>
      </c>
      <c r="CF102" s="61" t="s">
        <v>973</v>
      </c>
      <c r="CG102" s="61" t="s">
        <v>974</v>
      </c>
      <c r="CH102" s="61" t="s">
        <v>975</v>
      </c>
      <c r="CI102" s="61" t="s">
        <v>976</v>
      </c>
      <c r="CJ102" s="61" t="s">
        <v>977</v>
      </c>
      <c r="CK102" s="61" t="s">
        <v>978</v>
      </c>
      <c r="CL102" s="61" t="s">
        <v>979</v>
      </c>
      <c r="CM102" s="61" t="s">
        <v>980</v>
      </c>
      <c r="CN102" s="61" t="s">
        <v>981</v>
      </c>
      <c r="CO102" s="61" t="s">
        <v>982</v>
      </c>
      <c r="CP102" s="61" t="s">
        <v>983</v>
      </c>
      <c r="CQ102" s="61" t="s">
        <v>984</v>
      </c>
      <c r="CR102" s="61" t="s">
        <v>985</v>
      </c>
      <c r="CS102" s="61" t="s">
        <v>986</v>
      </c>
      <c r="CT102" s="61" t="s">
        <v>987</v>
      </c>
      <c r="CU102" s="61" t="s">
        <v>988</v>
      </c>
      <c r="CV102" s="61" t="s">
        <v>989</v>
      </c>
      <c r="CW102" s="61" t="s">
        <v>990</v>
      </c>
      <c r="CX102" s="61" t="s">
        <v>991</v>
      </c>
      <c r="CY102" s="61" t="s">
        <v>992</v>
      </c>
      <c r="CZ102" s="61" t="s">
        <v>993</v>
      </c>
      <c r="DA102" s="61" t="s">
        <v>994</v>
      </c>
      <c r="DB102" s="61" t="s">
        <v>995</v>
      </c>
      <c r="DC102" s="61" t="s">
        <v>996</v>
      </c>
      <c r="DD102" s="61" t="s">
        <v>997</v>
      </c>
    </row>
    <row r="103" spans="3:111" outlineLevel="1" x14ac:dyDescent="0.25">
      <c r="C103" s="91"/>
      <c r="E103" t="s">
        <v>1002</v>
      </c>
      <c r="G103" t="s">
        <v>683</v>
      </c>
      <c r="J103" s="92">
        <f t="shared" ref="J103:AO103" si="21">RANK(J96,$J$96:$DD$96,1)</f>
        <v>16</v>
      </c>
      <c r="K103" s="92">
        <f t="shared" si="21"/>
        <v>12</v>
      </c>
      <c r="L103" s="92">
        <f t="shared" si="21"/>
        <v>23</v>
      </c>
      <c r="M103" s="92">
        <f t="shared" si="21"/>
        <v>15</v>
      </c>
      <c r="N103" s="92">
        <f t="shared" si="21"/>
        <v>13</v>
      </c>
      <c r="O103" s="92">
        <f t="shared" si="21"/>
        <v>25</v>
      </c>
      <c r="P103" s="92">
        <f t="shared" si="21"/>
        <v>17</v>
      </c>
      <c r="Q103" s="92">
        <f t="shared" si="21"/>
        <v>19</v>
      </c>
      <c r="R103" s="92">
        <f t="shared" si="21"/>
        <v>24</v>
      </c>
      <c r="S103" s="92">
        <f t="shared" si="21"/>
        <v>3</v>
      </c>
      <c r="T103" s="92">
        <f t="shared" si="21"/>
        <v>2</v>
      </c>
      <c r="U103" s="92">
        <f t="shared" si="21"/>
        <v>4</v>
      </c>
      <c r="V103" s="92">
        <f t="shared" si="21"/>
        <v>6</v>
      </c>
      <c r="W103" s="92">
        <f t="shared" si="21"/>
        <v>11</v>
      </c>
      <c r="X103" s="92">
        <f t="shared" si="21"/>
        <v>9</v>
      </c>
      <c r="Y103" s="92">
        <f t="shared" si="21"/>
        <v>7</v>
      </c>
      <c r="Z103" s="92">
        <f t="shared" si="21"/>
        <v>5</v>
      </c>
      <c r="AA103" s="92">
        <f t="shared" si="21"/>
        <v>8</v>
      </c>
      <c r="AB103" s="92">
        <f t="shared" si="21"/>
        <v>1</v>
      </c>
      <c r="AC103" s="92">
        <f t="shared" si="21"/>
        <v>91</v>
      </c>
      <c r="AD103" s="92">
        <f t="shared" si="21"/>
        <v>88</v>
      </c>
      <c r="AE103" s="92">
        <f t="shared" si="21"/>
        <v>91</v>
      </c>
      <c r="AF103" s="92">
        <f t="shared" si="21"/>
        <v>91</v>
      </c>
      <c r="AG103" s="92">
        <f t="shared" si="21"/>
        <v>98</v>
      </c>
      <c r="AH103" s="92">
        <f t="shared" si="21"/>
        <v>98</v>
      </c>
      <c r="AI103" s="92">
        <f t="shared" si="21"/>
        <v>88</v>
      </c>
      <c r="AJ103" s="92">
        <f t="shared" si="21"/>
        <v>88</v>
      </c>
      <c r="AK103" s="92">
        <f t="shared" si="21"/>
        <v>96</v>
      </c>
      <c r="AL103" s="92">
        <f t="shared" si="21"/>
        <v>96</v>
      </c>
      <c r="AM103" s="92">
        <f t="shared" si="21"/>
        <v>82</v>
      </c>
      <c r="AN103" s="92">
        <f t="shared" si="21"/>
        <v>82</v>
      </c>
      <c r="AO103" s="92">
        <f t="shared" si="21"/>
        <v>94</v>
      </c>
      <c r="AP103" s="92">
        <f t="shared" ref="AP103:BU103" si="22">RANK(AP96,$J$96:$DD$96,1)</f>
        <v>94</v>
      </c>
      <c r="AQ103" s="92">
        <f t="shared" si="22"/>
        <v>37</v>
      </c>
      <c r="AR103" s="92">
        <f t="shared" si="22"/>
        <v>22</v>
      </c>
      <c r="AS103" s="92">
        <f t="shared" si="22"/>
        <v>37</v>
      </c>
      <c r="AT103" s="92">
        <f t="shared" si="22"/>
        <v>37</v>
      </c>
      <c r="AU103" s="92">
        <f t="shared" si="22"/>
        <v>26</v>
      </c>
      <c r="AV103" s="92">
        <f t="shared" si="22"/>
        <v>37</v>
      </c>
      <c r="AW103" s="92">
        <f t="shared" si="22"/>
        <v>28</v>
      </c>
      <c r="AX103" s="92">
        <f t="shared" si="22"/>
        <v>31</v>
      </c>
      <c r="AY103" s="92">
        <f t="shared" si="22"/>
        <v>35</v>
      </c>
      <c r="AZ103" s="92">
        <f t="shared" si="22"/>
        <v>20</v>
      </c>
      <c r="BA103" s="92">
        <f t="shared" si="22"/>
        <v>18</v>
      </c>
      <c r="BB103" s="92">
        <f t="shared" si="22"/>
        <v>21</v>
      </c>
      <c r="BC103" s="92">
        <f t="shared" si="22"/>
        <v>30</v>
      </c>
      <c r="BD103" s="92">
        <f t="shared" si="22"/>
        <v>33</v>
      </c>
      <c r="BE103" s="92">
        <f t="shared" si="22"/>
        <v>37</v>
      </c>
      <c r="BF103" s="92">
        <f t="shared" si="22"/>
        <v>37</v>
      </c>
      <c r="BG103" s="92">
        <f t="shared" si="22"/>
        <v>37</v>
      </c>
      <c r="BH103" s="92">
        <f t="shared" si="22"/>
        <v>37</v>
      </c>
      <c r="BI103" s="92">
        <f t="shared" si="22"/>
        <v>10</v>
      </c>
      <c r="BJ103" s="92">
        <f t="shared" si="22"/>
        <v>37</v>
      </c>
      <c r="BK103" s="92">
        <f t="shared" si="22"/>
        <v>37</v>
      </c>
      <c r="BL103" s="92">
        <f t="shared" si="22"/>
        <v>37</v>
      </c>
      <c r="BM103" s="92">
        <f t="shared" si="22"/>
        <v>37</v>
      </c>
      <c r="BN103" s="92">
        <f t="shared" si="22"/>
        <v>86</v>
      </c>
      <c r="BO103" s="92">
        <f t="shared" si="22"/>
        <v>86</v>
      </c>
      <c r="BP103" s="92">
        <f t="shared" si="22"/>
        <v>37</v>
      </c>
      <c r="BQ103" s="92">
        <f t="shared" si="22"/>
        <v>37</v>
      </c>
      <c r="BR103" s="92">
        <f t="shared" si="22"/>
        <v>84</v>
      </c>
      <c r="BS103" s="92">
        <f t="shared" si="22"/>
        <v>84</v>
      </c>
      <c r="BT103" s="92">
        <f t="shared" si="22"/>
        <v>37</v>
      </c>
      <c r="BU103" s="92">
        <f t="shared" si="22"/>
        <v>37</v>
      </c>
      <c r="BV103" s="92">
        <f t="shared" ref="BV103:DD103" si="23">RANK(BV96,$J$96:$DD$96,1)</f>
        <v>80</v>
      </c>
      <c r="BW103" s="92">
        <f t="shared" si="23"/>
        <v>80</v>
      </c>
      <c r="BX103" s="92">
        <f t="shared" si="23"/>
        <v>37</v>
      </c>
      <c r="BY103" s="92">
        <f t="shared" si="23"/>
        <v>37</v>
      </c>
      <c r="BZ103" s="92">
        <f t="shared" si="23"/>
        <v>37</v>
      </c>
      <c r="CA103" s="92">
        <f t="shared" si="23"/>
        <v>37</v>
      </c>
      <c r="CB103" s="92">
        <f t="shared" si="23"/>
        <v>37</v>
      </c>
      <c r="CC103" s="92">
        <f t="shared" si="23"/>
        <v>37</v>
      </c>
      <c r="CD103" s="92">
        <f t="shared" si="23"/>
        <v>37</v>
      </c>
      <c r="CE103" s="92">
        <f t="shared" si="23"/>
        <v>37</v>
      </c>
      <c r="CF103" s="92">
        <f t="shared" si="23"/>
        <v>37</v>
      </c>
      <c r="CG103" s="92">
        <f t="shared" si="23"/>
        <v>29</v>
      </c>
      <c r="CH103" s="92">
        <f t="shared" si="23"/>
        <v>27</v>
      </c>
      <c r="CI103" s="92">
        <f t="shared" si="23"/>
        <v>32</v>
      </c>
      <c r="CJ103" s="92">
        <f t="shared" si="23"/>
        <v>34</v>
      </c>
      <c r="CK103" s="92">
        <f t="shared" si="23"/>
        <v>36</v>
      </c>
      <c r="CL103" s="92">
        <f t="shared" si="23"/>
        <v>37</v>
      </c>
      <c r="CM103" s="92">
        <f t="shared" si="23"/>
        <v>37</v>
      </c>
      <c r="CN103" s="92">
        <f t="shared" si="23"/>
        <v>37</v>
      </c>
      <c r="CO103" s="92">
        <f t="shared" si="23"/>
        <v>37</v>
      </c>
      <c r="CP103" s="92">
        <f t="shared" si="23"/>
        <v>14</v>
      </c>
      <c r="CQ103" s="92">
        <f t="shared" si="23"/>
        <v>37</v>
      </c>
      <c r="CR103" s="92">
        <f t="shared" si="23"/>
        <v>37</v>
      </c>
      <c r="CS103" s="92">
        <f t="shared" si="23"/>
        <v>37</v>
      </c>
      <c r="CT103" s="92">
        <f t="shared" si="23"/>
        <v>37</v>
      </c>
      <c r="CU103" s="92">
        <f t="shared" si="23"/>
        <v>78</v>
      </c>
      <c r="CV103" s="92">
        <f t="shared" si="23"/>
        <v>78</v>
      </c>
      <c r="CW103" s="92">
        <f t="shared" si="23"/>
        <v>37</v>
      </c>
      <c r="CX103" s="92">
        <f t="shared" si="23"/>
        <v>37</v>
      </c>
      <c r="CY103" s="92">
        <f t="shared" si="23"/>
        <v>76</v>
      </c>
      <c r="CZ103" s="92">
        <f t="shared" si="23"/>
        <v>76</v>
      </c>
      <c r="DA103" s="92">
        <f t="shared" si="23"/>
        <v>37</v>
      </c>
      <c r="DB103" s="92">
        <f t="shared" si="23"/>
        <v>37</v>
      </c>
      <c r="DC103" s="92">
        <f t="shared" si="23"/>
        <v>74</v>
      </c>
      <c r="DD103" s="92">
        <f t="shared" si="23"/>
        <v>74</v>
      </c>
    </row>
    <row r="104" spans="3:111" outlineLevel="1" x14ac:dyDescent="0.25">
      <c r="C104" s="91"/>
      <c r="E104" t="s">
        <v>1003</v>
      </c>
      <c r="G104" t="s">
        <v>683</v>
      </c>
      <c r="J104" s="101">
        <f>J103+(COUNT($J$103:J$103)/COUNT($J$103:$DD$103))</f>
        <v>16.01010101010101</v>
      </c>
      <c r="K104" s="101">
        <f>K103+(COUNT($J$103:K$103)/COUNT($J$103:$DD$103))</f>
        <v>12.020202020202021</v>
      </c>
      <c r="L104" s="101">
        <f>L103+(COUNT($J$103:L$103)/COUNT($J$103:$DD$103))</f>
        <v>23.030303030303031</v>
      </c>
      <c r="M104" s="101">
        <f>M103+(COUNT($J$103:M$103)/COUNT($J$103:$DD$103))</f>
        <v>15.04040404040404</v>
      </c>
      <c r="N104" s="101">
        <f>N103+(COUNT($J$103:N$103)/COUNT($J$103:$DD$103))</f>
        <v>13.05050505050505</v>
      </c>
      <c r="O104" s="101">
        <f>O103+(COUNT($J$103:O$103)/COUNT($J$103:$DD$103))</f>
        <v>25.060606060606062</v>
      </c>
      <c r="P104" s="101">
        <f>P103+(COUNT($J$103:P$103)/COUNT($J$103:$DD$103))</f>
        <v>17.070707070707069</v>
      </c>
      <c r="Q104" s="101">
        <f>Q103+(COUNT($J$103:Q$103)/COUNT($J$103:$DD$103))</f>
        <v>19.08080808080808</v>
      </c>
      <c r="R104" s="101">
        <f>R103+(COUNT($J$103:R$103)/COUNT($J$103:$DD$103))</f>
        <v>24.09090909090909</v>
      </c>
      <c r="S104" s="101">
        <f>S103+(COUNT($J$103:S$103)/COUNT($J$103:$DD$103))</f>
        <v>3.1010101010101012</v>
      </c>
      <c r="T104" s="101">
        <f>T103+(COUNT($J$103:T$103)/COUNT($J$103:$DD$103))</f>
        <v>2.1111111111111112</v>
      </c>
      <c r="U104" s="101">
        <f>U103+(COUNT($J$103:U$103)/COUNT($J$103:$DD$103))</f>
        <v>4.1212121212121211</v>
      </c>
      <c r="V104" s="101">
        <f>V103+(COUNT($J$103:V$103)/COUNT($J$103:$DD$103))</f>
        <v>6.1313131313131315</v>
      </c>
      <c r="W104" s="101">
        <f>W103+(COUNT($J$103:W$103)/COUNT($J$103:$DD$103))</f>
        <v>11.141414141414142</v>
      </c>
      <c r="X104" s="101">
        <f>X103+(COUNT($J$103:X$103)/COUNT($J$103:$DD$103))</f>
        <v>9.1515151515151523</v>
      </c>
      <c r="Y104" s="101">
        <f>Y103+(COUNT($J$103:Y$103)/COUNT($J$103:$DD$103))</f>
        <v>7.1616161616161618</v>
      </c>
      <c r="Z104" s="101">
        <f>Z103+(COUNT($J$103:Z$103)/COUNT($J$103:$DD$103))</f>
        <v>5.1717171717171713</v>
      </c>
      <c r="AA104" s="101">
        <f>AA103+(COUNT($J$103:AA$103)/COUNT($J$103:$DD$103))</f>
        <v>8.1818181818181817</v>
      </c>
      <c r="AB104" s="101">
        <f>AB103+(COUNT($J$103:AB$103)/COUNT($J$103:$DD$103))</f>
        <v>1.1919191919191918</v>
      </c>
      <c r="AC104" s="101">
        <f>AC103+(COUNT($J$103:AC$103)/COUNT($J$103:$DD$103))</f>
        <v>91.202020202020208</v>
      </c>
      <c r="AD104" s="101">
        <f>AD103+(COUNT($J$103:AD$103)/COUNT($J$103:$DD$103))</f>
        <v>88.212121212121218</v>
      </c>
      <c r="AE104" s="101">
        <f>AE103+(COUNT($J$103:AE$103)/COUNT($J$103:$DD$103))</f>
        <v>91.222222222222229</v>
      </c>
      <c r="AF104" s="101">
        <f>AF103+(COUNT($J$103:AF$103)/COUNT($J$103:$DD$103))</f>
        <v>91.232323232323239</v>
      </c>
      <c r="AG104" s="101">
        <f>AG103+(COUNT($J$103:AG$103)/COUNT($J$103:$DD$103))</f>
        <v>98.242424242424249</v>
      </c>
      <c r="AH104" s="101">
        <f>AH103+(COUNT($J$103:AH$103)/COUNT($J$103:$DD$103))</f>
        <v>98.252525252525245</v>
      </c>
      <c r="AI104" s="101">
        <f>AI103+(COUNT($J$103:AI$103)/COUNT($J$103:$DD$103))</f>
        <v>88.262626262626256</v>
      </c>
      <c r="AJ104" s="101">
        <f>AJ103+(COUNT($J$103:AJ$103)/COUNT($J$103:$DD$103))</f>
        <v>88.272727272727266</v>
      </c>
      <c r="AK104" s="101">
        <f>AK103+(COUNT($J$103:AK$103)/COUNT($J$103:$DD$103))</f>
        <v>96.282828282828277</v>
      </c>
      <c r="AL104" s="101">
        <f>AL103+(COUNT($J$103:AL$103)/COUNT($J$103:$DD$103))</f>
        <v>96.292929292929287</v>
      </c>
      <c r="AM104" s="101">
        <f>AM103+(COUNT($J$103:AM$103)/COUNT($J$103:$DD$103))</f>
        <v>82.303030303030297</v>
      </c>
      <c r="AN104" s="101">
        <f>AN103+(COUNT($J$103:AN$103)/COUNT($J$103:$DD$103))</f>
        <v>82.313131313131308</v>
      </c>
      <c r="AO104" s="101">
        <f>AO103+(COUNT($J$103:AO$103)/COUNT($J$103:$DD$103))</f>
        <v>94.323232323232318</v>
      </c>
      <c r="AP104" s="101">
        <f>AP103+(COUNT($J$103:AP$103)/COUNT($J$103:$DD$103))</f>
        <v>94.333333333333329</v>
      </c>
      <c r="AQ104" s="101">
        <f>AQ103+(COUNT($J$103:AQ$103)/COUNT($J$103:$DD$103))</f>
        <v>37.343434343434346</v>
      </c>
      <c r="AR104" s="101">
        <f>AR103+(COUNT($J$103:AR$103)/COUNT($J$103:$DD$103))</f>
        <v>22.353535353535353</v>
      </c>
      <c r="AS104" s="101">
        <f>AS103+(COUNT($J$103:AS$103)/COUNT($J$103:$DD$103))</f>
        <v>37.363636363636367</v>
      </c>
      <c r="AT104" s="101">
        <f>AT103+(COUNT($J$103:AT$103)/COUNT($J$103:$DD$103))</f>
        <v>37.373737373737377</v>
      </c>
      <c r="AU104" s="101">
        <f>AU103+(COUNT($J$103:AU$103)/COUNT($J$103:$DD$103))</f>
        <v>26.383838383838384</v>
      </c>
      <c r="AV104" s="101">
        <f>AV103+(COUNT($J$103:AV$103)/COUNT($J$103:$DD$103))</f>
        <v>37.393939393939391</v>
      </c>
      <c r="AW104" s="101">
        <f>AW103+(COUNT($J$103:AW$103)/COUNT($J$103:$DD$103))</f>
        <v>28.404040404040405</v>
      </c>
      <c r="AX104" s="101">
        <f>AX103+(COUNT($J$103:AX$103)/COUNT($J$103:$DD$103))</f>
        <v>31.414141414141415</v>
      </c>
      <c r="AY104" s="101">
        <f>AY103+(COUNT($J$103:AY$103)/COUNT($J$103:$DD$103))</f>
        <v>35.424242424242422</v>
      </c>
      <c r="AZ104" s="101">
        <f>AZ103+(COUNT($J$103:AZ$103)/COUNT($J$103:$DD$103))</f>
        <v>20.434343434343436</v>
      </c>
      <c r="BA104" s="101">
        <f>BA103+(COUNT($J$103:BA$103)/COUNT($J$103:$DD$103))</f>
        <v>18.444444444444443</v>
      </c>
      <c r="BB104" s="101">
        <f>BB103+(COUNT($J$103:BB$103)/COUNT($J$103:$DD$103))</f>
        <v>21.454545454545453</v>
      </c>
      <c r="BC104" s="101">
        <f>BC103+(COUNT($J$103:BC$103)/COUNT($J$103:$DD$103))</f>
        <v>30.464646464646464</v>
      </c>
      <c r="BD104" s="101">
        <f>BD103+(COUNT($J$103:BD$103)/COUNT($J$103:$DD$103))</f>
        <v>33.474747474747474</v>
      </c>
      <c r="BE104" s="101">
        <f>BE103+(COUNT($J$103:BE$103)/COUNT($J$103:$DD$103))</f>
        <v>37.484848484848484</v>
      </c>
      <c r="BF104" s="101">
        <f>BF103+(COUNT($J$103:BF$103)/COUNT($J$103:$DD$103))</f>
        <v>37.494949494949495</v>
      </c>
      <c r="BG104" s="101">
        <f>BG103+(COUNT($J$103:BG$103)/COUNT($J$103:$DD$103))</f>
        <v>37.505050505050505</v>
      </c>
      <c r="BH104" s="101">
        <f>BH103+(COUNT($J$103:BH$103)/COUNT($J$103:$DD$103))</f>
        <v>37.515151515151516</v>
      </c>
      <c r="BI104" s="101">
        <f>BI103+(COUNT($J$103:BI$103)/COUNT($J$103:$DD$103))</f>
        <v>10.525252525252526</v>
      </c>
      <c r="BJ104" s="101">
        <f>BJ103+(COUNT($J$103:BJ$103)/COUNT($J$103:$DD$103))</f>
        <v>37.535353535353536</v>
      </c>
      <c r="BK104" s="101">
        <f>BK103+(COUNT($J$103:BK$103)/COUNT($J$103:$DD$103))</f>
        <v>37.545454545454547</v>
      </c>
      <c r="BL104" s="101">
        <f>BL103+(COUNT($J$103:BL$103)/COUNT($J$103:$DD$103))</f>
        <v>37.555555555555557</v>
      </c>
      <c r="BM104" s="101">
        <f>BM103+(COUNT($J$103:BM$103)/COUNT($J$103:$DD$103))</f>
        <v>37.565656565656568</v>
      </c>
      <c r="BN104" s="101">
        <f>BN103+(COUNT($J$103:BN$103)/COUNT($J$103:$DD$103))</f>
        <v>86.575757575757578</v>
      </c>
      <c r="BO104" s="101">
        <f>BO103+(COUNT($J$103:BO$103)/COUNT($J$103:$DD$103))</f>
        <v>86.585858585858588</v>
      </c>
      <c r="BP104" s="101">
        <f>BP103+(COUNT($J$103:BP$103)/COUNT($J$103:$DD$103))</f>
        <v>37.595959595959599</v>
      </c>
      <c r="BQ104" s="101">
        <f>BQ103+(COUNT($J$103:BQ$103)/COUNT($J$103:$DD$103))</f>
        <v>37.606060606060609</v>
      </c>
      <c r="BR104" s="101">
        <f>BR103+(COUNT($J$103:BR$103)/COUNT($J$103:$DD$103))</f>
        <v>84.616161616161619</v>
      </c>
      <c r="BS104" s="101">
        <f>BS103+(COUNT($J$103:BS$103)/COUNT($J$103:$DD$103))</f>
        <v>84.62626262626263</v>
      </c>
      <c r="BT104" s="101">
        <f>BT103+(COUNT($J$103:BT$103)/COUNT($J$103:$DD$103))</f>
        <v>37.636363636363633</v>
      </c>
      <c r="BU104" s="101">
        <f>BU103+(COUNT($J$103:BU$103)/COUNT($J$103:$DD$103))</f>
        <v>37.646464646464644</v>
      </c>
      <c r="BV104" s="101">
        <f>BV103+(COUNT($J$103:BV$103)/COUNT($J$103:$DD$103))</f>
        <v>80.656565656565661</v>
      </c>
      <c r="BW104" s="101">
        <f>BW103+(COUNT($J$103:BW$103)/COUNT($J$103:$DD$103))</f>
        <v>80.666666666666671</v>
      </c>
      <c r="BX104" s="101">
        <f>BX103+(COUNT($J$103:BX$103)/COUNT($J$103:$DD$103))</f>
        <v>37.676767676767675</v>
      </c>
      <c r="BY104" s="101">
        <f>BY103+(COUNT($J$103:BY$103)/COUNT($J$103:$DD$103))</f>
        <v>37.686868686868685</v>
      </c>
      <c r="BZ104" s="101">
        <f>BZ103+(COUNT($J$103:BZ$103)/COUNT($J$103:$DD$103))</f>
        <v>37.696969696969695</v>
      </c>
      <c r="CA104" s="101">
        <f>CA103+(COUNT($J$103:CA$103)/COUNT($J$103:$DD$103))</f>
        <v>37.707070707070706</v>
      </c>
      <c r="CB104" s="101">
        <f>CB103+(COUNT($J$103:CB$103)/COUNT($J$103:$DD$103))</f>
        <v>37.717171717171716</v>
      </c>
      <c r="CC104" s="101">
        <f>CC103+(COUNT($J$103:CC$103)/COUNT($J$103:$DD$103))</f>
        <v>37.727272727272727</v>
      </c>
      <c r="CD104" s="101">
        <f>CD103+(COUNT($J$103:CD$103)/COUNT($J$103:$DD$103))</f>
        <v>37.737373737373737</v>
      </c>
      <c r="CE104" s="101">
        <f>CE103+(COUNT($J$103:CE$103)/COUNT($J$103:$DD$103))</f>
        <v>37.747474747474747</v>
      </c>
      <c r="CF104" s="101">
        <f>CF103+(COUNT($J$103:CF$103)/COUNT($J$103:$DD$103))</f>
        <v>37.757575757575758</v>
      </c>
      <c r="CG104" s="101">
        <f>CG103+(COUNT($J$103:CG$103)/COUNT($J$103:$DD$103))</f>
        <v>29.767676767676768</v>
      </c>
      <c r="CH104" s="101">
        <f>CH103+(COUNT($J$103:CH$103)/COUNT($J$103:$DD$103))</f>
        <v>27.777777777777779</v>
      </c>
      <c r="CI104" s="101">
        <f>CI103+(COUNT($J$103:CI$103)/COUNT($J$103:$DD$103))</f>
        <v>32.787878787878789</v>
      </c>
      <c r="CJ104" s="101">
        <f>CJ103+(COUNT($J$103:CJ$103)/COUNT($J$103:$DD$103))</f>
        <v>34.797979797979799</v>
      </c>
      <c r="CK104" s="101">
        <f>CK103+(COUNT($J$103:CK$103)/COUNT($J$103:$DD$103))</f>
        <v>36.80808080808081</v>
      </c>
      <c r="CL104" s="101">
        <f>CL103+(COUNT($J$103:CL$103)/COUNT($J$103:$DD$103))</f>
        <v>37.81818181818182</v>
      </c>
      <c r="CM104" s="101">
        <f>CM103+(COUNT($J$103:CM$103)/COUNT($J$103:$DD$103))</f>
        <v>37.828282828282831</v>
      </c>
      <c r="CN104" s="101">
        <f>CN103+(COUNT($J$103:CN$103)/COUNT($J$103:$DD$103))</f>
        <v>37.838383838383841</v>
      </c>
      <c r="CO104" s="101">
        <f>CO103+(COUNT($J$103:CO$103)/COUNT($J$103:$DD$103))</f>
        <v>37.848484848484851</v>
      </c>
      <c r="CP104" s="101">
        <f>CP103+(COUNT($J$103:CP$103)/COUNT($J$103:$DD$103))</f>
        <v>14.858585858585858</v>
      </c>
      <c r="CQ104" s="101">
        <f>CQ103+(COUNT($J$103:CQ$103)/COUNT($J$103:$DD$103))</f>
        <v>37.868686868686872</v>
      </c>
      <c r="CR104" s="101">
        <f>CR103+(COUNT($J$103:CR$103)/COUNT($J$103:$DD$103))</f>
        <v>37.878787878787875</v>
      </c>
      <c r="CS104" s="101">
        <f>CS103+(COUNT($J$103:CS$103)/COUNT($J$103:$DD$103))</f>
        <v>37.888888888888886</v>
      </c>
      <c r="CT104" s="101">
        <f>CT103+(COUNT($J$103:CT$103)/COUNT($J$103:$DD$103))</f>
        <v>37.898989898989896</v>
      </c>
      <c r="CU104" s="101">
        <f>CU103+(COUNT($J$103:CU$103)/COUNT($J$103:$DD$103))</f>
        <v>78.909090909090907</v>
      </c>
      <c r="CV104" s="101">
        <f>CV103+(COUNT($J$103:CV$103)/COUNT($J$103:$DD$103))</f>
        <v>78.919191919191917</v>
      </c>
      <c r="CW104" s="101">
        <f>CW103+(COUNT($J$103:CW$103)/COUNT($J$103:$DD$103))</f>
        <v>37.929292929292927</v>
      </c>
      <c r="CX104" s="101">
        <f>CX103+(COUNT($J$103:CX$103)/COUNT($J$103:$DD$103))</f>
        <v>37.939393939393938</v>
      </c>
      <c r="CY104" s="101">
        <f>CY103+(COUNT($J$103:CY$103)/COUNT($J$103:$DD$103))</f>
        <v>76.949494949494948</v>
      </c>
      <c r="CZ104" s="101">
        <f>CZ103+(COUNT($J$103:CZ$103)/COUNT($J$103:$DD$103))</f>
        <v>76.959595959595958</v>
      </c>
      <c r="DA104" s="101">
        <f>DA103+(COUNT($J$103:DA$103)/COUNT($J$103:$DD$103))</f>
        <v>37.969696969696969</v>
      </c>
      <c r="DB104" s="101">
        <f>DB103+(COUNT($J$103:DB$103)/COUNT($J$103:$DD$103))</f>
        <v>37.979797979797979</v>
      </c>
      <c r="DC104" s="101">
        <f>DC103+(COUNT($J$103:DC$103)/COUNT($J$103:$DD$103))</f>
        <v>74.98989898989899</v>
      </c>
      <c r="DD104" s="101">
        <f>DD103+(COUNT($J$103:DD$103)/COUNT($J$103:$DD$103))</f>
        <v>75</v>
      </c>
    </row>
    <row r="105" spans="3:111" outlineLevel="1" x14ac:dyDescent="0.25">
      <c r="C105" s="91"/>
      <c r="E105" t="s">
        <v>1004</v>
      </c>
      <c r="G105" t="s">
        <v>683</v>
      </c>
      <c r="J105" s="92">
        <f t="shared" ref="J105:AO105" si="24">RANK(J104,$J$104:$DD$104,1)</f>
        <v>16</v>
      </c>
      <c r="K105" s="92">
        <f t="shared" si="24"/>
        <v>12</v>
      </c>
      <c r="L105" s="92">
        <f t="shared" si="24"/>
        <v>23</v>
      </c>
      <c r="M105" s="92">
        <f t="shared" si="24"/>
        <v>15</v>
      </c>
      <c r="N105" s="92">
        <f t="shared" si="24"/>
        <v>13</v>
      </c>
      <c r="O105" s="92">
        <f t="shared" si="24"/>
        <v>25</v>
      </c>
      <c r="P105" s="92">
        <f t="shared" si="24"/>
        <v>17</v>
      </c>
      <c r="Q105" s="92">
        <f t="shared" si="24"/>
        <v>19</v>
      </c>
      <c r="R105" s="92">
        <f t="shared" si="24"/>
        <v>24</v>
      </c>
      <c r="S105" s="92">
        <f t="shared" si="24"/>
        <v>3</v>
      </c>
      <c r="T105" s="92">
        <f t="shared" si="24"/>
        <v>2</v>
      </c>
      <c r="U105" s="92">
        <f t="shared" si="24"/>
        <v>4</v>
      </c>
      <c r="V105" s="92">
        <f t="shared" si="24"/>
        <v>6</v>
      </c>
      <c r="W105" s="92">
        <f t="shared" si="24"/>
        <v>11</v>
      </c>
      <c r="X105" s="92">
        <f t="shared" si="24"/>
        <v>9</v>
      </c>
      <c r="Y105" s="92">
        <f t="shared" si="24"/>
        <v>7</v>
      </c>
      <c r="Z105" s="92">
        <f t="shared" si="24"/>
        <v>5</v>
      </c>
      <c r="AA105" s="92">
        <f t="shared" si="24"/>
        <v>8</v>
      </c>
      <c r="AB105" s="92">
        <f t="shared" si="24"/>
        <v>1</v>
      </c>
      <c r="AC105" s="92">
        <f t="shared" si="24"/>
        <v>91</v>
      </c>
      <c r="AD105" s="92">
        <f t="shared" si="24"/>
        <v>88</v>
      </c>
      <c r="AE105" s="92">
        <f t="shared" si="24"/>
        <v>92</v>
      </c>
      <c r="AF105" s="92">
        <f t="shared" si="24"/>
        <v>93</v>
      </c>
      <c r="AG105" s="92">
        <f t="shared" si="24"/>
        <v>98</v>
      </c>
      <c r="AH105" s="92">
        <f t="shared" si="24"/>
        <v>99</v>
      </c>
      <c r="AI105" s="92">
        <f t="shared" si="24"/>
        <v>89</v>
      </c>
      <c r="AJ105" s="92">
        <f t="shared" si="24"/>
        <v>90</v>
      </c>
      <c r="AK105" s="92">
        <f t="shared" si="24"/>
        <v>96</v>
      </c>
      <c r="AL105" s="92">
        <f t="shared" si="24"/>
        <v>97</v>
      </c>
      <c r="AM105" s="92">
        <f t="shared" si="24"/>
        <v>82</v>
      </c>
      <c r="AN105" s="92">
        <f t="shared" si="24"/>
        <v>83</v>
      </c>
      <c r="AO105" s="92">
        <f t="shared" si="24"/>
        <v>94</v>
      </c>
      <c r="AP105" s="92">
        <f t="shared" ref="AP105:BU105" si="25">RANK(AP104,$J$104:$DD$104,1)</f>
        <v>95</v>
      </c>
      <c r="AQ105" s="92">
        <f t="shared" si="25"/>
        <v>37</v>
      </c>
      <c r="AR105" s="92">
        <f t="shared" si="25"/>
        <v>22</v>
      </c>
      <c r="AS105" s="92">
        <f t="shared" si="25"/>
        <v>38</v>
      </c>
      <c r="AT105" s="92">
        <f t="shared" si="25"/>
        <v>39</v>
      </c>
      <c r="AU105" s="92">
        <f t="shared" si="25"/>
        <v>26</v>
      </c>
      <c r="AV105" s="92">
        <f t="shared" si="25"/>
        <v>40</v>
      </c>
      <c r="AW105" s="92">
        <f t="shared" si="25"/>
        <v>28</v>
      </c>
      <c r="AX105" s="92">
        <f t="shared" si="25"/>
        <v>31</v>
      </c>
      <c r="AY105" s="92">
        <f t="shared" si="25"/>
        <v>35</v>
      </c>
      <c r="AZ105" s="92">
        <f t="shared" si="25"/>
        <v>20</v>
      </c>
      <c r="BA105" s="92">
        <f t="shared" si="25"/>
        <v>18</v>
      </c>
      <c r="BB105" s="92">
        <f t="shared" si="25"/>
        <v>21</v>
      </c>
      <c r="BC105" s="92">
        <f t="shared" si="25"/>
        <v>30</v>
      </c>
      <c r="BD105" s="92">
        <f t="shared" si="25"/>
        <v>33</v>
      </c>
      <c r="BE105" s="92">
        <f t="shared" si="25"/>
        <v>41</v>
      </c>
      <c r="BF105" s="92">
        <f t="shared" si="25"/>
        <v>42</v>
      </c>
      <c r="BG105" s="92">
        <f t="shared" si="25"/>
        <v>43</v>
      </c>
      <c r="BH105" s="92">
        <f t="shared" si="25"/>
        <v>44</v>
      </c>
      <c r="BI105" s="92">
        <f t="shared" si="25"/>
        <v>10</v>
      </c>
      <c r="BJ105" s="92">
        <f t="shared" si="25"/>
        <v>45</v>
      </c>
      <c r="BK105" s="92">
        <f t="shared" si="25"/>
        <v>46</v>
      </c>
      <c r="BL105" s="92">
        <f t="shared" si="25"/>
        <v>47</v>
      </c>
      <c r="BM105" s="92">
        <f t="shared" si="25"/>
        <v>48</v>
      </c>
      <c r="BN105" s="92">
        <f t="shared" si="25"/>
        <v>86</v>
      </c>
      <c r="BO105" s="92">
        <f t="shared" si="25"/>
        <v>87</v>
      </c>
      <c r="BP105" s="92">
        <f t="shared" si="25"/>
        <v>49</v>
      </c>
      <c r="BQ105" s="92">
        <f t="shared" si="25"/>
        <v>50</v>
      </c>
      <c r="BR105" s="92">
        <f t="shared" si="25"/>
        <v>84</v>
      </c>
      <c r="BS105" s="92">
        <f t="shared" si="25"/>
        <v>85</v>
      </c>
      <c r="BT105" s="92">
        <f t="shared" si="25"/>
        <v>51</v>
      </c>
      <c r="BU105" s="92">
        <f t="shared" si="25"/>
        <v>52</v>
      </c>
      <c r="BV105" s="92">
        <f t="shared" ref="BV105:DA105" si="26">RANK(BV104,$J$104:$DD$104,1)</f>
        <v>80</v>
      </c>
      <c r="BW105" s="92">
        <f t="shared" si="26"/>
        <v>81</v>
      </c>
      <c r="BX105" s="92">
        <f t="shared" si="26"/>
        <v>53</v>
      </c>
      <c r="BY105" s="92">
        <f t="shared" si="26"/>
        <v>54</v>
      </c>
      <c r="BZ105" s="92">
        <f t="shared" si="26"/>
        <v>55</v>
      </c>
      <c r="CA105" s="92">
        <f t="shared" si="26"/>
        <v>56</v>
      </c>
      <c r="CB105" s="92">
        <f t="shared" si="26"/>
        <v>57</v>
      </c>
      <c r="CC105" s="92">
        <f t="shared" si="26"/>
        <v>58</v>
      </c>
      <c r="CD105" s="92">
        <f t="shared" si="26"/>
        <v>59</v>
      </c>
      <c r="CE105" s="92">
        <f t="shared" si="26"/>
        <v>60</v>
      </c>
      <c r="CF105" s="92">
        <f t="shared" si="26"/>
        <v>61</v>
      </c>
      <c r="CG105" s="92">
        <f t="shared" si="26"/>
        <v>29</v>
      </c>
      <c r="CH105" s="92">
        <f t="shared" si="26"/>
        <v>27</v>
      </c>
      <c r="CI105" s="92">
        <f t="shared" si="26"/>
        <v>32</v>
      </c>
      <c r="CJ105" s="92">
        <f t="shared" si="26"/>
        <v>34</v>
      </c>
      <c r="CK105" s="92">
        <f t="shared" si="26"/>
        <v>36</v>
      </c>
      <c r="CL105" s="92">
        <f t="shared" si="26"/>
        <v>62</v>
      </c>
      <c r="CM105" s="92">
        <f t="shared" si="26"/>
        <v>63</v>
      </c>
      <c r="CN105" s="92">
        <f t="shared" si="26"/>
        <v>64</v>
      </c>
      <c r="CO105" s="92">
        <f t="shared" si="26"/>
        <v>65</v>
      </c>
      <c r="CP105" s="92">
        <f t="shared" si="26"/>
        <v>14</v>
      </c>
      <c r="CQ105" s="92">
        <f t="shared" si="26"/>
        <v>66</v>
      </c>
      <c r="CR105" s="92">
        <f t="shared" si="26"/>
        <v>67</v>
      </c>
      <c r="CS105" s="92">
        <f t="shared" si="26"/>
        <v>68</v>
      </c>
      <c r="CT105" s="92">
        <f t="shared" si="26"/>
        <v>69</v>
      </c>
      <c r="CU105" s="92">
        <f t="shared" si="26"/>
        <v>78</v>
      </c>
      <c r="CV105" s="92">
        <f t="shared" si="26"/>
        <v>79</v>
      </c>
      <c r="CW105" s="92">
        <f t="shared" si="26"/>
        <v>70</v>
      </c>
      <c r="CX105" s="92">
        <f t="shared" si="26"/>
        <v>71</v>
      </c>
      <c r="CY105" s="92">
        <f t="shared" si="26"/>
        <v>76</v>
      </c>
      <c r="CZ105" s="92">
        <f t="shared" si="26"/>
        <v>77</v>
      </c>
      <c r="DA105" s="92">
        <f t="shared" si="26"/>
        <v>72</v>
      </c>
      <c r="DB105" s="92">
        <f t="shared" ref="DB105:DD105" si="27">RANK(DB104,$J$104:$DD$104,1)</f>
        <v>73</v>
      </c>
      <c r="DC105" s="92">
        <f t="shared" si="27"/>
        <v>74</v>
      </c>
      <c r="DD105" s="92">
        <f t="shared" si="27"/>
        <v>75</v>
      </c>
    </row>
    <row r="106" spans="3:111" outlineLevel="1" x14ac:dyDescent="0.25">
      <c r="D106" s="29"/>
      <c r="E106" s="29"/>
      <c r="H106" s="236"/>
      <c r="I106" s="236"/>
    </row>
    <row r="107" spans="3:111" outlineLevel="1" x14ac:dyDescent="0.25">
      <c r="D107" s="32" t="s">
        <v>1005</v>
      </c>
      <c r="E107"/>
      <c r="H107" s="236"/>
      <c r="I107" s="236"/>
    </row>
    <row r="108" spans="3:111" outlineLevel="1" x14ac:dyDescent="0.25">
      <c r="D108" s="32" t="s">
        <v>1006</v>
      </c>
      <c r="E108"/>
      <c r="H108" s="236"/>
      <c r="I108" s="236"/>
    </row>
    <row r="109" spans="3:111" outlineLevel="1" x14ac:dyDescent="0.25">
      <c r="D109" s="32"/>
      <c r="E109"/>
      <c r="H109" s="236"/>
      <c r="I109" s="236"/>
    </row>
    <row r="110" spans="3:111" outlineLevel="1" x14ac:dyDescent="0.25">
      <c r="D110"/>
      <c r="E110" s="237" t="s">
        <v>1007</v>
      </c>
      <c r="F110" s="237"/>
      <c r="G110" s="237"/>
      <c r="H110" s="237" t="s">
        <v>1008</v>
      </c>
      <c r="I110" s="237"/>
      <c r="J110" s="240">
        <v>1</v>
      </c>
      <c r="K110" s="240">
        <f>J110+1</f>
        <v>2</v>
      </c>
      <c r="L110" s="240">
        <f t="shared" ref="L110:BW110" si="28">K110+1</f>
        <v>3</v>
      </c>
      <c r="M110" s="240">
        <f t="shared" si="28"/>
        <v>4</v>
      </c>
      <c r="N110" s="240">
        <f t="shared" si="28"/>
        <v>5</v>
      </c>
      <c r="O110" s="240">
        <f t="shared" si="28"/>
        <v>6</v>
      </c>
      <c r="P110" s="240">
        <f t="shared" si="28"/>
        <v>7</v>
      </c>
      <c r="Q110" s="240">
        <f t="shared" si="28"/>
        <v>8</v>
      </c>
      <c r="R110" s="240">
        <f t="shared" si="28"/>
        <v>9</v>
      </c>
      <c r="S110" s="240">
        <f t="shared" si="28"/>
        <v>10</v>
      </c>
      <c r="T110" s="240">
        <f t="shared" si="28"/>
        <v>11</v>
      </c>
      <c r="U110" s="240">
        <f t="shared" si="28"/>
        <v>12</v>
      </c>
      <c r="V110" s="240">
        <f t="shared" si="28"/>
        <v>13</v>
      </c>
      <c r="W110" s="240">
        <f t="shared" si="28"/>
        <v>14</v>
      </c>
      <c r="X110" s="240">
        <f t="shared" si="28"/>
        <v>15</v>
      </c>
      <c r="Y110" s="240">
        <f t="shared" si="28"/>
        <v>16</v>
      </c>
      <c r="Z110" s="240">
        <f t="shared" si="28"/>
        <v>17</v>
      </c>
      <c r="AA110" s="240">
        <f t="shared" si="28"/>
        <v>18</v>
      </c>
      <c r="AB110" s="240">
        <f t="shared" si="28"/>
        <v>19</v>
      </c>
      <c r="AC110" s="240">
        <f t="shared" si="28"/>
        <v>20</v>
      </c>
      <c r="AD110" s="240">
        <f t="shared" si="28"/>
        <v>21</v>
      </c>
      <c r="AE110" s="240">
        <f t="shared" si="28"/>
        <v>22</v>
      </c>
      <c r="AF110" s="240">
        <f t="shared" si="28"/>
        <v>23</v>
      </c>
      <c r="AG110" s="240">
        <f t="shared" si="28"/>
        <v>24</v>
      </c>
      <c r="AH110" s="240">
        <f t="shared" si="28"/>
        <v>25</v>
      </c>
      <c r="AI110" s="240">
        <f t="shared" si="28"/>
        <v>26</v>
      </c>
      <c r="AJ110" s="240">
        <f t="shared" si="28"/>
        <v>27</v>
      </c>
      <c r="AK110" s="240">
        <f t="shared" si="28"/>
        <v>28</v>
      </c>
      <c r="AL110" s="240">
        <f t="shared" si="28"/>
        <v>29</v>
      </c>
      <c r="AM110" s="240">
        <f t="shared" si="28"/>
        <v>30</v>
      </c>
      <c r="AN110" s="240">
        <f t="shared" si="28"/>
        <v>31</v>
      </c>
      <c r="AO110" s="240">
        <f t="shared" si="28"/>
        <v>32</v>
      </c>
      <c r="AP110" s="240">
        <f t="shared" si="28"/>
        <v>33</v>
      </c>
      <c r="AQ110" s="240">
        <f t="shared" si="28"/>
        <v>34</v>
      </c>
      <c r="AR110" s="240">
        <f t="shared" si="28"/>
        <v>35</v>
      </c>
      <c r="AS110" s="240">
        <f t="shared" si="28"/>
        <v>36</v>
      </c>
      <c r="AT110" s="240">
        <f t="shared" si="28"/>
        <v>37</v>
      </c>
      <c r="AU110" s="240">
        <f t="shared" si="28"/>
        <v>38</v>
      </c>
      <c r="AV110" s="240">
        <f t="shared" si="28"/>
        <v>39</v>
      </c>
      <c r="AW110" s="240">
        <f t="shared" si="28"/>
        <v>40</v>
      </c>
      <c r="AX110" s="240">
        <f t="shared" si="28"/>
        <v>41</v>
      </c>
      <c r="AY110" s="240">
        <f t="shared" si="28"/>
        <v>42</v>
      </c>
      <c r="AZ110" s="240">
        <f t="shared" si="28"/>
        <v>43</v>
      </c>
      <c r="BA110" s="240">
        <f t="shared" si="28"/>
        <v>44</v>
      </c>
      <c r="BB110" s="240">
        <f t="shared" si="28"/>
        <v>45</v>
      </c>
      <c r="BC110" s="240">
        <f t="shared" si="28"/>
        <v>46</v>
      </c>
      <c r="BD110" s="240">
        <f t="shared" si="28"/>
        <v>47</v>
      </c>
      <c r="BE110" s="240">
        <f t="shared" si="28"/>
        <v>48</v>
      </c>
      <c r="BF110" s="240">
        <f t="shared" si="28"/>
        <v>49</v>
      </c>
      <c r="BG110" s="240">
        <f t="shared" si="28"/>
        <v>50</v>
      </c>
      <c r="BH110" s="240">
        <f t="shared" si="28"/>
        <v>51</v>
      </c>
      <c r="BI110" s="240">
        <f t="shared" si="28"/>
        <v>52</v>
      </c>
      <c r="BJ110" s="240">
        <f t="shared" si="28"/>
        <v>53</v>
      </c>
      <c r="BK110" s="240">
        <f t="shared" si="28"/>
        <v>54</v>
      </c>
      <c r="BL110" s="240">
        <f t="shared" si="28"/>
        <v>55</v>
      </c>
      <c r="BM110" s="240">
        <f t="shared" si="28"/>
        <v>56</v>
      </c>
      <c r="BN110" s="240">
        <f t="shared" si="28"/>
        <v>57</v>
      </c>
      <c r="BO110" s="240">
        <f t="shared" si="28"/>
        <v>58</v>
      </c>
      <c r="BP110" s="240">
        <f t="shared" si="28"/>
        <v>59</v>
      </c>
      <c r="BQ110" s="240">
        <f t="shared" si="28"/>
        <v>60</v>
      </c>
      <c r="BR110" s="240">
        <f t="shared" si="28"/>
        <v>61</v>
      </c>
      <c r="BS110" s="240">
        <f t="shared" si="28"/>
        <v>62</v>
      </c>
      <c r="BT110" s="240">
        <f t="shared" si="28"/>
        <v>63</v>
      </c>
      <c r="BU110" s="240">
        <f t="shared" si="28"/>
        <v>64</v>
      </c>
      <c r="BV110" s="240">
        <f t="shared" si="28"/>
        <v>65</v>
      </c>
      <c r="BW110" s="240">
        <f t="shared" si="28"/>
        <v>66</v>
      </c>
      <c r="BX110" s="240">
        <f t="shared" ref="BX110:DD110" si="29">BW110+1</f>
        <v>67</v>
      </c>
      <c r="BY110" s="240">
        <f t="shared" si="29"/>
        <v>68</v>
      </c>
      <c r="BZ110" s="240">
        <f t="shared" si="29"/>
        <v>69</v>
      </c>
      <c r="CA110" s="240">
        <f t="shared" si="29"/>
        <v>70</v>
      </c>
      <c r="CB110" s="240">
        <f t="shared" si="29"/>
        <v>71</v>
      </c>
      <c r="CC110" s="240">
        <f t="shared" si="29"/>
        <v>72</v>
      </c>
      <c r="CD110" s="240">
        <f t="shared" si="29"/>
        <v>73</v>
      </c>
      <c r="CE110" s="240">
        <f t="shared" si="29"/>
        <v>74</v>
      </c>
      <c r="CF110" s="240">
        <f t="shared" si="29"/>
        <v>75</v>
      </c>
      <c r="CG110" s="240">
        <f t="shared" si="29"/>
        <v>76</v>
      </c>
      <c r="CH110" s="240">
        <f t="shared" si="29"/>
        <v>77</v>
      </c>
      <c r="CI110" s="240">
        <f t="shared" si="29"/>
        <v>78</v>
      </c>
      <c r="CJ110" s="240">
        <f t="shared" si="29"/>
        <v>79</v>
      </c>
      <c r="CK110" s="240">
        <f t="shared" si="29"/>
        <v>80</v>
      </c>
      <c r="CL110" s="240">
        <f t="shared" si="29"/>
        <v>81</v>
      </c>
      <c r="CM110" s="240">
        <f t="shared" si="29"/>
        <v>82</v>
      </c>
      <c r="CN110" s="240">
        <f t="shared" si="29"/>
        <v>83</v>
      </c>
      <c r="CO110" s="240">
        <f t="shared" si="29"/>
        <v>84</v>
      </c>
      <c r="CP110" s="240">
        <f t="shared" si="29"/>
        <v>85</v>
      </c>
      <c r="CQ110" s="240">
        <f t="shared" si="29"/>
        <v>86</v>
      </c>
      <c r="CR110" s="240">
        <f t="shared" si="29"/>
        <v>87</v>
      </c>
      <c r="CS110" s="240">
        <f t="shared" si="29"/>
        <v>88</v>
      </c>
      <c r="CT110" s="240">
        <f t="shared" si="29"/>
        <v>89</v>
      </c>
      <c r="CU110" s="240">
        <f t="shared" si="29"/>
        <v>90</v>
      </c>
      <c r="CV110" s="240">
        <f t="shared" si="29"/>
        <v>91</v>
      </c>
      <c r="CW110" s="240">
        <f t="shared" si="29"/>
        <v>92</v>
      </c>
      <c r="CX110" s="240">
        <f t="shared" si="29"/>
        <v>93</v>
      </c>
      <c r="CY110" s="240">
        <f t="shared" si="29"/>
        <v>94</v>
      </c>
      <c r="CZ110" s="240">
        <f t="shared" si="29"/>
        <v>95</v>
      </c>
      <c r="DA110" s="240">
        <f t="shared" si="29"/>
        <v>96</v>
      </c>
      <c r="DB110" s="240">
        <f t="shared" si="29"/>
        <v>97</v>
      </c>
      <c r="DC110" s="240">
        <f t="shared" si="29"/>
        <v>98</v>
      </c>
      <c r="DD110" s="240">
        <f t="shared" si="29"/>
        <v>99</v>
      </c>
    </row>
    <row r="111" spans="3:111" outlineLevel="1" x14ac:dyDescent="0.25">
      <c r="C111" s="91"/>
      <c r="E111" t="s">
        <v>1009</v>
      </c>
      <c r="G111" t="s">
        <v>327</v>
      </c>
      <c r="H111" s="322"/>
      <c r="I111" s="304"/>
      <c r="J111" s="322">
        <f t="shared" ref="J111:AO111" si="30">INDEX($J$96:$DD$96,1,MATCH(J110,$J$105:$DD$105,0))</f>
        <v>-18.431963873020528</v>
      </c>
      <c r="K111" s="322">
        <f t="shared" si="30"/>
        <v>-10.147472710891583</v>
      </c>
      <c r="L111" s="322">
        <f t="shared" si="30"/>
        <v>-9.2860596177916985</v>
      </c>
      <c r="M111" s="322">
        <f t="shared" si="30"/>
        <v>-6.8120939588588545</v>
      </c>
      <c r="N111" s="322">
        <f t="shared" si="30"/>
        <v>-4.2265496602454524</v>
      </c>
      <c r="O111" s="322">
        <f t="shared" si="30"/>
        <v>-4.0192524728674064</v>
      </c>
      <c r="P111" s="322">
        <f t="shared" si="30"/>
        <v>-3.3598921033853024</v>
      </c>
      <c r="Q111" s="322">
        <f t="shared" si="30"/>
        <v>-3.2764562377993087</v>
      </c>
      <c r="R111" s="322">
        <f t="shared" si="30"/>
        <v>-3.2735965599064762</v>
      </c>
      <c r="S111" s="322">
        <f t="shared" si="30"/>
        <v>-3.2369694985311281</v>
      </c>
      <c r="T111" s="322">
        <f t="shared" si="30"/>
        <v>-2.5912776700784232</v>
      </c>
      <c r="U111" s="322">
        <f t="shared" si="30"/>
        <v>-2.52657420114173</v>
      </c>
      <c r="V111" s="322">
        <f t="shared" si="30"/>
        <v>-2.4357122429871434</v>
      </c>
      <c r="W111" s="322">
        <f t="shared" si="30"/>
        <v>-2.3957065733317577</v>
      </c>
      <c r="X111" s="322">
        <f t="shared" si="30"/>
        <v>-2.2398015486733498</v>
      </c>
      <c r="Y111" s="322">
        <f t="shared" si="30"/>
        <v>-2.1812548702806467</v>
      </c>
      <c r="Z111" s="322">
        <f t="shared" si="30"/>
        <v>-2.1130558314365118</v>
      </c>
      <c r="AA111" s="322">
        <f t="shared" si="30"/>
        <v>-1.5624117090109557</v>
      </c>
      <c r="AB111" s="322">
        <f t="shared" si="30"/>
        <v>-1.5437565865293077</v>
      </c>
      <c r="AC111" s="322">
        <f t="shared" si="30"/>
        <v>-1.4297196397962209</v>
      </c>
      <c r="AD111" s="322">
        <f t="shared" si="30"/>
        <v>-1.0402561060815092</v>
      </c>
      <c r="AE111" s="322">
        <f t="shared" si="30"/>
        <v>-0.87428917856668065</v>
      </c>
      <c r="AF111" s="322">
        <f t="shared" si="30"/>
        <v>-0.85754957267127052</v>
      </c>
      <c r="AG111" s="322">
        <f t="shared" si="30"/>
        <v>-0.78588931926926087</v>
      </c>
      <c r="AH111" s="322">
        <f t="shared" si="30"/>
        <v>-0.77709672833130972</v>
      </c>
      <c r="AI111" s="322">
        <f t="shared" si="30"/>
        <v>-0.74368804964490787</v>
      </c>
      <c r="AJ111" s="322">
        <f t="shared" si="30"/>
        <v>-0.73153374793817616</v>
      </c>
      <c r="AK111" s="322">
        <f t="shared" si="30"/>
        <v>-0.70007732172153636</v>
      </c>
      <c r="AL111" s="322">
        <f t="shared" si="30"/>
        <v>-0.66940329493843409</v>
      </c>
      <c r="AM111" s="322">
        <f t="shared" si="30"/>
        <v>-0.59300883388133552</v>
      </c>
      <c r="AN111" s="322">
        <f t="shared" si="30"/>
        <v>-0.51034324501475914</v>
      </c>
      <c r="AO111" s="322">
        <f t="shared" si="30"/>
        <v>-0.48663101438528217</v>
      </c>
      <c r="AP111" s="322">
        <f t="shared" ref="AP111:BU111" si="31">INDEX($J$96:$DD$96,1,MATCH(AP110,$J$105:$DD$105,0))</f>
        <v>-0.36704350228485144</v>
      </c>
      <c r="AQ111" s="322">
        <f t="shared" si="31"/>
        <v>-0.2763746609613566</v>
      </c>
      <c r="AR111" s="322">
        <f t="shared" si="31"/>
        <v>-0.24508239849318561</v>
      </c>
      <c r="AS111" s="322">
        <f t="shared" si="31"/>
        <v>-0.17027445482226455</v>
      </c>
      <c r="AT111" s="322">
        <f t="shared" si="31"/>
        <v>0</v>
      </c>
      <c r="AU111" s="322">
        <f t="shared" si="31"/>
        <v>0</v>
      </c>
      <c r="AV111" s="322">
        <f t="shared" si="31"/>
        <v>0</v>
      </c>
      <c r="AW111" s="322">
        <f t="shared" si="31"/>
        <v>0</v>
      </c>
      <c r="AX111" s="322">
        <f t="shared" si="31"/>
        <v>0</v>
      </c>
      <c r="AY111" s="322">
        <f t="shared" si="31"/>
        <v>0</v>
      </c>
      <c r="AZ111" s="322">
        <f t="shared" si="31"/>
        <v>0</v>
      </c>
      <c r="BA111" s="322">
        <f t="shared" si="31"/>
        <v>0</v>
      </c>
      <c r="BB111" s="322">
        <f t="shared" si="31"/>
        <v>0</v>
      </c>
      <c r="BC111" s="322">
        <f t="shared" si="31"/>
        <v>0</v>
      </c>
      <c r="BD111" s="322">
        <f t="shared" si="31"/>
        <v>0</v>
      </c>
      <c r="BE111" s="322">
        <f t="shared" si="31"/>
        <v>0</v>
      </c>
      <c r="BF111" s="322">
        <f t="shared" si="31"/>
        <v>0</v>
      </c>
      <c r="BG111" s="322">
        <f t="shared" si="31"/>
        <v>0</v>
      </c>
      <c r="BH111" s="322">
        <f t="shared" si="31"/>
        <v>0</v>
      </c>
      <c r="BI111" s="322">
        <f t="shared" si="31"/>
        <v>0</v>
      </c>
      <c r="BJ111" s="322">
        <f t="shared" si="31"/>
        <v>0</v>
      </c>
      <c r="BK111" s="322">
        <f t="shared" si="31"/>
        <v>0</v>
      </c>
      <c r="BL111" s="322">
        <f t="shared" si="31"/>
        <v>0</v>
      </c>
      <c r="BM111" s="322">
        <f t="shared" si="31"/>
        <v>0</v>
      </c>
      <c r="BN111" s="322">
        <f t="shared" si="31"/>
        <v>0</v>
      </c>
      <c r="BO111" s="322">
        <f t="shared" si="31"/>
        <v>0</v>
      </c>
      <c r="BP111" s="322">
        <f t="shared" si="31"/>
        <v>0</v>
      </c>
      <c r="BQ111" s="322">
        <f t="shared" si="31"/>
        <v>0</v>
      </c>
      <c r="BR111" s="322">
        <f t="shared" si="31"/>
        <v>0</v>
      </c>
      <c r="BS111" s="322">
        <f t="shared" si="31"/>
        <v>0</v>
      </c>
      <c r="BT111" s="322">
        <f t="shared" si="31"/>
        <v>0</v>
      </c>
      <c r="BU111" s="322">
        <f t="shared" si="31"/>
        <v>0</v>
      </c>
      <c r="BV111" s="322">
        <f t="shared" ref="BV111:DA111" si="32">INDEX($J$96:$DD$96,1,MATCH(BV110,$J$105:$DD$105,0))</f>
        <v>0</v>
      </c>
      <c r="BW111" s="322">
        <f t="shared" si="32"/>
        <v>0</v>
      </c>
      <c r="BX111" s="322">
        <f t="shared" si="32"/>
        <v>0</v>
      </c>
      <c r="BY111" s="322">
        <f t="shared" si="32"/>
        <v>0</v>
      </c>
      <c r="BZ111" s="322">
        <f t="shared" si="32"/>
        <v>0</v>
      </c>
      <c r="CA111" s="322">
        <f t="shared" si="32"/>
        <v>0</v>
      </c>
      <c r="CB111" s="322">
        <f t="shared" si="32"/>
        <v>0</v>
      </c>
      <c r="CC111" s="322">
        <f t="shared" si="32"/>
        <v>0</v>
      </c>
      <c r="CD111" s="322">
        <f t="shared" si="32"/>
        <v>0</v>
      </c>
      <c r="CE111" s="322">
        <f t="shared" si="32"/>
        <v>0.22874833921883997</v>
      </c>
      <c r="CF111" s="322">
        <f t="shared" si="32"/>
        <v>0.22874833921883997</v>
      </c>
      <c r="CG111" s="322">
        <f t="shared" si="32"/>
        <v>0.43717848120950387</v>
      </c>
      <c r="CH111" s="322">
        <f t="shared" si="32"/>
        <v>0.43717848120950387</v>
      </c>
      <c r="CI111" s="322">
        <f t="shared" si="32"/>
        <v>0.48816987089385483</v>
      </c>
      <c r="CJ111" s="322">
        <f t="shared" si="32"/>
        <v>0.48816987089385483</v>
      </c>
      <c r="CK111" s="322">
        <f t="shared" si="32"/>
        <v>0.49082486830513528</v>
      </c>
      <c r="CL111" s="322">
        <f t="shared" si="32"/>
        <v>0.49082486830513528</v>
      </c>
      <c r="CM111" s="322">
        <f t="shared" si="32"/>
        <v>0.61647152195632826</v>
      </c>
      <c r="CN111" s="322">
        <f t="shared" si="32"/>
        <v>0.61647152195632826</v>
      </c>
      <c r="CO111" s="322">
        <f t="shared" si="32"/>
        <v>0.93407500674127786</v>
      </c>
      <c r="CP111" s="322">
        <f t="shared" si="32"/>
        <v>0.93407500674127786</v>
      </c>
      <c r="CQ111" s="322">
        <f t="shared" si="32"/>
        <v>1.0426332107186289</v>
      </c>
      <c r="CR111" s="322">
        <f t="shared" si="32"/>
        <v>1.0426332107186289</v>
      </c>
      <c r="CS111" s="322">
        <f t="shared" si="32"/>
        <v>1.1523156075321794</v>
      </c>
      <c r="CT111" s="322">
        <f t="shared" si="32"/>
        <v>1.1523156075321794</v>
      </c>
      <c r="CU111" s="322">
        <f t="shared" si="32"/>
        <v>1.1523156075321794</v>
      </c>
      <c r="CV111" s="322">
        <f t="shared" si="32"/>
        <v>1.2841828889894253</v>
      </c>
      <c r="CW111" s="322">
        <f t="shared" si="32"/>
        <v>1.2841828889894253</v>
      </c>
      <c r="CX111" s="322">
        <f t="shared" si="32"/>
        <v>1.2841828889894253</v>
      </c>
      <c r="CY111" s="322">
        <f t="shared" si="32"/>
        <v>3.3270697869504446</v>
      </c>
      <c r="CZ111" s="322">
        <f t="shared" si="32"/>
        <v>3.3270697869504446</v>
      </c>
      <c r="DA111" s="322">
        <f t="shared" si="32"/>
        <v>6.0880001830517498</v>
      </c>
      <c r="DB111" s="322">
        <f t="shared" ref="DB111:DD111" si="33">INDEX($J$96:$DD$96,1,MATCH(DB110,$J$105:$DD$105,0))</f>
        <v>6.0880001830517498</v>
      </c>
      <c r="DC111" s="322">
        <f t="shared" si="33"/>
        <v>6.7715623244648135</v>
      </c>
      <c r="DD111" s="322">
        <f t="shared" si="33"/>
        <v>6.7715623244648135</v>
      </c>
      <c r="DE111" s="304"/>
      <c r="DF111" s="304"/>
      <c r="DG111" s="304"/>
    </row>
    <row r="112" spans="3:111" outlineLevel="1" x14ac:dyDescent="0.25">
      <c r="C112" s="91"/>
      <c r="E112" t="s">
        <v>1010</v>
      </c>
      <c r="G112" t="s">
        <v>243</v>
      </c>
      <c r="H112" s="63"/>
      <c r="J112" s="101">
        <f t="shared" ref="J112:AO112" si="34">I112+INDEX($J$97:$DD$97,1,MATCH(J110,$J$105:$DD$105,0))</f>
        <v>4621.3412299929805</v>
      </c>
      <c r="K112" s="101">
        <f t="shared" si="34"/>
        <v>12460.986137784579</v>
      </c>
      <c r="L112" s="101">
        <f t="shared" si="34"/>
        <v>12515.016131917146</v>
      </c>
      <c r="M112" s="101">
        <f t="shared" si="34"/>
        <v>180745.38214508118</v>
      </c>
      <c r="N112" s="101">
        <f t="shared" si="34"/>
        <v>184266.10839511029</v>
      </c>
      <c r="O112" s="101">
        <f t="shared" si="34"/>
        <v>195614.66260981091</v>
      </c>
      <c r="P112" s="101">
        <f t="shared" si="34"/>
        <v>212895.30069345268</v>
      </c>
      <c r="Q112" s="101">
        <f t="shared" si="34"/>
        <v>212939.54822887876</v>
      </c>
      <c r="R112" s="101">
        <f t="shared" si="34"/>
        <v>227082.57269244749</v>
      </c>
      <c r="S112" s="101">
        <f t="shared" si="34"/>
        <v>242914.63728735791</v>
      </c>
      <c r="T112" s="101">
        <f t="shared" si="34"/>
        <v>331265.65061231091</v>
      </c>
      <c r="U112" s="101">
        <f t="shared" si="34"/>
        <v>572599.54806706042</v>
      </c>
      <c r="V112" s="101">
        <f t="shared" si="34"/>
        <v>724779.06770344963</v>
      </c>
      <c r="W112" s="101">
        <f t="shared" si="34"/>
        <v>787186.59186422394</v>
      </c>
      <c r="X112" s="101">
        <f t="shared" si="34"/>
        <v>1624495.7702669266</v>
      </c>
      <c r="Y112" s="101">
        <f t="shared" si="34"/>
        <v>3983856.4321484733</v>
      </c>
      <c r="Z112" s="101">
        <f t="shared" si="34"/>
        <v>4013769.7375749475</v>
      </c>
      <c r="AA112" s="101">
        <f t="shared" si="34"/>
        <v>4052837.2958500474</v>
      </c>
      <c r="AB112" s="101">
        <f t="shared" si="34"/>
        <v>4052837.2958500474</v>
      </c>
      <c r="AC112" s="101">
        <f t="shared" si="34"/>
        <v>4052974.0280965492</v>
      </c>
      <c r="AD112" s="101">
        <f t="shared" si="34"/>
        <v>4866931.6059777588</v>
      </c>
      <c r="AE112" s="101">
        <f t="shared" si="34"/>
        <v>5071221.6034402885</v>
      </c>
      <c r="AF112" s="101">
        <f t="shared" si="34"/>
        <v>5494277.4810187425</v>
      </c>
      <c r="AG112" s="101">
        <f t="shared" si="34"/>
        <v>5494825.8312055031</v>
      </c>
      <c r="AH112" s="101">
        <f t="shared" si="34"/>
        <v>5522967.3355082069</v>
      </c>
      <c r="AI112" s="101">
        <f t="shared" si="34"/>
        <v>5605257.0846011629</v>
      </c>
      <c r="AJ112" s="101">
        <f t="shared" si="34"/>
        <v>5632456.5951715428</v>
      </c>
      <c r="AK112" s="101">
        <f t="shared" si="34"/>
        <v>5642498.8810971286</v>
      </c>
      <c r="AL112" s="101">
        <f t="shared" si="34"/>
        <v>5642664.1872452274</v>
      </c>
      <c r="AM112" s="101">
        <f t="shared" si="34"/>
        <v>5698356.8139873203</v>
      </c>
      <c r="AN112" s="101">
        <f t="shared" si="34"/>
        <v>5698356.8139873203</v>
      </c>
      <c r="AO112" s="101">
        <f t="shared" si="34"/>
        <v>6316363.4352295185</v>
      </c>
      <c r="AP112" s="101">
        <f t="shared" ref="AP112:BU112" si="35">AO112+INDEX($J$97:$DD$97,1,MATCH(AP110,$J$105:$DD$105,0))</f>
        <v>6745237.0613289438</v>
      </c>
      <c r="AQ112" s="101">
        <f t="shared" si="35"/>
        <v>6802389.8410507962</v>
      </c>
      <c r="AR112" s="101">
        <f t="shared" si="35"/>
        <v>6802659.6587898396</v>
      </c>
      <c r="AS112" s="101">
        <f t="shared" si="35"/>
        <v>7203788.1075572241</v>
      </c>
      <c r="AT112" s="101">
        <f t="shared" si="35"/>
        <v>7203788.1075572241</v>
      </c>
      <c r="AU112" s="101">
        <f t="shared" si="35"/>
        <v>7203788.1075572241</v>
      </c>
      <c r="AV112" s="101">
        <f t="shared" si="35"/>
        <v>7203788.1075572241</v>
      </c>
      <c r="AW112" s="101">
        <f t="shared" si="35"/>
        <v>7203788.1075572241</v>
      </c>
      <c r="AX112" s="101">
        <f t="shared" si="35"/>
        <v>7203788.1075572241</v>
      </c>
      <c r="AY112" s="101">
        <f t="shared" si="35"/>
        <v>7203788.1075572241</v>
      </c>
      <c r="AZ112" s="101">
        <f t="shared" si="35"/>
        <v>7203788.1075572241</v>
      </c>
      <c r="BA112" s="101">
        <f t="shared" si="35"/>
        <v>7203788.1075572241</v>
      </c>
      <c r="BB112" s="101">
        <f t="shared" si="35"/>
        <v>7203788.1075572241</v>
      </c>
      <c r="BC112" s="101">
        <f t="shared" si="35"/>
        <v>7203788.1075572241</v>
      </c>
      <c r="BD112" s="101">
        <f t="shared" si="35"/>
        <v>7203788.1075572241</v>
      </c>
      <c r="BE112" s="101">
        <f t="shared" si="35"/>
        <v>7203788.1075572241</v>
      </c>
      <c r="BF112" s="101">
        <f t="shared" si="35"/>
        <v>7203788.1075572241</v>
      </c>
      <c r="BG112" s="101">
        <f t="shared" si="35"/>
        <v>7203788.1075572241</v>
      </c>
      <c r="BH112" s="101">
        <f t="shared" si="35"/>
        <v>7203788.1075572241</v>
      </c>
      <c r="BI112" s="101">
        <f t="shared" si="35"/>
        <v>7203788.1075572241</v>
      </c>
      <c r="BJ112" s="101">
        <f t="shared" si="35"/>
        <v>7203788.1075572241</v>
      </c>
      <c r="BK112" s="101">
        <f t="shared" si="35"/>
        <v>7203788.1075572241</v>
      </c>
      <c r="BL112" s="101">
        <f t="shared" si="35"/>
        <v>7203788.1075572241</v>
      </c>
      <c r="BM112" s="101">
        <f t="shared" si="35"/>
        <v>7203788.1075572241</v>
      </c>
      <c r="BN112" s="101">
        <f t="shared" si="35"/>
        <v>7203788.1075572241</v>
      </c>
      <c r="BO112" s="101">
        <f t="shared" si="35"/>
        <v>7203788.1075572241</v>
      </c>
      <c r="BP112" s="101">
        <f t="shared" si="35"/>
        <v>7203788.1075572241</v>
      </c>
      <c r="BQ112" s="101">
        <f t="shared" si="35"/>
        <v>7203788.1075572241</v>
      </c>
      <c r="BR112" s="101">
        <f t="shared" si="35"/>
        <v>7203788.1075572241</v>
      </c>
      <c r="BS112" s="101">
        <f t="shared" si="35"/>
        <v>7203788.1075572241</v>
      </c>
      <c r="BT112" s="101">
        <f t="shared" si="35"/>
        <v>7203788.1075572241</v>
      </c>
      <c r="BU112" s="101">
        <f t="shared" si="35"/>
        <v>7203788.1075572241</v>
      </c>
      <c r="BV112" s="101">
        <f t="shared" ref="BV112:DD112" si="36">BU112+INDEX($J$97:$DD$97,1,MATCH(BV110,$J$105:$DD$105,0))</f>
        <v>7203788.1075572241</v>
      </c>
      <c r="BW112" s="101">
        <f t="shared" si="36"/>
        <v>7203788.1075572241</v>
      </c>
      <c r="BX112" s="101">
        <f t="shared" si="36"/>
        <v>7203788.1075572241</v>
      </c>
      <c r="BY112" s="101">
        <f t="shared" si="36"/>
        <v>7203788.1075572241</v>
      </c>
      <c r="BZ112" s="101">
        <f t="shared" si="36"/>
        <v>7203788.1075572241</v>
      </c>
      <c r="CA112" s="101">
        <f t="shared" si="36"/>
        <v>7203788.1075572241</v>
      </c>
      <c r="CB112" s="101">
        <f t="shared" si="36"/>
        <v>7203788.1075572241</v>
      </c>
      <c r="CC112" s="101">
        <f t="shared" si="36"/>
        <v>7203788.1075572241</v>
      </c>
      <c r="CD112" s="101">
        <f t="shared" si="36"/>
        <v>7203788.1075572241</v>
      </c>
      <c r="CE112" s="101">
        <f t="shared" si="36"/>
        <v>7203788.1075572241</v>
      </c>
      <c r="CF112" s="101">
        <f t="shared" si="36"/>
        <v>7203788.1075572241</v>
      </c>
      <c r="CG112" s="101">
        <f t="shared" si="36"/>
        <v>7203788.1075572241</v>
      </c>
      <c r="CH112" s="101">
        <f t="shared" si="36"/>
        <v>7203788.1075572241</v>
      </c>
      <c r="CI112" s="101">
        <f t="shared" si="36"/>
        <v>7203788.1075572241</v>
      </c>
      <c r="CJ112" s="101">
        <f t="shared" si="36"/>
        <v>7203788.1075572241</v>
      </c>
      <c r="CK112" s="101">
        <f t="shared" si="36"/>
        <v>7203788.1075572241</v>
      </c>
      <c r="CL112" s="101">
        <f t="shared" si="36"/>
        <v>7203788.1075572241</v>
      </c>
      <c r="CM112" s="101">
        <f t="shared" si="36"/>
        <v>7203788.1075572241</v>
      </c>
      <c r="CN112" s="101">
        <f t="shared" si="36"/>
        <v>7203788.1075572241</v>
      </c>
      <c r="CO112" s="101">
        <f t="shared" si="36"/>
        <v>7203788.1075572241</v>
      </c>
      <c r="CP112" s="101">
        <f t="shared" si="36"/>
        <v>7203788.1075572241</v>
      </c>
      <c r="CQ112" s="101">
        <f t="shared" si="36"/>
        <v>7203788.1075572241</v>
      </c>
      <c r="CR112" s="101">
        <f t="shared" si="36"/>
        <v>7203788.1075572241</v>
      </c>
      <c r="CS112" s="101">
        <f t="shared" si="36"/>
        <v>7203788.1075572241</v>
      </c>
      <c r="CT112" s="101">
        <f t="shared" si="36"/>
        <v>7203788.1075572241</v>
      </c>
      <c r="CU112" s="101">
        <f t="shared" si="36"/>
        <v>7203788.1075572241</v>
      </c>
      <c r="CV112" s="101">
        <f t="shared" si="36"/>
        <v>7203788.1075572241</v>
      </c>
      <c r="CW112" s="101">
        <f t="shared" si="36"/>
        <v>7203788.1075572241</v>
      </c>
      <c r="CX112" s="101">
        <f t="shared" si="36"/>
        <v>7203788.1075572241</v>
      </c>
      <c r="CY112" s="101">
        <f t="shared" si="36"/>
        <v>7203788.1075572241</v>
      </c>
      <c r="CZ112" s="101">
        <f t="shared" si="36"/>
        <v>7203788.1075572241</v>
      </c>
      <c r="DA112" s="101">
        <f t="shared" si="36"/>
        <v>7203788.1075572241</v>
      </c>
      <c r="DB112" s="101">
        <f t="shared" si="36"/>
        <v>7203788.1075572241</v>
      </c>
      <c r="DC112" s="101">
        <f t="shared" si="36"/>
        <v>7203788.1075572241</v>
      </c>
      <c r="DD112" s="101">
        <f t="shared" si="36"/>
        <v>7203788.1075572241</v>
      </c>
    </row>
    <row r="113" spans="2:111" outlineLevel="1" x14ac:dyDescent="0.25">
      <c r="C113" s="91"/>
      <c r="E113" t="s">
        <v>1011</v>
      </c>
      <c r="G113" t="s">
        <v>335</v>
      </c>
      <c r="H113" s="63"/>
      <c r="J113" s="101">
        <f>SUM($J$48:$AP$51,$AC$45:$AP$47)</f>
        <v>40604849.037911132</v>
      </c>
      <c r="K113" s="101">
        <f t="shared" ref="K113:BV113" si="37">SUM($J$48:$AP$51,$AC$45:$AP$47)</f>
        <v>40604849.037911132</v>
      </c>
      <c r="L113" s="101">
        <f t="shared" si="37"/>
        <v>40604849.037911132</v>
      </c>
      <c r="M113" s="101">
        <f t="shared" si="37"/>
        <v>40604849.037911132</v>
      </c>
      <c r="N113" s="101">
        <f t="shared" si="37"/>
        <v>40604849.037911132</v>
      </c>
      <c r="O113" s="101">
        <f t="shared" si="37"/>
        <v>40604849.037911132</v>
      </c>
      <c r="P113" s="101">
        <f t="shared" si="37"/>
        <v>40604849.037911132</v>
      </c>
      <c r="Q113" s="101">
        <f t="shared" si="37"/>
        <v>40604849.037911132</v>
      </c>
      <c r="R113" s="101">
        <f t="shared" si="37"/>
        <v>40604849.037911132</v>
      </c>
      <c r="S113" s="101">
        <f t="shared" si="37"/>
        <v>40604849.037911132</v>
      </c>
      <c r="T113" s="101">
        <f t="shared" si="37"/>
        <v>40604849.037911132</v>
      </c>
      <c r="U113" s="101">
        <f t="shared" si="37"/>
        <v>40604849.037911132</v>
      </c>
      <c r="V113" s="101">
        <f t="shared" si="37"/>
        <v>40604849.037911132</v>
      </c>
      <c r="W113" s="101">
        <f t="shared" si="37"/>
        <v>40604849.037911132</v>
      </c>
      <c r="X113" s="101">
        <f t="shared" si="37"/>
        <v>40604849.037911132</v>
      </c>
      <c r="Y113" s="101">
        <f t="shared" si="37"/>
        <v>40604849.037911132</v>
      </c>
      <c r="Z113" s="101">
        <f t="shared" si="37"/>
        <v>40604849.037911132</v>
      </c>
      <c r="AA113" s="101">
        <f t="shared" si="37"/>
        <v>40604849.037911132</v>
      </c>
      <c r="AB113" s="101">
        <f t="shared" si="37"/>
        <v>40604849.037911132</v>
      </c>
      <c r="AC113" s="101">
        <f t="shared" si="37"/>
        <v>40604849.037911132</v>
      </c>
      <c r="AD113" s="101">
        <f t="shared" si="37"/>
        <v>40604849.037911132</v>
      </c>
      <c r="AE113" s="101">
        <f t="shared" si="37"/>
        <v>40604849.037911132</v>
      </c>
      <c r="AF113" s="101">
        <f t="shared" si="37"/>
        <v>40604849.037911132</v>
      </c>
      <c r="AG113" s="101">
        <f t="shared" si="37"/>
        <v>40604849.037911132</v>
      </c>
      <c r="AH113" s="101">
        <f t="shared" si="37"/>
        <v>40604849.037911132</v>
      </c>
      <c r="AI113" s="101">
        <f t="shared" si="37"/>
        <v>40604849.037911132</v>
      </c>
      <c r="AJ113" s="101">
        <f t="shared" si="37"/>
        <v>40604849.037911132</v>
      </c>
      <c r="AK113" s="101">
        <f t="shared" si="37"/>
        <v>40604849.037911132</v>
      </c>
      <c r="AL113" s="101">
        <f t="shared" si="37"/>
        <v>40604849.037911132</v>
      </c>
      <c r="AM113" s="101">
        <f t="shared" si="37"/>
        <v>40604849.037911132</v>
      </c>
      <c r="AN113" s="101">
        <f t="shared" si="37"/>
        <v>40604849.037911132</v>
      </c>
      <c r="AO113" s="101">
        <f t="shared" si="37"/>
        <v>40604849.037911132</v>
      </c>
      <c r="AP113" s="101">
        <f t="shared" si="37"/>
        <v>40604849.037911132</v>
      </c>
      <c r="AQ113" s="101">
        <f t="shared" si="37"/>
        <v>40604849.037911132</v>
      </c>
      <c r="AR113" s="101">
        <f t="shared" si="37"/>
        <v>40604849.037911132</v>
      </c>
      <c r="AS113" s="101">
        <f t="shared" si="37"/>
        <v>40604849.037911132</v>
      </c>
      <c r="AT113" s="101">
        <f t="shared" si="37"/>
        <v>40604849.037911132</v>
      </c>
      <c r="AU113" s="101">
        <f t="shared" si="37"/>
        <v>40604849.037911132</v>
      </c>
      <c r="AV113" s="101">
        <f t="shared" si="37"/>
        <v>40604849.037911132</v>
      </c>
      <c r="AW113" s="101">
        <f t="shared" si="37"/>
        <v>40604849.037911132</v>
      </c>
      <c r="AX113" s="101">
        <f t="shared" si="37"/>
        <v>40604849.037911132</v>
      </c>
      <c r="AY113" s="101">
        <f t="shared" si="37"/>
        <v>40604849.037911132</v>
      </c>
      <c r="AZ113" s="101">
        <f t="shared" si="37"/>
        <v>40604849.037911132</v>
      </c>
      <c r="BA113" s="101">
        <f t="shared" si="37"/>
        <v>40604849.037911132</v>
      </c>
      <c r="BB113" s="101">
        <f t="shared" si="37"/>
        <v>40604849.037911132</v>
      </c>
      <c r="BC113" s="101">
        <f t="shared" si="37"/>
        <v>40604849.037911132</v>
      </c>
      <c r="BD113" s="101">
        <f t="shared" si="37"/>
        <v>40604849.037911132</v>
      </c>
      <c r="BE113" s="101">
        <f t="shared" si="37"/>
        <v>40604849.037911132</v>
      </c>
      <c r="BF113" s="101">
        <f t="shared" si="37"/>
        <v>40604849.037911132</v>
      </c>
      <c r="BG113" s="101">
        <f t="shared" si="37"/>
        <v>40604849.037911132</v>
      </c>
      <c r="BH113" s="101">
        <f t="shared" si="37"/>
        <v>40604849.037911132</v>
      </c>
      <c r="BI113" s="101">
        <f t="shared" si="37"/>
        <v>40604849.037911132</v>
      </c>
      <c r="BJ113" s="101">
        <f t="shared" si="37"/>
        <v>40604849.037911132</v>
      </c>
      <c r="BK113" s="101">
        <f t="shared" si="37"/>
        <v>40604849.037911132</v>
      </c>
      <c r="BL113" s="101">
        <f t="shared" si="37"/>
        <v>40604849.037911132</v>
      </c>
      <c r="BM113" s="101">
        <f t="shared" si="37"/>
        <v>40604849.037911132</v>
      </c>
      <c r="BN113" s="101">
        <f t="shared" si="37"/>
        <v>40604849.037911132</v>
      </c>
      <c r="BO113" s="101">
        <f t="shared" si="37"/>
        <v>40604849.037911132</v>
      </c>
      <c r="BP113" s="101">
        <f t="shared" si="37"/>
        <v>40604849.037911132</v>
      </c>
      <c r="BQ113" s="101">
        <f t="shared" si="37"/>
        <v>40604849.037911132</v>
      </c>
      <c r="BR113" s="101">
        <f t="shared" si="37"/>
        <v>40604849.037911132</v>
      </c>
      <c r="BS113" s="101">
        <f t="shared" si="37"/>
        <v>40604849.037911132</v>
      </c>
      <c r="BT113" s="101">
        <f t="shared" si="37"/>
        <v>40604849.037911132</v>
      </c>
      <c r="BU113" s="101">
        <f t="shared" si="37"/>
        <v>40604849.037911132</v>
      </c>
      <c r="BV113" s="101">
        <f t="shared" si="37"/>
        <v>40604849.037911132</v>
      </c>
      <c r="BW113" s="101">
        <f t="shared" ref="BW113:DD113" si="38">SUM($J$48:$AP$51,$AC$45:$AP$47)</f>
        <v>40604849.037911132</v>
      </c>
      <c r="BX113" s="101">
        <f t="shared" si="38"/>
        <v>40604849.037911132</v>
      </c>
      <c r="BY113" s="101">
        <f t="shared" si="38"/>
        <v>40604849.037911132</v>
      </c>
      <c r="BZ113" s="101">
        <f t="shared" si="38"/>
        <v>40604849.037911132</v>
      </c>
      <c r="CA113" s="101">
        <f t="shared" si="38"/>
        <v>40604849.037911132</v>
      </c>
      <c r="CB113" s="101">
        <f t="shared" si="38"/>
        <v>40604849.037911132</v>
      </c>
      <c r="CC113" s="101">
        <f t="shared" si="38"/>
        <v>40604849.037911132</v>
      </c>
      <c r="CD113" s="101">
        <f t="shared" si="38"/>
        <v>40604849.037911132</v>
      </c>
      <c r="CE113" s="101">
        <f t="shared" si="38"/>
        <v>40604849.037911132</v>
      </c>
      <c r="CF113" s="101">
        <f t="shared" si="38"/>
        <v>40604849.037911132</v>
      </c>
      <c r="CG113" s="101">
        <f t="shared" si="38"/>
        <v>40604849.037911132</v>
      </c>
      <c r="CH113" s="101">
        <f t="shared" si="38"/>
        <v>40604849.037911132</v>
      </c>
      <c r="CI113" s="101">
        <f t="shared" si="38"/>
        <v>40604849.037911132</v>
      </c>
      <c r="CJ113" s="101">
        <f t="shared" si="38"/>
        <v>40604849.037911132</v>
      </c>
      <c r="CK113" s="101">
        <f t="shared" si="38"/>
        <v>40604849.037911132</v>
      </c>
      <c r="CL113" s="101">
        <f t="shared" si="38"/>
        <v>40604849.037911132</v>
      </c>
      <c r="CM113" s="101">
        <f t="shared" si="38"/>
        <v>40604849.037911132</v>
      </c>
      <c r="CN113" s="101">
        <f t="shared" si="38"/>
        <v>40604849.037911132</v>
      </c>
      <c r="CO113" s="101">
        <f t="shared" si="38"/>
        <v>40604849.037911132</v>
      </c>
      <c r="CP113" s="101">
        <f t="shared" si="38"/>
        <v>40604849.037911132</v>
      </c>
      <c r="CQ113" s="101">
        <f t="shared" si="38"/>
        <v>40604849.037911132</v>
      </c>
      <c r="CR113" s="101">
        <f t="shared" si="38"/>
        <v>40604849.037911132</v>
      </c>
      <c r="CS113" s="101">
        <f t="shared" si="38"/>
        <v>40604849.037911132</v>
      </c>
      <c r="CT113" s="101">
        <f t="shared" si="38"/>
        <v>40604849.037911132</v>
      </c>
      <c r="CU113" s="101">
        <f t="shared" si="38"/>
        <v>40604849.037911132</v>
      </c>
      <c r="CV113" s="101">
        <f t="shared" si="38"/>
        <v>40604849.037911132</v>
      </c>
      <c r="CW113" s="101">
        <f t="shared" si="38"/>
        <v>40604849.037911132</v>
      </c>
      <c r="CX113" s="101">
        <f t="shared" si="38"/>
        <v>40604849.037911132</v>
      </c>
      <c r="CY113" s="101">
        <f t="shared" si="38"/>
        <v>40604849.037911132</v>
      </c>
      <c r="CZ113" s="101">
        <f t="shared" si="38"/>
        <v>40604849.037911132</v>
      </c>
      <c r="DA113" s="101">
        <f t="shared" si="38"/>
        <v>40604849.037911132</v>
      </c>
      <c r="DB113" s="101">
        <f t="shared" si="38"/>
        <v>40604849.037911132</v>
      </c>
      <c r="DC113" s="101">
        <f t="shared" si="38"/>
        <v>40604849.037911132</v>
      </c>
      <c r="DD113" s="101">
        <f t="shared" si="38"/>
        <v>40604849.037911132</v>
      </c>
    </row>
    <row r="114" spans="2:111" outlineLevel="1" x14ac:dyDescent="0.25">
      <c r="C114" s="91"/>
      <c r="E114" t="s">
        <v>1012</v>
      </c>
      <c r="G114" t="s">
        <v>335</v>
      </c>
      <c r="H114" s="63"/>
      <c r="J114" s="79"/>
      <c r="K114" s="101">
        <f t="shared" ref="K114:AP114" si="39">J114+J112*(K111-J111)*ten</f>
        <v>382854.60577058961</v>
      </c>
      <c r="L114" s="101">
        <f t="shared" si="39"/>
        <v>490195.17189082754</v>
      </c>
      <c r="M114" s="101">
        <f t="shared" si="39"/>
        <v>799812.37320436328</v>
      </c>
      <c r="N114" s="101">
        <f t="shared" si="39"/>
        <v>5473064.2962635159</v>
      </c>
      <c r="O114" s="101">
        <f t="shared" si="39"/>
        <v>5855042.756257561</v>
      </c>
      <c r="P114" s="101">
        <f t="shared" si="39"/>
        <v>7144848.3184027812</v>
      </c>
      <c r="Q114" s="101">
        <f t="shared" si="39"/>
        <v>7322479.3553282674</v>
      </c>
      <c r="R114" s="101">
        <f t="shared" si="39"/>
        <v>7328568.7405140661</v>
      </c>
      <c r="S114" s="101">
        <f t="shared" si="39"/>
        <v>7411742.4137868481</v>
      </c>
      <c r="T114" s="101">
        <f t="shared" si="39"/>
        <v>8980222.3768668454</v>
      </c>
      <c r="U114" s="101">
        <f t="shared" si="39"/>
        <v>9194562.7442087159</v>
      </c>
      <c r="V114" s="101">
        <f t="shared" si="39"/>
        <v>9714837.9059667606</v>
      </c>
      <c r="W114" s="101">
        <f t="shared" si="39"/>
        <v>10004790.625523586</v>
      </c>
      <c r="X114" s="101">
        <f t="shared" si="39"/>
        <v>11232054.075677186</v>
      </c>
      <c r="Y114" s="101">
        <f t="shared" si="39"/>
        <v>12183142.389798429</v>
      </c>
      <c r="Z114" s="101">
        <f t="shared" si="39"/>
        <v>14900094.185453933</v>
      </c>
      <c r="AA114" s="101">
        <f t="shared" si="39"/>
        <v>37001681.333106048</v>
      </c>
      <c r="AB114" s="101">
        <f t="shared" si="39"/>
        <v>37757743.094628789</v>
      </c>
      <c r="AC114" s="101">
        <f t="shared" si="39"/>
        <v>42379475.002875984</v>
      </c>
      <c r="AD114" s="101">
        <f t="shared" si="39"/>
        <v>58164330.873240292</v>
      </c>
      <c r="AE114" s="101">
        <f t="shared" si="39"/>
        <v>66241827.723929681</v>
      </c>
      <c r="AF114" s="101">
        <f t="shared" si="39"/>
        <v>67090730.23442848</v>
      </c>
      <c r="AG114" s="101">
        <f t="shared" si="39"/>
        <v>71027943.399936065</v>
      </c>
      <c r="AH114" s="101">
        <f t="shared" si="39"/>
        <v>71511080.958026841</v>
      </c>
      <c r="AI114" s="101">
        <f t="shared" si="39"/>
        <v>73356231.369101703</v>
      </c>
      <c r="AJ114" s="101">
        <f t="shared" si="39"/>
        <v>74037511.226602077</v>
      </c>
      <c r="AK114" s="101">
        <f t="shared" si="39"/>
        <v>75809280.779646471</v>
      </c>
      <c r="AL114" s="101">
        <f t="shared" si="39"/>
        <v>77540062.397670448</v>
      </c>
      <c r="AM114" s="101">
        <f t="shared" si="39"/>
        <v>81850745.292778358</v>
      </c>
      <c r="AN114" s="101">
        <f t="shared" si="39"/>
        <v>86561325.50877966</v>
      </c>
      <c r="AO114" s="101">
        <f t="shared" si="39"/>
        <v>87912533.018602848</v>
      </c>
      <c r="AP114" s="101">
        <f t="shared" si="39"/>
        <v>95466114.906015128</v>
      </c>
      <c r="AQ114" s="101">
        <f t="shared" ref="AQ114:BV114" si="40">AP114+AP112*(AQ111-AP111)*ten</f>
        <v>101581943.19404504</v>
      </c>
      <c r="AR114" s="101">
        <f t="shared" si="40"/>
        <v>103710564.87721485</v>
      </c>
      <c r="AS114" s="101">
        <f t="shared" si="40"/>
        <v>108799494.68288682</v>
      </c>
      <c r="AT114" s="101">
        <f t="shared" si="40"/>
        <v>121065705.60958102</v>
      </c>
      <c r="AU114" s="101">
        <f t="shared" si="40"/>
        <v>121065705.60958102</v>
      </c>
      <c r="AV114" s="101">
        <f t="shared" si="40"/>
        <v>121065705.60958102</v>
      </c>
      <c r="AW114" s="101">
        <f t="shared" si="40"/>
        <v>121065705.60958102</v>
      </c>
      <c r="AX114" s="101">
        <f t="shared" si="40"/>
        <v>121065705.60958102</v>
      </c>
      <c r="AY114" s="101">
        <f t="shared" si="40"/>
        <v>121065705.60958102</v>
      </c>
      <c r="AZ114" s="101">
        <f t="shared" si="40"/>
        <v>121065705.60958102</v>
      </c>
      <c r="BA114" s="101">
        <f t="shared" si="40"/>
        <v>121065705.60958102</v>
      </c>
      <c r="BB114" s="101">
        <f t="shared" si="40"/>
        <v>121065705.60958102</v>
      </c>
      <c r="BC114" s="101">
        <f t="shared" si="40"/>
        <v>121065705.60958102</v>
      </c>
      <c r="BD114" s="101">
        <f t="shared" si="40"/>
        <v>121065705.60958102</v>
      </c>
      <c r="BE114" s="101">
        <f t="shared" si="40"/>
        <v>121065705.60958102</v>
      </c>
      <c r="BF114" s="101">
        <f t="shared" si="40"/>
        <v>121065705.60958102</v>
      </c>
      <c r="BG114" s="101">
        <f t="shared" si="40"/>
        <v>121065705.60958102</v>
      </c>
      <c r="BH114" s="101">
        <f t="shared" si="40"/>
        <v>121065705.60958102</v>
      </c>
      <c r="BI114" s="101">
        <f t="shared" si="40"/>
        <v>121065705.60958102</v>
      </c>
      <c r="BJ114" s="101">
        <f t="shared" si="40"/>
        <v>121065705.60958102</v>
      </c>
      <c r="BK114" s="101">
        <f t="shared" si="40"/>
        <v>121065705.60958102</v>
      </c>
      <c r="BL114" s="101">
        <f t="shared" si="40"/>
        <v>121065705.60958102</v>
      </c>
      <c r="BM114" s="101">
        <f t="shared" si="40"/>
        <v>121065705.60958102</v>
      </c>
      <c r="BN114" s="101">
        <f t="shared" si="40"/>
        <v>121065705.60958102</v>
      </c>
      <c r="BO114" s="101">
        <f t="shared" si="40"/>
        <v>121065705.60958102</v>
      </c>
      <c r="BP114" s="101">
        <f t="shared" si="40"/>
        <v>121065705.60958102</v>
      </c>
      <c r="BQ114" s="101">
        <f t="shared" si="40"/>
        <v>121065705.60958102</v>
      </c>
      <c r="BR114" s="101">
        <f t="shared" si="40"/>
        <v>121065705.60958102</v>
      </c>
      <c r="BS114" s="101">
        <f t="shared" si="40"/>
        <v>121065705.60958102</v>
      </c>
      <c r="BT114" s="101">
        <f t="shared" si="40"/>
        <v>121065705.60958102</v>
      </c>
      <c r="BU114" s="101">
        <f t="shared" si="40"/>
        <v>121065705.60958102</v>
      </c>
      <c r="BV114" s="101">
        <f t="shared" si="40"/>
        <v>121065705.60958102</v>
      </c>
      <c r="BW114" s="101">
        <f t="shared" ref="BW114:DD114" si="41">BV114+BV112*(BW111-BV111)*ten</f>
        <v>121065705.60958102</v>
      </c>
      <c r="BX114" s="101">
        <f t="shared" si="41"/>
        <v>121065705.60958102</v>
      </c>
      <c r="BY114" s="101">
        <f t="shared" si="41"/>
        <v>121065705.60958102</v>
      </c>
      <c r="BZ114" s="101">
        <f t="shared" si="41"/>
        <v>121065705.60958102</v>
      </c>
      <c r="CA114" s="101">
        <f t="shared" si="41"/>
        <v>121065705.60958102</v>
      </c>
      <c r="CB114" s="101">
        <f t="shared" si="41"/>
        <v>121065705.60958102</v>
      </c>
      <c r="CC114" s="101">
        <f t="shared" si="41"/>
        <v>121065705.60958102</v>
      </c>
      <c r="CD114" s="101">
        <f t="shared" si="41"/>
        <v>121065705.60958102</v>
      </c>
      <c r="CE114" s="101">
        <f t="shared" si="41"/>
        <v>137544251.26646248</v>
      </c>
      <c r="CF114" s="101">
        <f t="shared" si="41"/>
        <v>137544251.26646248</v>
      </c>
      <c r="CG114" s="101">
        <f t="shared" si="41"/>
        <v>152559117.04775056</v>
      </c>
      <c r="CH114" s="101">
        <f t="shared" si="41"/>
        <v>152559117.04775056</v>
      </c>
      <c r="CI114" s="101">
        <f t="shared" si="41"/>
        <v>156232428.71371001</v>
      </c>
      <c r="CJ114" s="101">
        <f t="shared" si="41"/>
        <v>156232428.71371001</v>
      </c>
      <c r="CK114" s="101">
        <f t="shared" si="41"/>
        <v>156423689.10147977</v>
      </c>
      <c r="CL114" s="101">
        <f t="shared" si="41"/>
        <v>156423689.10147977</v>
      </c>
      <c r="CM114" s="101">
        <f t="shared" si="41"/>
        <v>165475007.79474801</v>
      </c>
      <c r="CN114" s="101">
        <f t="shared" si="41"/>
        <v>165475007.79474801</v>
      </c>
      <c r="CO114" s="101">
        <f t="shared" si="41"/>
        <v>188354489.86087352</v>
      </c>
      <c r="CP114" s="101">
        <f t="shared" si="41"/>
        <v>188354489.86087352</v>
      </c>
      <c r="CQ114" s="101">
        <f t="shared" si="41"/>
        <v>196174792.84877166</v>
      </c>
      <c r="CR114" s="101">
        <f t="shared" si="41"/>
        <v>196174792.84877166</v>
      </c>
      <c r="CS114" s="101">
        <f t="shared" si="41"/>
        <v>204076080.30650994</v>
      </c>
      <c r="CT114" s="101">
        <f t="shared" si="41"/>
        <v>204076080.30650994</v>
      </c>
      <c r="CU114" s="101">
        <f t="shared" si="41"/>
        <v>204076080.30650994</v>
      </c>
      <c r="CV114" s="101">
        <f t="shared" si="41"/>
        <v>213575519.84588602</v>
      </c>
      <c r="CW114" s="101">
        <f t="shared" si="41"/>
        <v>213575519.84588602</v>
      </c>
      <c r="CX114" s="101">
        <f t="shared" si="41"/>
        <v>213575519.84588602</v>
      </c>
      <c r="CY114" s="101">
        <f t="shared" si="41"/>
        <v>360740763.25204659</v>
      </c>
      <c r="CZ114" s="101">
        <f t="shared" si="41"/>
        <v>360740763.25204659</v>
      </c>
      <c r="DA114" s="101">
        <f t="shared" si="41"/>
        <v>559632338.784325</v>
      </c>
      <c r="DB114" s="101">
        <f t="shared" si="41"/>
        <v>559632338.784325</v>
      </c>
      <c r="DC114" s="101">
        <f t="shared" si="41"/>
        <v>608874707.03520274</v>
      </c>
      <c r="DD114" s="101">
        <f t="shared" si="41"/>
        <v>608874707.03520274</v>
      </c>
    </row>
    <row r="115" spans="2:111" outlineLevel="1" x14ac:dyDescent="0.25">
      <c r="C115" s="91"/>
      <c r="E115" t="s">
        <v>1013</v>
      </c>
      <c r="G115" t="s">
        <v>335</v>
      </c>
      <c r="H115" s="63"/>
      <c r="J115" s="101">
        <f>SUM(J113:J114)</f>
        <v>40604849.037911132</v>
      </c>
      <c r="K115" s="101">
        <f t="shared" ref="K115:BV115" si="42">SUM(K113:K114)</f>
        <v>40987703.64368172</v>
      </c>
      <c r="L115" s="101">
        <f t="shared" si="42"/>
        <v>41095044.209801957</v>
      </c>
      <c r="M115" s="101">
        <f t="shared" si="42"/>
        <v>41404661.411115497</v>
      </c>
      <c r="N115" s="101">
        <f t="shared" si="42"/>
        <v>46077913.334174648</v>
      </c>
      <c r="O115" s="101">
        <f t="shared" si="42"/>
        <v>46459891.794168696</v>
      </c>
      <c r="P115" s="101">
        <f t="shared" si="42"/>
        <v>47749697.356313914</v>
      </c>
      <c r="Q115" s="101">
        <f t="shared" si="42"/>
        <v>47927328.393239401</v>
      </c>
      <c r="R115" s="101">
        <f t="shared" si="42"/>
        <v>47933417.778425202</v>
      </c>
      <c r="S115" s="101">
        <f t="shared" si="42"/>
        <v>48016591.451697983</v>
      </c>
      <c r="T115" s="101">
        <f t="shared" si="42"/>
        <v>49585071.414777979</v>
      </c>
      <c r="U115" s="101">
        <f t="shared" si="42"/>
        <v>49799411.782119848</v>
      </c>
      <c r="V115" s="101">
        <f t="shared" si="42"/>
        <v>50319686.943877891</v>
      </c>
      <c r="W115" s="101">
        <f t="shared" si="42"/>
        <v>50609639.663434714</v>
      </c>
      <c r="X115" s="101">
        <f t="shared" si="42"/>
        <v>51836903.113588318</v>
      </c>
      <c r="Y115" s="101">
        <f t="shared" si="42"/>
        <v>52787991.427709565</v>
      </c>
      <c r="Z115" s="101">
        <f t="shared" si="42"/>
        <v>55504943.223365068</v>
      </c>
      <c r="AA115" s="101">
        <f t="shared" si="42"/>
        <v>77606530.371017188</v>
      </c>
      <c r="AB115" s="101">
        <f t="shared" si="42"/>
        <v>78362592.132539928</v>
      </c>
      <c r="AC115" s="101">
        <f t="shared" si="42"/>
        <v>82984324.040787116</v>
      </c>
      <c r="AD115" s="101">
        <f t="shared" si="42"/>
        <v>98769179.911151424</v>
      </c>
      <c r="AE115" s="101">
        <f t="shared" si="42"/>
        <v>106846676.76184082</v>
      </c>
      <c r="AF115" s="101">
        <f t="shared" si="42"/>
        <v>107695579.27233961</v>
      </c>
      <c r="AG115" s="101">
        <f t="shared" si="42"/>
        <v>111632792.4378472</v>
      </c>
      <c r="AH115" s="101">
        <f t="shared" si="42"/>
        <v>112115929.99593797</v>
      </c>
      <c r="AI115" s="101">
        <f t="shared" si="42"/>
        <v>113961080.40701284</v>
      </c>
      <c r="AJ115" s="101">
        <f t="shared" si="42"/>
        <v>114642360.26451321</v>
      </c>
      <c r="AK115" s="101">
        <f t="shared" si="42"/>
        <v>116414129.8175576</v>
      </c>
      <c r="AL115" s="101">
        <f t="shared" si="42"/>
        <v>118144911.43558158</v>
      </c>
      <c r="AM115" s="101">
        <f t="shared" si="42"/>
        <v>122455594.33068949</v>
      </c>
      <c r="AN115" s="101">
        <f t="shared" si="42"/>
        <v>127166174.54669079</v>
      </c>
      <c r="AO115" s="101">
        <f t="shared" si="42"/>
        <v>128517382.05651398</v>
      </c>
      <c r="AP115" s="101">
        <f t="shared" si="42"/>
        <v>136070963.94392627</v>
      </c>
      <c r="AQ115" s="101">
        <f t="shared" si="42"/>
        <v>142186792.23195618</v>
      </c>
      <c r="AR115" s="101">
        <f t="shared" si="42"/>
        <v>144315413.91512597</v>
      </c>
      <c r="AS115" s="101">
        <f t="shared" si="42"/>
        <v>149404343.72079796</v>
      </c>
      <c r="AT115" s="101">
        <f t="shared" si="42"/>
        <v>161670554.64749217</v>
      </c>
      <c r="AU115" s="101">
        <f t="shared" si="42"/>
        <v>161670554.64749217</v>
      </c>
      <c r="AV115" s="101">
        <f t="shared" si="42"/>
        <v>161670554.64749217</v>
      </c>
      <c r="AW115" s="101">
        <f t="shared" si="42"/>
        <v>161670554.64749217</v>
      </c>
      <c r="AX115" s="101">
        <f t="shared" si="42"/>
        <v>161670554.64749217</v>
      </c>
      <c r="AY115" s="101">
        <f t="shared" si="42"/>
        <v>161670554.64749217</v>
      </c>
      <c r="AZ115" s="101">
        <f t="shared" si="42"/>
        <v>161670554.64749217</v>
      </c>
      <c r="BA115" s="101">
        <f t="shared" si="42"/>
        <v>161670554.64749217</v>
      </c>
      <c r="BB115" s="101">
        <f t="shared" si="42"/>
        <v>161670554.64749217</v>
      </c>
      <c r="BC115" s="101">
        <f t="shared" si="42"/>
        <v>161670554.64749217</v>
      </c>
      <c r="BD115" s="101">
        <f t="shared" si="42"/>
        <v>161670554.64749217</v>
      </c>
      <c r="BE115" s="101">
        <f t="shared" si="42"/>
        <v>161670554.64749217</v>
      </c>
      <c r="BF115" s="101">
        <f t="shared" si="42"/>
        <v>161670554.64749217</v>
      </c>
      <c r="BG115" s="101">
        <f t="shared" si="42"/>
        <v>161670554.64749217</v>
      </c>
      <c r="BH115" s="101">
        <f t="shared" si="42"/>
        <v>161670554.64749217</v>
      </c>
      <c r="BI115" s="101">
        <f t="shared" si="42"/>
        <v>161670554.64749217</v>
      </c>
      <c r="BJ115" s="101">
        <f t="shared" si="42"/>
        <v>161670554.64749217</v>
      </c>
      <c r="BK115" s="101">
        <f t="shared" si="42"/>
        <v>161670554.64749217</v>
      </c>
      <c r="BL115" s="101">
        <f t="shared" si="42"/>
        <v>161670554.64749217</v>
      </c>
      <c r="BM115" s="101">
        <f t="shared" si="42"/>
        <v>161670554.64749217</v>
      </c>
      <c r="BN115" s="101">
        <f t="shared" si="42"/>
        <v>161670554.64749217</v>
      </c>
      <c r="BO115" s="101">
        <f t="shared" si="42"/>
        <v>161670554.64749217</v>
      </c>
      <c r="BP115" s="101">
        <f t="shared" si="42"/>
        <v>161670554.64749217</v>
      </c>
      <c r="BQ115" s="101">
        <f t="shared" si="42"/>
        <v>161670554.64749217</v>
      </c>
      <c r="BR115" s="101">
        <f t="shared" si="42"/>
        <v>161670554.64749217</v>
      </c>
      <c r="BS115" s="101">
        <f t="shared" si="42"/>
        <v>161670554.64749217</v>
      </c>
      <c r="BT115" s="101">
        <f t="shared" si="42"/>
        <v>161670554.64749217</v>
      </c>
      <c r="BU115" s="101">
        <f t="shared" si="42"/>
        <v>161670554.64749217</v>
      </c>
      <c r="BV115" s="101">
        <f t="shared" si="42"/>
        <v>161670554.64749217</v>
      </c>
      <c r="BW115" s="101">
        <f t="shared" ref="BW115:DD115" si="43">SUM(BW113:BW114)</f>
        <v>161670554.64749217</v>
      </c>
      <c r="BX115" s="101">
        <f t="shared" si="43"/>
        <v>161670554.64749217</v>
      </c>
      <c r="BY115" s="101">
        <f t="shared" si="43"/>
        <v>161670554.64749217</v>
      </c>
      <c r="BZ115" s="101">
        <f t="shared" si="43"/>
        <v>161670554.64749217</v>
      </c>
      <c r="CA115" s="101">
        <f t="shared" si="43"/>
        <v>161670554.64749217</v>
      </c>
      <c r="CB115" s="101">
        <f t="shared" si="43"/>
        <v>161670554.64749217</v>
      </c>
      <c r="CC115" s="101">
        <f t="shared" si="43"/>
        <v>161670554.64749217</v>
      </c>
      <c r="CD115" s="101">
        <f t="shared" si="43"/>
        <v>161670554.64749217</v>
      </c>
      <c r="CE115" s="101">
        <f t="shared" si="43"/>
        <v>178149100.30437362</v>
      </c>
      <c r="CF115" s="101">
        <f t="shared" si="43"/>
        <v>178149100.30437362</v>
      </c>
      <c r="CG115" s="101">
        <f t="shared" si="43"/>
        <v>193163966.08566171</v>
      </c>
      <c r="CH115" s="101">
        <f t="shared" si="43"/>
        <v>193163966.08566171</v>
      </c>
      <c r="CI115" s="101">
        <f t="shared" si="43"/>
        <v>196837277.75162113</v>
      </c>
      <c r="CJ115" s="101">
        <f t="shared" si="43"/>
        <v>196837277.75162113</v>
      </c>
      <c r="CK115" s="101">
        <f t="shared" si="43"/>
        <v>197028538.13939089</v>
      </c>
      <c r="CL115" s="101">
        <f t="shared" si="43"/>
        <v>197028538.13939089</v>
      </c>
      <c r="CM115" s="101">
        <f t="shared" si="43"/>
        <v>206079856.83265913</v>
      </c>
      <c r="CN115" s="101">
        <f t="shared" si="43"/>
        <v>206079856.83265913</v>
      </c>
      <c r="CO115" s="101">
        <f t="shared" si="43"/>
        <v>228959338.89878464</v>
      </c>
      <c r="CP115" s="101">
        <f t="shared" si="43"/>
        <v>228959338.89878464</v>
      </c>
      <c r="CQ115" s="101">
        <f t="shared" si="43"/>
        <v>236779641.88668281</v>
      </c>
      <c r="CR115" s="101">
        <f t="shared" si="43"/>
        <v>236779641.88668281</v>
      </c>
      <c r="CS115" s="101">
        <f t="shared" si="43"/>
        <v>244680929.34442109</v>
      </c>
      <c r="CT115" s="101">
        <f t="shared" si="43"/>
        <v>244680929.34442109</v>
      </c>
      <c r="CU115" s="101">
        <f t="shared" si="43"/>
        <v>244680929.34442109</v>
      </c>
      <c r="CV115" s="101">
        <f t="shared" si="43"/>
        <v>254180368.88379717</v>
      </c>
      <c r="CW115" s="101">
        <f t="shared" si="43"/>
        <v>254180368.88379717</v>
      </c>
      <c r="CX115" s="101">
        <f t="shared" si="43"/>
        <v>254180368.88379717</v>
      </c>
      <c r="CY115" s="101">
        <f t="shared" si="43"/>
        <v>401345612.2899577</v>
      </c>
      <c r="CZ115" s="101">
        <f t="shared" si="43"/>
        <v>401345612.2899577</v>
      </c>
      <c r="DA115" s="101">
        <f t="shared" si="43"/>
        <v>600237187.82223618</v>
      </c>
      <c r="DB115" s="101">
        <f t="shared" si="43"/>
        <v>600237187.82223618</v>
      </c>
      <c r="DC115" s="101">
        <f t="shared" si="43"/>
        <v>649479556.07311392</v>
      </c>
      <c r="DD115" s="101">
        <f t="shared" si="43"/>
        <v>649479556.07311392</v>
      </c>
    </row>
    <row r="116" spans="2:111" outlineLevel="1" x14ac:dyDescent="0.25">
      <c r="C116" s="91"/>
      <c r="E116" t="s">
        <v>863</v>
      </c>
      <c r="G116" t="s">
        <v>335</v>
      </c>
      <c r="H116" s="63"/>
      <c r="J116" s="101">
        <f t="shared" ref="J116:AO116" si="44">$H$37</f>
        <v>268421124.97878766</v>
      </c>
      <c r="K116" s="101">
        <f t="shared" si="44"/>
        <v>268421124.97878766</v>
      </c>
      <c r="L116" s="101">
        <f t="shared" si="44"/>
        <v>268421124.97878766</v>
      </c>
      <c r="M116" s="101">
        <f t="shared" si="44"/>
        <v>268421124.97878766</v>
      </c>
      <c r="N116" s="101">
        <f t="shared" si="44"/>
        <v>268421124.97878766</v>
      </c>
      <c r="O116" s="101">
        <f t="shared" si="44"/>
        <v>268421124.97878766</v>
      </c>
      <c r="P116" s="101">
        <f t="shared" si="44"/>
        <v>268421124.97878766</v>
      </c>
      <c r="Q116" s="101">
        <f t="shared" si="44"/>
        <v>268421124.97878766</v>
      </c>
      <c r="R116" s="101">
        <f t="shared" si="44"/>
        <v>268421124.97878766</v>
      </c>
      <c r="S116" s="101">
        <f t="shared" si="44"/>
        <v>268421124.97878766</v>
      </c>
      <c r="T116" s="101">
        <f t="shared" si="44"/>
        <v>268421124.97878766</v>
      </c>
      <c r="U116" s="101">
        <f t="shared" si="44"/>
        <v>268421124.97878766</v>
      </c>
      <c r="V116" s="101">
        <f t="shared" si="44"/>
        <v>268421124.97878766</v>
      </c>
      <c r="W116" s="101">
        <f t="shared" si="44"/>
        <v>268421124.97878766</v>
      </c>
      <c r="X116" s="101">
        <f t="shared" si="44"/>
        <v>268421124.97878766</v>
      </c>
      <c r="Y116" s="101">
        <f t="shared" si="44"/>
        <v>268421124.97878766</v>
      </c>
      <c r="Z116" s="101">
        <f t="shared" si="44"/>
        <v>268421124.97878766</v>
      </c>
      <c r="AA116" s="101">
        <f t="shared" si="44"/>
        <v>268421124.97878766</v>
      </c>
      <c r="AB116" s="101">
        <f t="shared" si="44"/>
        <v>268421124.97878766</v>
      </c>
      <c r="AC116" s="101">
        <f t="shared" si="44"/>
        <v>268421124.97878766</v>
      </c>
      <c r="AD116" s="101">
        <f t="shared" si="44"/>
        <v>268421124.97878766</v>
      </c>
      <c r="AE116" s="101">
        <f t="shared" si="44"/>
        <v>268421124.97878766</v>
      </c>
      <c r="AF116" s="101">
        <f t="shared" si="44"/>
        <v>268421124.97878766</v>
      </c>
      <c r="AG116" s="101">
        <f t="shared" si="44"/>
        <v>268421124.97878766</v>
      </c>
      <c r="AH116" s="101">
        <f t="shared" si="44"/>
        <v>268421124.97878766</v>
      </c>
      <c r="AI116" s="101">
        <f t="shared" si="44"/>
        <v>268421124.97878766</v>
      </c>
      <c r="AJ116" s="101">
        <f t="shared" si="44"/>
        <v>268421124.97878766</v>
      </c>
      <c r="AK116" s="101">
        <f t="shared" si="44"/>
        <v>268421124.97878766</v>
      </c>
      <c r="AL116" s="101">
        <f t="shared" si="44"/>
        <v>268421124.97878766</v>
      </c>
      <c r="AM116" s="101">
        <f t="shared" si="44"/>
        <v>268421124.97878766</v>
      </c>
      <c r="AN116" s="101">
        <f t="shared" si="44"/>
        <v>268421124.97878766</v>
      </c>
      <c r="AO116" s="101">
        <f t="shared" si="44"/>
        <v>268421124.97878766</v>
      </c>
      <c r="AP116" s="101">
        <f t="shared" ref="AP116:BU116" si="45">$H$37</f>
        <v>268421124.97878766</v>
      </c>
      <c r="AQ116" s="101">
        <f t="shared" si="45"/>
        <v>268421124.97878766</v>
      </c>
      <c r="AR116" s="101">
        <f t="shared" si="45"/>
        <v>268421124.97878766</v>
      </c>
      <c r="AS116" s="101">
        <f t="shared" si="45"/>
        <v>268421124.97878766</v>
      </c>
      <c r="AT116" s="101">
        <f t="shared" si="45"/>
        <v>268421124.97878766</v>
      </c>
      <c r="AU116" s="101">
        <f t="shared" si="45"/>
        <v>268421124.97878766</v>
      </c>
      <c r="AV116" s="101">
        <f t="shared" si="45"/>
        <v>268421124.97878766</v>
      </c>
      <c r="AW116" s="101">
        <f t="shared" si="45"/>
        <v>268421124.97878766</v>
      </c>
      <c r="AX116" s="101">
        <f t="shared" si="45"/>
        <v>268421124.97878766</v>
      </c>
      <c r="AY116" s="101">
        <f t="shared" si="45"/>
        <v>268421124.97878766</v>
      </c>
      <c r="AZ116" s="101">
        <f t="shared" si="45"/>
        <v>268421124.97878766</v>
      </c>
      <c r="BA116" s="101">
        <f t="shared" si="45"/>
        <v>268421124.97878766</v>
      </c>
      <c r="BB116" s="101">
        <f t="shared" si="45"/>
        <v>268421124.97878766</v>
      </c>
      <c r="BC116" s="101">
        <f t="shared" si="45"/>
        <v>268421124.97878766</v>
      </c>
      <c r="BD116" s="101">
        <f t="shared" si="45"/>
        <v>268421124.97878766</v>
      </c>
      <c r="BE116" s="101">
        <f t="shared" si="45"/>
        <v>268421124.97878766</v>
      </c>
      <c r="BF116" s="101">
        <f t="shared" si="45"/>
        <v>268421124.97878766</v>
      </c>
      <c r="BG116" s="101">
        <f t="shared" si="45"/>
        <v>268421124.97878766</v>
      </c>
      <c r="BH116" s="101">
        <f t="shared" si="45"/>
        <v>268421124.97878766</v>
      </c>
      <c r="BI116" s="101">
        <f t="shared" si="45"/>
        <v>268421124.97878766</v>
      </c>
      <c r="BJ116" s="101">
        <f t="shared" si="45"/>
        <v>268421124.97878766</v>
      </c>
      <c r="BK116" s="101">
        <f t="shared" si="45"/>
        <v>268421124.97878766</v>
      </c>
      <c r="BL116" s="101">
        <f t="shared" si="45"/>
        <v>268421124.97878766</v>
      </c>
      <c r="BM116" s="101">
        <f t="shared" si="45"/>
        <v>268421124.97878766</v>
      </c>
      <c r="BN116" s="101">
        <f t="shared" si="45"/>
        <v>268421124.97878766</v>
      </c>
      <c r="BO116" s="101">
        <f t="shared" si="45"/>
        <v>268421124.97878766</v>
      </c>
      <c r="BP116" s="101">
        <f t="shared" si="45"/>
        <v>268421124.97878766</v>
      </c>
      <c r="BQ116" s="101">
        <f t="shared" si="45"/>
        <v>268421124.97878766</v>
      </c>
      <c r="BR116" s="101">
        <f t="shared" si="45"/>
        <v>268421124.97878766</v>
      </c>
      <c r="BS116" s="101">
        <f t="shared" si="45"/>
        <v>268421124.97878766</v>
      </c>
      <c r="BT116" s="101">
        <f t="shared" si="45"/>
        <v>268421124.97878766</v>
      </c>
      <c r="BU116" s="101">
        <f t="shared" si="45"/>
        <v>268421124.97878766</v>
      </c>
      <c r="BV116" s="101">
        <f t="shared" ref="BV116:DD116" si="46">$H$37</f>
        <v>268421124.97878766</v>
      </c>
      <c r="BW116" s="101">
        <f t="shared" si="46"/>
        <v>268421124.97878766</v>
      </c>
      <c r="BX116" s="101">
        <f t="shared" si="46"/>
        <v>268421124.97878766</v>
      </c>
      <c r="BY116" s="101">
        <f t="shared" si="46"/>
        <v>268421124.97878766</v>
      </c>
      <c r="BZ116" s="101">
        <f t="shared" si="46"/>
        <v>268421124.97878766</v>
      </c>
      <c r="CA116" s="101">
        <f t="shared" si="46"/>
        <v>268421124.97878766</v>
      </c>
      <c r="CB116" s="101">
        <f t="shared" si="46"/>
        <v>268421124.97878766</v>
      </c>
      <c r="CC116" s="101">
        <f t="shared" si="46"/>
        <v>268421124.97878766</v>
      </c>
      <c r="CD116" s="101">
        <f t="shared" si="46"/>
        <v>268421124.97878766</v>
      </c>
      <c r="CE116" s="101">
        <f t="shared" si="46"/>
        <v>268421124.97878766</v>
      </c>
      <c r="CF116" s="101">
        <f t="shared" si="46"/>
        <v>268421124.97878766</v>
      </c>
      <c r="CG116" s="101">
        <f t="shared" si="46"/>
        <v>268421124.97878766</v>
      </c>
      <c r="CH116" s="101">
        <f t="shared" si="46"/>
        <v>268421124.97878766</v>
      </c>
      <c r="CI116" s="101">
        <f t="shared" si="46"/>
        <v>268421124.97878766</v>
      </c>
      <c r="CJ116" s="101">
        <f t="shared" si="46"/>
        <v>268421124.97878766</v>
      </c>
      <c r="CK116" s="101">
        <f t="shared" si="46"/>
        <v>268421124.97878766</v>
      </c>
      <c r="CL116" s="101">
        <f t="shared" si="46"/>
        <v>268421124.97878766</v>
      </c>
      <c r="CM116" s="101">
        <f t="shared" si="46"/>
        <v>268421124.97878766</v>
      </c>
      <c r="CN116" s="101">
        <f t="shared" si="46"/>
        <v>268421124.97878766</v>
      </c>
      <c r="CO116" s="101">
        <f t="shared" si="46"/>
        <v>268421124.97878766</v>
      </c>
      <c r="CP116" s="101">
        <f t="shared" si="46"/>
        <v>268421124.97878766</v>
      </c>
      <c r="CQ116" s="101">
        <f t="shared" si="46"/>
        <v>268421124.97878766</v>
      </c>
      <c r="CR116" s="101">
        <f t="shared" si="46"/>
        <v>268421124.97878766</v>
      </c>
      <c r="CS116" s="101">
        <f t="shared" si="46"/>
        <v>268421124.97878766</v>
      </c>
      <c r="CT116" s="101">
        <f t="shared" si="46"/>
        <v>268421124.97878766</v>
      </c>
      <c r="CU116" s="101">
        <f t="shared" si="46"/>
        <v>268421124.97878766</v>
      </c>
      <c r="CV116" s="101">
        <f t="shared" si="46"/>
        <v>268421124.97878766</v>
      </c>
      <c r="CW116" s="101">
        <f t="shared" si="46"/>
        <v>268421124.97878766</v>
      </c>
      <c r="CX116" s="101">
        <f t="shared" si="46"/>
        <v>268421124.97878766</v>
      </c>
      <c r="CY116" s="101">
        <f t="shared" si="46"/>
        <v>268421124.97878766</v>
      </c>
      <c r="CZ116" s="101">
        <f t="shared" si="46"/>
        <v>268421124.97878766</v>
      </c>
      <c r="DA116" s="101">
        <f t="shared" si="46"/>
        <v>268421124.97878766</v>
      </c>
      <c r="DB116" s="101">
        <f t="shared" si="46"/>
        <v>268421124.97878766</v>
      </c>
      <c r="DC116" s="101">
        <f t="shared" si="46"/>
        <v>268421124.97878766</v>
      </c>
      <c r="DD116" s="101">
        <f t="shared" si="46"/>
        <v>268421124.97878766</v>
      </c>
    </row>
    <row r="117" spans="2:111" outlineLevel="1" x14ac:dyDescent="0.25">
      <c r="C117" s="91"/>
      <c r="E117" t="s">
        <v>1014</v>
      </c>
      <c r="G117" t="s">
        <v>327</v>
      </c>
      <c r="H117" s="326" t="str">
        <f>IF(((SUMPRODUCT($J$96:$DD$96,$J$97:$DD$97)*ten)-$H$54)&gt;0,$J$111,IF($DD$115&gt;$DD$116,"",$H$84))</f>
        <v/>
      </c>
      <c r="I117" s="304"/>
      <c r="J117" s="322" t="str">
        <f t="shared" ref="J117:BV117" si="47">IF((J115&gt;J116)=(I115&gt;J116),"",J111-(J115-J116)/(I112*ten))</f>
        <v/>
      </c>
      <c r="K117" s="322" t="str">
        <f t="shared" si="47"/>
        <v/>
      </c>
      <c r="L117" s="322" t="str">
        <f t="shared" si="47"/>
        <v/>
      </c>
      <c r="M117" s="322" t="str">
        <f t="shared" si="47"/>
        <v/>
      </c>
      <c r="N117" s="322" t="str">
        <f t="shared" si="47"/>
        <v/>
      </c>
      <c r="O117" s="322" t="str">
        <f t="shared" si="47"/>
        <v/>
      </c>
      <c r="P117" s="322" t="str">
        <f t="shared" si="47"/>
        <v/>
      </c>
      <c r="Q117" s="322" t="str">
        <f t="shared" si="47"/>
        <v/>
      </c>
      <c r="R117" s="322" t="str">
        <f t="shared" si="47"/>
        <v/>
      </c>
      <c r="S117" s="322" t="str">
        <f t="shared" si="47"/>
        <v/>
      </c>
      <c r="T117" s="322" t="str">
        <f t="shared" si="47"/>
        <v/>
      </c>
      <c r="U117" s="322" t="str">
        <f t="shared" si="47"/>
        <v/>
      </c>
      <c r="V117" s="322" t="str">
        <f t="shared" si="47"/>
        <v/>
      </c>
      <c r="W117" s="322" t="str">
        <f t="shared" si="47"/>
        <v/>
      </c>
      <c r="X117" s="322" t="str">
        <f t="shared" si="47"/>
        <v/>
      </c>
      <c r="Y117" s="322" t="str">
        <f t="shared" si="47"/>
        <v/>
      </c>
      <c r="Z117" s="322" t="str">
        <f t="shared" si="47"/>
        <v/>
      </c>
      <c r="AA117" s="322" t="str">
        <f t="shared" si="47"/>
        <v/>
      </c>
      <c r="AB117" s="322" t="str">
        <f t="shared" si="47"/>
        <v/>
      </c>
      <c r="AC117" s="322" t="str">
        <f t="shared" si="47"/>
        <v/>
      </c>
      <c r="AD117" s="322" t="str">
        <f t="shared" si="47"/>
        <v/>
      </c>
      <c r="AE117" s="322" t="str">
        <f t="shared" si="47"/>
        <v/>
      </c>
      <c r="AF117" s="322" t="str">
        <f t="shared" si="47"/>
        <v/>
      </c>
      <c r="AG117" s="322" t="str">
        <f t="shared" si="47"/>
        <v/>
      </c>
      <c r="AH117" s="322" t="str">
        <f t="shared" si="47"/>
        <v/>
      </c>
      <c r="AI117" s="322" t="str">
        <f t="shared" si="47"/>
        <v/>
      </c>
      <c r="AJ117" s="322" t="str">
        <f t="shared" si="47"/>
        <v/>
      </c>
      <c r="AK117" s="322" t="str">
        <f t="shared" si="47"/>
        <v/>
      </c>
      <c r="AL117" s="322" t="str">
        <f t="shared" si="47"/>
        <v/>
      </c>
      <c r="AM117" s="322" t="str">
        <f t="shared" si="47"/>
        <v/>
      </c>
      <c r="AN117" s="322" t="str">
        <f t="shared" si="47"/>
        <v/>
      </c>
      <c r="AO117" s="322" t="str">
        <f t="shared" si="47"/>
        <v/>
      </c>
      <c r="AP117" s="322" t="str">
        <f t="shared" si="47"/>
        <v/>
      </c>
      <c r="AQ117" s="322" t="str">
        <f t="shared" si="47"/>
        <v/>
      </c>
      <c r="AR117" s="322" t="str">
        <f t="shared" si="47"/>
        <v/>
      </c>
      <c r="AS117" s="322" t="str">
        <f t="shared" si="47"/>
        <v/>
      </c>
      <c r="AT117" s="322" t="str">
        <f t="shared" si="47"/>
        <v/>
      </c>
      <c r="AU117" s="322" t="str">
        <f t="shared" si="47"/>
        <v/>
      </c>
      <c r="AV117" s="322" t="str">
        <f t="shared" si="47"/>
        <v/>
      </c>
      <c r="AW117" s="322" t="str">
        <f t="shared" si="47"/>
        <v/>
      </c>
      <c r="AX117" s="322" t="str">
        <f t="shared" si="47"/>
        <v/>
      </c>
      <c r="AY117" s="322" t="str">
        <f t="shared" si="47"/>
        <v/>
      </c>
      <c r="AZ117" s="322" t="str">
        <f t="shared" si="47"/>
        <v/>
      </c>
      <c r="BA117" s="322" t="str">
        <f t="shared" si="47"/>
        <v/>
      </c>
      <c r="BB117" s="322" t="str">
        <f t="shared" si="47"/>
        <v/>
      </c>
      <c r="BC117" s="322" t="str">
        <f t="shared" si="47"/>
        <v/>
      </c>
      <c r="BD117" s="322" t="str">
        <f t="shared" si="47"/>
        <v/>
      </c>
      <c r="BE117" s="322" t="str">
        <f t="shared" si="47"/>
        <v/>
      </c>
      <c r="BF117" s="322" t="str">
        <f t="shared" si="47"/>
        <v/>
      </c>
      <c r="BG117" s="322" t="str">
        <f t="shared" si="47"/>
        <v/>
      </c>
      <c r="BH117" s="322" t="str">
        <f t="shared" si="47"/>
        <v/>
      </c>
      <c r="BI117" s="322" t="str">
        <f t="shared" si="47"/>
        <v/>
      </c>
      <c r="BJ117" s="322" t="str">
        <f t="shared" si="47"/>
        <v/>
      </c>
      <c r="BK117" s="322" t="str">
        <f t="shared" si="47"/>
        <v/>
      </c>
      <c r="BL117" s="322" t="str">
        <f t="shared" si="47"/>
        <v/>
      </c>
      <c r="BM117" s="322" t="str">
        <f t="shared" si="47"/>
        <v/>
      </c>
      <c r="BN117" s="322" t="str">
        <f t="shared" si="47"/>
        <v/>
      </c>
      <c r="BO117" s="322" t="str">
        <f t="shared" si="47"/>
        <v/>
      </c>
      <c r="BP117" s="322" t="str">
        <f t="shared" si="47"/>
        <v/>
      </c>
      <c r="BQ117" s="322" t="str">
        <f t="shared" si="47"/>
        <v/>
      </c>
      <c r="BR117" s="322" t="str">
        <f t="shared" si="47"/>
        <v/>
      </c>
      <c r="BS117" s="322" t="str">
        <f t="shared" si="47"/>
        <v/>
      </c>
      <c r="BT117" s="322" t="str">
        <f t="shared" si="47"/>
        <v/>
      </c>
      <c r="BU117" s="322" t="str">
        <f t="shared" si="47"/>
        <v/>
      </c>
      <c r="BV117" s="322" t="str">
        <f t="shared" si="47"/>
        <v/>
      </c>
      <c r="BW117" s="322" t="str">
        <f t="shared" ref="BW117:DD117" si="48">IF((BW115&gt;BW116)=(BV115&gt;BW116),"",BW111-(BW115-BW116)/(BV112*ten))</f>
        <v/>
      </c>
      <c r="BX117" s="322" t="str">
        <f t="shared" si="48"/>
        <v/>
      </c>
      <c r="BY117" s="322" t="str">
        <f t="shared" si="48"/>
        <v/>
      </c>
      <c r="BZ117" s="322" t="str">
        <f t="shared" si="48"/>
        <v/>
      </c>
      <c r="CA117" s="322" t="str">
        <f t="shared" si="48"/>
        <v/>
      </c>
      <c r="CB117" s="322" t="str">
        <f t="shared" si="48"/>
        <v/>
      </c>
      <c r="CC117" s="322" t="str">
        <f t="shared" si="48"/>
        <v/>
      </c>
      <c r="CD117" s="322" t="str">
        <f t="shared" si="48"/>
        <v/>
      </c>
      <c r="CE117" s="322" t="str">
        <f t="shared" si="48"/>
        <v/>
      </c>
      <c r="CF117" s="322" t="str">
        <f t="shared" si="48"/>
        <v/>
      </c>
      <c r="CG117" s="322" t="str">
        <f t="shared" si="48"/>
        <v/>
      </c>
      <c r="CH117" s="322" t="str">
        <f t="shared" si="48"/>
        <v/>
      </c>
      <c r="CI117" s="322" t="str">
        <f t="shared" si="48"/>
        <v/>
      </c>
      <c r="CJ117" s="322" t="str">
        <f t="shared" si="48"/>
        <v/>
      </c>
      <c r="CK117" s="322" t="str">
        <f t="shared" si="48"/>
        <v/>
      </c>
      <c r="CL117" s="322" t="str">
        <f t="shared" si="48"/>
        <v/>
      </c>
      <c r="CM117" s="322" t="str">
        <f t="shared" si="48"/>
        <v/>
      </c>
      <c r="CN117" s="322" t="str">
        <f t="shared" si="48"/>
        <v/>
      </c>
      <c r="CO117" s="322" t="str">
        <f t="shared" si="48"/>
        <v/>
      </c>
      <c r="CP117" s="322" t="str">
        <f t="shared" si="48"/>
        <v/>
      </c>
      <c r="CQ117" s="322" t="str">
        <f t="shared" si="48"/>
        <v/>
      </c>
      <c r="CR117" s="322" t="str">
        <f t="shared" si="48"/>
        <v/>
      </c>
      <c r="CS117" s="322" t="str">
        <f t="shared" si="48"/>
        <v/>
      </c>
      <c r="CT117" s="322" t="str">
        <f t="shared" si="48"/>
        <v/>
      </c>
      <c r="CU117" s="322" t="str">
        <f t="shared" si="48"/>
        <v/>
      </c>
      <c r="CV117" s="322" t="str">
        <f t="shared" si="48"/>
        <v/>
      </c>
      <c r="CW117" s="322" t="str">
        <f t="shared" si="48"/>
        <v/>
      </c>
      <c r="CX117" s="322" t="str">
        <f t="shared" si="48"/>
        <v/>
      </c>
      <c r="CY117" s="322">
        <f t="shared" si="48"/>
        <v>1.4818671612412855</v>
      </c>
      <c r="CZ117" s="322" t="str">
        <f t="shared" si="48"/>
        <v/>
      </c>
      <c r="DA117" s="322" t="str">
        <f t="shared" si="48"/>
        <v/>
      </c>
      <c r="DB117" s="322" t="str">
        <f t="shared" si="48"/>
        <v/>
      </c>
      <c r="DC117" s="322" t="str">
        <f t="shared" si="48"/>
        <v/>
      </c>
      <c r="DD117" s="322" t="str">
        <f t="shared" si="48"/>
        <v/>
      </c>
      <c r="DE117" s="304"/>
      <c r="DF117" s="304"/>
      <c r="DG117" s="304"/>
    </row>
    <row r="118" spans="2:111" x14ac:dyDescent="0.25">
      <c r="C118" s="91"/>
    </row>
    <row r="119" spans="2:111" x14ac:dyDescent="0.25">
      <c r="D119" s="32" t="s">
        <v>1015</v>
      </c>
      <c r="E119"/>
      <c r="H119" s="236"/>
      <c r="I119" s="236" t="s">
        <v>190</v>
      </c>
      <c r="DG119" t="s">
        <v>1016</v>
      </c>
    </row>
    <row r="120" spans="2:111" x14ac:dyDescent="0.25">
      <c r="C120" s="32"/>
      <c r="D120" s="29" t="s">
        <v>1017</v>
      </c>
      <c r="H120" s="236"/>
      <c r="I120" s="236"/>
    </row>
    <row r="121" spans="2:111" x14ac:dyDescent="0.25">
      <c r="C121" s="32"/>
      <c r="D121" s="29" t="s">
        <v>1018</v>
      </c>
      <c r="H121" s="236"/>
      <c r="I121" s="236"/>
    </row>
    <row r="122" spans="2:111" x14ac:dyDescent="0.25">
      <c r="C122" s="32"/>
      <c r="D122" s="29"/>
      <c r="H122" s="236"/>
      <c r="I122" s="236"/>
    </row>
    <row r="123" spans="2:111" x14ac:dyDescent="0.25">
      <c r="C123" s="91"/>
      <c r="E123" t="s">
        <v>1015</v>
      </c>
      <c r="G123" t="s">
        <v>327</v>
      </c>
      <c r="H123" s="322">
        <f>MIN(H117:DD117)</f>
        <v>1.4818671612412855</v>
      </c>
      <c r="I123" s="304"/>
      <c r="J123" s="304"/>
      <c r="K123" s="304"/>
      <c r="L123" s="304"/>
      <c r="M123" s="304"/>
      <c r="N123" s="304"/>
      <c r="O123" s="304"/>
      <c r="P123" s="304"/>
      <c r="Q123" s="304"/>
      <c r="R123" s="304"/>
      <c r="S123" s="304"/>
      <c r="T123" s="304"/>
      <c r="U123" s="304"/>
      <c r="V123" s="304"/>
      <c r="W123" s="304"/>
      <c r="X123" s="304"/>
      <c r="Y123" s="304"/>
      <c r="Z123" s="304"/>
      <c r="AA123" s="304"/>
      <c r="AB123" s="304"/>
      <c r="AC123" s="304"/>
      <c r="AD123" s="304"/>
      <c r="AE123" s="304"/>
      <c r="AF123" s="304"/>
      <c r="AG123" s="304"/>
      <c r="AH123" s="304"/>
      <c r="AI123" s="304"/>
      <c r="AJ123" s="304"/>
      <c r="AK123" s="304"/>
      <c r="AL123" s="304"/>
      <c r="AM123" s="304"/>
      <c r="AN123" s="304"/>
      <c r="AO123" s="304"/>
      <c r="AP123" s="304"/>
      <c r="AQ123" s="304"/>
      <c r="AR123" s="304"/>
      <c r="AS123" s="304"/>
      <c r="AT123" s="304"/>
      <c r="AU123" s="304"/>
      <c r="AV123" s="304"/>
      <c r="AW123" s="304"/>
      <c r="AX123" s="304"/>
      <c r="AY123" s="304"/>
      <c r="AZ123" s="304"/>
      <c r="BA123" s="304"/>
      <c r="BB123" s="304"/>
      <c r="BC123" s="304"/>
      <c r="BD123" s="304"/>
      <c r="BE123" s="304"/>
      <c r="BF123" s="304"/>
      <c r="BG123" s="304"/>
      <c r="BH123" s="304"/>
      <c r="BI123" s="304"/>
      <c r="BJ123" s="304"/>
      <c r="BK123" s="304"/>
      <c r="BL123" s="304"/>
      <c r="BM123" s="304"/>
      <c r="BN123" s="304"/>
      <c r="BO123" s="304"/>
      <c r="BP123" s="304"/>
      <c r="BQ123" s="304"/>
      <c r="BR123" s="304"/>
      <c r="BS123" s="304"/>
      <c r="BT123" s="304"/>
      <c r="BU123" s="304"/>
      <c r="BV123" s="304"/>
      <c r="BW123" s="304"/>
      <c r="BX123" s="304"/>
      <c r="BY123" s="304"/>
      <c r="BZ123" s="304"/>
      <c r="CA123" s="304"/>
      <c r="CB123" s="304"/>
      <c r="CC123" s="304"/>
      <c r="CD123" s="304"/>
      <c r="CE123" s="304"/>
      <c r="CF123" s="304"/>
      <c r="CG123" s="304"/>
      <c r="CH123" s="304"/>
      <c r="CI123" s="304"/>
      <c r="CJ123" s="304"/>
      <c r="CK123" s="304"/>
      <c r="CL123" s="304"/>
      <c r="CM123" s="304"/>
      <c r="CN123" s="304"/>
      <c r="CO123" s="304"/>
      <c r="CP123" s="304"/>
      <c r="CQ123" s="304"/>
      <c r="CR123" s="304"/>
      <c r="CS123" s="304"/>
      <c r="CT123" s="304"/>
      <c r="CU123" s="304"/>
      <c r="CV123" s="304"/>
      <c r="CW123" s="304"/>
      <c r="CX123" s="304"/>
      <c r="CY123" s="304"/>
      <c r="CZ123" s="304"/>
      <c r="DA123" s="304"/>
      <c r="DB123" s="304"/>
      <c r="DC123" s="304"/>
      <c r="DD123" s="304"/>
      <c r="DE123" s="304"/>
      <c r="DF123" s="304"/>
      <c r="DG123" s="304"/>
    </row>
    <row r="124" spans="2:111" x14ac:dyDescent="0.25">
      <c r="C124" s="91"/>
    </row>
    <row r="125" spans="2:111" x14ac:dyDescent="0.25">
      <c r="C125" s="31" t="str">
        <f ca="1">INDEX('Version control'!$H$34:$H$56,MATCH($A$1,'Version control'!$F$34:$F$56,0),1)&amp;"-E: Adder to be applied to unit rates"</f>
        <v>Section 115-E: Adder to be applied to unit rates</v>
      </c>
      <c r="D125" s="31"/>
      <c r="E125" s="31"/>
      <c r="F125" s="31"/>
      <c r="G125" s="31"/>
      <c r="H125" s="31"/>
      <c r="I125" s="31"/>
      <c r="J125" s="31"/>
      <c r="K125" s="31"/>
      <c r="L125" s="31"/>
      <c r="M125" s="31"/>
      <c r="N125" s="31"/>
      <c r="O125" s="31"/>
      <c r="P125" s="31"/>
      <c r="Q125" s="31"/>
      <c r="R125" s="31"/>
      <c r="S125" s="31"/>
      <c r="T125" s="31"/>
      <c r="U125" s="31"/>
      <c r="V125" s="31"/>
      <c r="W125" s="31"/>
      <c r="X125" s="31"/>
      <c r="Y125" s="31"/>
      <c r="Z125" s="31"/>
      <c r="AA125" s="31"/>
      <c r="AB125" s="31"/>
      <c r="AC125" s="31"/>
      <c r="AD125" s="31"/>
      <c r="AE125" s="31"/>
      <c r="AF125" s="31"/>
      <c r="AG125" s="31"/>
      <c r="AH125" s="31"/>
      <c r="AI125" s="31"/>
      <c r="AJ125" s="31"/>
      <c r="AK125" s="31"/>
      <c r="AL125" s="31"/>
      <c r="AM125" s="31"/>
      <c r="AN125" s="31"/>
      <c r="AO125" s="31"/>
      <c r="AP125" s="31"/>
      <c r="AQ125" s="31"/>
      <c r="AR125" s="31"/>
      <c r="AS125" s="31"/>
      <c r="AT125" s="31"/>
      <c r="AU125" s="31"/>
      <c r="AV125" s="31"/>
      <c r="AW125" s="31"/>
      <c r="AX125" s="31"/>
      <c r="AY125" s="31"/>
      <c r="AZ125" s="31"/>
      <c r="BA125" s="31"/>
      <c r="BB125" s="31"/>
      <c r="BC125" s="31"/>
      <c r="BD125" s="31"/>
      <c r="BE125" s="31"/>
      <c r="BF125" s="31"/>
      <c r="BG125" s="31"/>
      <c r="BH125" s="31"/>
      <c r="BI125" s="31"/>
      <c r="BJ125" s="31"/>
      <c r="BK125" s="31"/>
      <c r="BL125" s="31"/>
      <c r="BM125" s="31"/>
      <c r="BN125" s="31"/>
      <c r="BO125" s="31"/>
      <c r="BP125" s="31"/>
      <c r="BQ125" s="31"/>
      <c r="BR125" s="31"/>
      <c r="BS125" s="31"/>
      <c r="BT125" s="31"/>
      <c r="BU125" s="31"/>
      <c r="BV125" s="31"/>
      <c r="BW125" s="31"/>
      <c r="BX125" s="31"/>
      <c r="BY125" s="31"/>
      <c r="BZ125" s="31"/>
      <c r="CA125" s="31"/>
      <c r="CB125" s="31"/>
      <c r="CC125" s="31"/>
      <c r="CD125" s="31"/>
      <c r="CE125" s="31"/>
      <c r="CF125" s="31"/>
      <c r="CG125" s="31"/>
      <c r="CH125" s="31"/>
      <c r="CI125" s="31"/>
      <c r="CJ125" s="31"/>
      <c r="CK125" s="31"/>
      <c r="CL125" s="31"/>
      <c r="CM125" s="31"/>
      <c r="CN125" s="31"/>
      <c r="CO125" s="31"/>
      <c r="CP125" s="31"/>
      <c r="CQ125" s="31"/>
      <c r="CR125" s="31"/>
      <c r="CS125" s="31"/>
      <c r="CT125" s="31"/>
      <c r="CU125" s="31"/>
      <c r="CV125" s="31"/>
      <c r="CW125" s="31"/>
      <c r="CX125" s="31"/>
      <c r="CY125" s="31"/>
      <c r="CZ125" s="31"/>
      <c r="DA125" s="31"/>
      <c r="DB125" s="31"/>
      <c r="DC125" s="31"/>
      <c r="DD125" s="31"/>
      <c r="DE125" s="31"/>
      <c r="DF125" s="31"/>
      <c r="DG125" s="31"/>
    </row>
    <row r="126" spans="2:111" x14ac:dyDescent="0.25">
      <c r="B126" s="29"/>
      <c r="C126" s="91"/>
    </row>
    <row r="127" spans="2:111" x14ac:dyDescent="0.25">
      <c r="C127" s="29" t="s">
        <v>1019</v>
      </c>
    </row>
    <row r="128" spans="2:111" x14ac:dyDescent="0.25">
      <c r="B128" s="29"/>
      <c r="C128" s="29" t="s">
        <v>1020</v>
      </c>
    </row>
    <row r="129" spans="2:111" x14ac:dyDescent="0.25">
      <c r="B129" s="29"/>
      <c r="C129" s="91"/>
    </row>
    <row r="130" spans="2:111" x14ac:dyDescent="0.25">
      <c r="B130" s="29"/>
      <c r="E130" s="91" t="s">
        <v>1021</v>
      </c>
      <c r="F130" s="2"/>
      <c r="I130" t="s">
        <v>190</v>
      </c>
      <c r="DG130" t="s">
        <v>1016</v>
      </c>
    </row>
    <row r="131" spans="2:111" x14ac:dyDescent="0.25">
      <c r="B131" s="29"/>
      <c r="E131" s="29" t="s">
        <v>1022</v>
      </c>
    </row>
    <row r="132" spans="2:111" x14ac:dyDescent="0.25">
      <c r="B132" s="29"/>
      <c r="D132"/>
      <c r="E132" s="29" t="s">
        <v>1023</v>
      </c>
      <c r="F132" s="2"/>
    </row>
    <row r="133" spans="2:111" x14ac:dyDescent="0.25">
      <c r="C133" s="91"/>
      <c r="F133" s="23" t="s">
        <v>1024</v>
      </c>
      <c r="G133" s="23" t="s">
        <v>327</v>
      </c>
      <c r="H133" s="302"/>
      <c r="I133" s="302"/>
      <c r="J133" s="311">
        <f t="shared" ref="J133:AB133" si="49">MAX($H$123,J68)</f>
        <v>1.4818671612412855</v>
      </c>
      <c r="K133" s="311">
        <f t="shared" si="49"/>
        <v>1.4818671612412855</v>
      </c>
      <c r="L133" s="311">
        <f t="shared" si="49"/>
        <v>1.4818671612412855</v>
      </c>
      <c r="M133" s="311">
        <f t="shared" si="49"/>
        <v>1.4818671612412855</v>
      </c>
      <c r="N133" s="311">
        <f t="shared" si="49"/>
        <v>1.4818671612412855</v>
      </c>
      <c r="O133" s="311">
        <f t="shared" si="49"/>
        <v>1.4818671612412855</v>
      </c>
      <c r="P133" s="311">
        <f t="shared" si="49"/>
        <v>1.4818671612412855</v>
      </c>
      <c r="Q133" s="311">
        <f t="shared" si="49"/>
        <v>1.4818671612412855</v>
      </c>
      <c r="R133" s="311">
        <f t="shared" si="49"/>
        <v>1.4818671612412855</v>
      </c>
      <c r="S133" s="311">
        <f t="shared" si="49"/>
        <v>1.4818671612412855</v>
      </c>
      <c r="T133" s="311">
        <f t="shared" si="49"/>
        <v>1.4818671612412855</v>
      </c>
      <c r="U133" s="311">
        <f t="shared" si="49"/>
        <v>1.4818671612412855</v>
      </c>
      <c r="V133" s="311">
        <f t="shared" si="49"/>
        <v>1.4818671612412855</v>
      </c>
      <c r="W133" s="311">
        <f t="shared" si="49"/>
        <v>1.4818671612412855</v>
      </c>
      <c r="X133" s="311">
        <f t="shared" si="49"/>
        <v>1.4818671612412855</v>
      </c>
      <c r="Y133" s="311">
        <f t="shared" si="49"/>
        <v>1.4818671612412855</v>
      </c>
      <c r="Z133" s="311">
        <f t="shared" si="49"/>
        <v>1.4818671612412855</v>
      </c>
      <c r="AA133" s="311">
        <f t="shared" si="49"/>
        <v>1.4818671612412855</v>
      </c>
      <c r="AB133" s="311">
        <f t="shared" si="49"/>
        <v>1.4818671612412855</v>
      </c>
      <c r="AC133" s="320"/>
      <c r="AD133" s="320"/>
      <c r="AE133" s="320"/>
      <c r="AF133" s="320"/>
      <c r="AG133" s="320"/>
      <c r="AH133" s="320"/>
      <c r="AI133" s="320"/>
      <c r="AJ133" s="320"/>
      <c r="AK133" s="320"/>
      <c r="AL133" s="320"/>
      <c r="AM133" s="320"/>
      <c r="AN133" s="320"/>
      <c r="AO133" s="320"/>
      <c r="AP133" s="320"/>
      <c r="AQ133" s="304"/>
      <c r="AR133" s="304"/>
      <c r="AS133" s="304"/>
      <c r="AT133" s="304"/>
      <c r="AU133" s="304"/>
      <c r="AV133" s="304"/>
      <c r="AW133" s="304"/>
      <c r="AX133" s="304"/>
      <c r="AY133" s="304"/>
      <c r="AZ133" s="304"/>
      <c r="BA133" s="304"/>
      <c r="BB133" s="304"/>
      <c r="BC133" s="304"/>
      <c r="BD133" s="304"/>
      <c r="BE133" s="304"/>
      <c r="BF133" s="304"/>
      <c r="BG133" s="304"/>
      <c r="BH133" s="304"/>
      <c r="BI133" s="304"/>
      <c r="BJ133" s="304"/>
      <c r="BK133" s="304"/>
      <c r="BL133" s="304"/>
      <c r="BM133" s="304"/>
      <c r="BN133" s="304"/>
      <c r="BO133" s="304"/>
      <c r="BP133" s="304"/>
      <c r="BQ133" s="304"/>
      <c r="BR133" s="304"/>
      <c r="BS133" s="304"/>
      <c r="BT133" s="304"/>
      <c r="BU133" s="304"/>
      <c r="BV133" s="304"/>
      <c r="BW133" s="304"/>
      <c r="BX133" s="304"/>
      <c r="BY133" s="304"/>
      <c r="BZ133" s="304"/>
      <c r="CA133" s="304"/>
      <c r="CB133" s="304"/>
      <c r="CC133" s="304"/>
      <c r="CD133" s="304"/>
      <c r="CE133" s="304"/>
      <c r="CF133" s="304"/>
      <c r="CG133" s="304"/>
      <c r="CH133" s="304"/>
      <c r="CI133" s="304"/>
      <c r="CJ133" s="304"/>
      <c r="CK133" s="304"/>
      <c r="CL133" s="304"/>
      <c r="CM133" s="304"/>
      <c r="CN133" s="304"/>
      <c r="CO133" s="304"/>
      <c r="CP133" s="304"/>
      <c r="CQ133" s="304"/>
      <c r="CR133" s="304"/>
      <c r="CS133" s="304"/>
      <c r="CT133" s="304"/>
      <c r="CU133" s="304"/>
      <c r="CV133" s="304"/>
      <c r="CW133" s="304"/>
      <c r="CX133" s="304"/>
      <c r="CY133" s="304"/>
      <c r="CZ133" s="304"/>
      <c r="DA133" s="304"/>
      <c r="DB133" s="304"/>
      <c r="DC133" s="304"/>
      <c r="DD133" s="304"/>
      <c r="DE133" s="304"/>
      <c r="DF133" s="304"/>
      <c r="DG133" s="304"/>
    </row>
    <row r="134" spans="2:111" x14ac:dyDescent="0.25">
      <c r="C134" s="91"/>
      <c r="F134" t="s">
        <v>1025</v>
      </c>
      <c r="G134" t="s">
        <v>327</v>
      </c>
      <c r="H134" s="304"/>
      <c r="I134" s="304"/>
      <c r="J134" s="305"/>
      <c r="K134" s="312">
        <f>MAX($H$123,K69)</f>
        <v>1.4818671612412855</v>
      </c>
      <c r="L134" s="305"/>
      <c r="M134" s="305"/>
      <c r="N134" s="312">
        <f>MAX($H$123,N69)</f>
        <v>1.4818671612412855</v>
      </c>
      <c r="O134" s="305"/>
      <c r="P134" s="312">
        <f t="shared" ref="P134:W134" si="50">MAX($H$123,P69)</f>
        <v>1.4818671612412855</v>
      </c>
      <c r="Q134" s="312">
        <f t="shared" si="50"/>
        <v>1.4818671612412855</v>
      </c>
      <c r="R134" s="312">
        <f t="shared" si="50"/>
        <v>1.4818671612412855</v>
      </c>
      <c r="S134" s="312">
        <f t="shared" si="50"/>
        <v>1.4818671612412855</v>
      </c>
      <c r="T134" s="312">
        <f t="shared" si="50"/>
        <v>1.4818671612412855</v>
      </c>
      <c r="U134" s="312">
        <f t="shared" si="50"/>
        <v>1.4818671612412855</v>
      </c>
      <c r="V134" s="312">
        <f t="shared" si="50"/>
        <v>1.4818671612412855</v>
      </c>
      <c r="W134" s="312">
        <f t="shared" si="50"/>
        <v>1.4818671612412855</v>
      </c>
      <c r="X134" s="305"/>
      <c r="Y134" s="305"/>
      <c r="Z134" s="305"/>
      <c r="AA134" s="327"/>
      <c r="AB134" s="312">
        <f>MAX($H$123,AB69)</f>
        <v>1.4818671612412855</v>
      </c>
      <c r="AC134" s="305"/>
      <c r="AD134" s="305"/>
      <c r="AE134" s="305"/>
      <c r="AF134" s="305"/>
      <c r="AG134" s="305"/>
      <c r="AH134" s="305"/>
      <c r="AI134" s="305"/>
      <c r="AJ134" s="305"/>
      <c r="AK134" s="305"/>
      <c r="AL134" s="305"/>
      <c r="AM134" s="305"/>
      <c r="AN134" s="305"/>
      <c r="AO134" s="305"/>
      <c r="AP134" s="305"/>
      <c r="AQ134" s="304"/>
      <c r="AR134" s="304"/>
      <c r="AS134" s="304"/>
      <c r="AT134" s="304"/>
      <c r="AU134" s="304"/>
      <c r="AV134" s="304"/>
      <c r="AW134" s="304"/>
      <c r="AX134" s="304"/>
      <c r="AY134" s="304"/>
      <c r="AZ134" s="304"/>
      <c r="BA134" s="304"/>
      <c r="BB134" s="304"/>
      <c r="BC134" s="304"/>
      <c r="BD134" s="304"/>
      <c r="BE134" s="304"/>
      <c r="BF134" s="304"/>
      <c r="BG134" s="304"/>
      <c r="BH134" s="304"/>
      <c r="BI134" s="304"/>
      <c r="BJ134" s="304"/>
      <c r="BK134" s="304"/>
      <c r="BL134" s="304"/>
      <c r="BM134" s="304"/>
      <c r="BN134" s="304"/>
      <c r="BO134" s="304"/>
      <c r="BP134" s="304"/>
      <c r="BQ134" s="304"/>
      <c r="BR134" s="304"/>
      <c r="BS134" s="304"/>
      <c r="BT134" s="304"/>
      <c r="BU134" s="304"/>
      <c r="BV134" s="304"/>
      <c r="BW134" s="304"/>
      <c r="BX134" s="304"/>
      <c r="BY134" s="304"/>
      <c r="BZ134" s="304"/>
      <c r="CA134" s="304"/>
      <c r="CB134" s="304"/>
      <c r="CC134" s="304"/>
      <c r="CD134" s="304"/>
      <c r="CE134" s="304"/>
      <c r="CF134" s="304"/>
      <c r="CG134" s="304"/>
      <c r="CH134" s="304"/>
      <c r="CI134" s="304"/>
      <c r="CJ134" s="304"/>
      <c r="CK134" s="304"/>
      <c r="CL134" s="304"/>
      <c r="CM134" s="304"/>
      <c r="CN134" s="304"/>
      <c r="CO134" s="304"/>
      <c r="CP134" s="304"/>
      <c r="CQ134" s="304"/>
      <c r="CR134" s="304"/>
      <c r="CS134" s="304"/>
      <c r="CT134" s="304"/>
      <c r="CU134" s="304"/>
      <c r="CV134" s="304"/>
      <c r="CW134" s="304"/>
      <c r="CX134" s="304"/>
      <c r="CY134" s="304"/>
      <c r="CZ134" s="304"/>
      <c r="DA134" s="304"/>
      <c r="DB134" s="304"/>
      <c r="DC134" s="304"/>
      <c r="DD134" s="304"/>
      <c r="DE134" s="304"/>
      <c r="DF134" s="304"/>
      <c r="DG134" s="304"/>
    </row>
    <row r="135" spans="2:111" x14ac:dyDescent="0.25">
      <c r="C135" s="91"/>
      <c r="F135" s="37" t="s">
        <v>1026</v>
      </c>
      <c r="G135" s="37" t="s">
        <v>327</v>
      </c>
      <c r="H135" s="308"/>
      <c r="I135" s="308"/>
      <c r="J135" s="309"/>
      <c r="K135" s="309"/>
      <c r="L135" s="309"/>
      <c r="M135" s="309"/>
      <c r="N135" s="309"/>
      <c r="O135" s="309"/>
      <c r="P135" s="309"/>
      <c r="Q135" s="309"/>
      <c r="R135" s="309"/>
      <c r="S135" s="313">
        <f>MAX($H$123,S70)</f>
        <v>1.4818671612412855</v>
      </c>
      <c r="T135" s="313">
        <f>MAX($H$123,T70)</f>
        <v>1.4818671612412855</v>
      </c>
      <c r="U135" s="313">
        <f>MAX($H$123,U70)</f>
        <v>1.4818671612412855</v>
      </c>
      <c r="V135" s="313">
        <f>MAX($H$123,V70)</f>
        <v>1.4818671612412855</v>
      </c>
      <c r="W135" s="313">
        <f>MAX($H$123,W70)</f>
        <v>1.4818671612412855</v>
      </c>
      <c r="X135" s="309"/>
      <c r="Y135" s="309"/>
      <c r="Z135" s="309"/>
      <c r="AA135" s="309"/>
      <c r="AB135" s="313">
        <f>MAX($H$123,AB70)</f>
        <v>1.4818671612412855</v>
      </c>
      <c r="AC135" s="309"/>
      <c r="AD135" s="309"/>
      <c r="AE135" s="309"/>
      <c r="AF135" s="309"/>
      <c r="AG135" s="309"/>
      <c r="AH135" s="309"/>
      <c r="AI135" s="309"/>
      <c r="AJ135" s="309"/>
      <c r="AK135" s="309"/>
      <c r="AL135" s="309"/>
      <c r="AM135" s="309"/>
      <c r="AN135" s="309"/>
      <c r="AO135" s="309"/>
      <c r="AP135" s="309"/>
      <c r="AQ135" s="304"/>
      <c r="AR135" s="304"/>
      <c r="AS135" s="304"/>
      <c r="AT135" s="304"/>
      <c r="AU135" s="304"/>
      <c r="AV135" s="304"/>
      <c r="AW135" s="304"/>
      <c r="AX135" s="304"/>
      <c r="AY135" s="304"/>
      <c r="AZ135" s="304"/>
      <c r="BA135" s="304"/>
      <c r="BB135" s="304"/>
      <c r="BC135" s="304"/>
      <c r="BD135" s="304"/>
      <c r="BE135" s="304"/>
      <c r="BF135" s="304"/>
      <c r="BG135" s="304"/>
      <c r="BH135" s="304"/>
      <c r="BI135" s="304"/>
      <c r="BJ135" s="304"/>
      <c r="BK135" s="304"/>
      <c r="BL135" s="304"/>
      <c r="BM135" s="304"/>
      <c r="BN135" s="304"/>
      <c r="BO135" s="304"/>
      <c r="BP135" s="304"/>
      <c r="BQ135" s="304"/>
      <c r="BR135" s="304"/>
      <c r="BS135" s="304"/>
      <c r="BT135" s="304"/>
      <c r="BU135" s="304"/>
      <c r="BV135" s="304"/>
      <c r="BW135" s="304"/>
      <c r="BX135" s="304"/>
      <c r="BY135" s="304"/>
      <c r="BZ135" s="304"/>
      <c r="CA135" s="304"/>
      <c r="CB135" s="304"/>
      <c r="CC135" s="304"/>
      <c r="CD135" s="304"/>
      <c r="CE135" s="304"/>
      <c r="CF135" s="304"/>
      <c r="CG135" s="304"/>
      <c r="CH135" s="304"/>
      <c r="CI135" s="304"/>
      <c r="CJ135" s="304"/>
      <c r="CK135" s="304"/>
      <c r="CL135" s="304"/>
      <c r="CM135" s="304"/>
      <c r="CN135" s="304"/>
      <c r="CO135" s="304"/>
      <c r="CP135" s="304"/>
      <c r="CQ135" s="304"/>
      <c r="CR135" s="304"/>
      <c r="CS135" s="304"/>
      <c r="CT135" s="304"/>
      <c r="CU135" s="304"/>
      <c r="CV135" s="304"/>
      <c r="CW135" s="304"/>
      <c r="CX135" s="304"/>
      <c r="CY135" s="304"/>
      <c r="CZ135" s="304"/>
      <c r="DA135" s="304"/>
      <c r="DB135" s="304"/>
      <c r="DC135" s="304"/>
      <c r="DD135" s="304"/>
      <c r="DE135" s="304"/>
      <c r="DF135" s="304"/>
      <c r="DG135" s="304"/>
    </row>
    <row r="136" spans="2:111" x14ac:dyDescent="0.25">
      <c r="C136" s="91"/>
    </row>
    <row r="137" spans="2:111" x14ac:dyDescent="0.25">
      <c r="B137" s="30" t="s">
        <v>280</v>
      </c>
      <c r="C137" s="30"/>
      <c r="D137" s="30"/>
      <c r="E137" s="30"/>
      <c r="F137" s="30"/>
      <c r="G137" s="30"/>
      <c r="H137" s="30"/>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108"/>
      <c r="AT137" s="108"/>
      <c r="AU137" s="108"/>
      <c r="AV137" s="108"/>
      <c r="AW137" s="108"/>
      <c r="AX137" s="108"/>
      <c r="AY137" s="108"/>
      <c r="AZ137" s="108"/>
      <c r="BA137" s="108"/>
      <c r="BB137" s="108"/>
      <c r="BC137" s="108"/>
      <c r="BD137" s="108"/>
      <c r="BE137" s="108"/>
      <c r="BF137" s="108"/>
      <c r="BG137" s="108"/>
      <c r="BH137" s="108"/>
      <c r="BI137" s="108"/>
      <c r="BJ137" s="108"/>
      <c r="BK137" s="108"/>
      <c r="BL137" s="108"/>
      <c r="BM137" s="108"/>
      <c r="BN137" s="108"/>
      <c r="BO137" s="108"/>
      <c r="BP137" s="108"/>
      <c r="BQ137" s="108"/>
      <c r="BR137" s="108"/>
      <c r="BS137" s="108"/>
      <c r="BT137" s="108"/>
      <c r="BU137" s="108"/>
      <c r="BV137" s="108"/>
      <c r="BW137" s="108"/>
      <c r="BX137" s="108"/>
      <c r="BY137" s="108"/>
      <c r="BZ137" s="108"/>
      <c r="CA137" s="108"/>
      <c r="CB137" s="108"/>
      <c r="CC137" s="108"/>
      <c r="CD137" s="108"/>
      <c r="CE137" s="108"/>
      <c r="CF137" s="108"/>
      <c r="CG137" s="108"/>
      <c r="CH137" s="108"/>
      <c r="CI137" s="108"/>
      <c r="CJ137" s="108"/>
      <c r="CK137" s="108"/>
      <c r="CL137" s="108"/>
      <c r="CM137" s="108"/>
      <c r="CN137" s="108"/>
      <c r="CO137" s="108"/>
      <c r="CP137" s="108"/>
      <c r="CQ137" s="108"/>
      <c r="CR137" s="108"/>
      <c r="CS137" s="108"/>
      <c r="CT137" s="108"/>
      <c r="CU137" s="108"/>
      <c r="CV137" s="108"/>
      <c r="CW137" s="108"/>
      <c r="CX137" s="108"/>
      <c r="CY137" s="108"/>
      <c r="CZ137" s="108"/>
      <c r="DA137" s="108"/>
      <c r="DB137" s="108"/>
      <c r="DC137" s="108"/>
      <c r="DD137" s="108"/>
      <c r="DE137" s="108"/>
      <c r="DF137" s="108"/>
      <c r="DG137" s="108"/>
    </row>
    <row r="139" spans="2:111" x14ac:dyDescent="0.25">
      <c r="E139" t="s">
        <v>1027</v>
      </c>
      <c r="G139" s="6" t="s">
        <v>56</v>
      </c>
      <c r="H139" s="204">
        <f>IF(IFERROR(J116, 1) &gt; IFERROR(J115, 0), 0, 1)</f>
        <v>0</v>
      </c>
    </row>
    <row r="141" spans="2:111" x14ac:dyDescent="0.25">
      <c r="E141" t="s">
        <v>281</v>
      </c>
      <c r="G141" s="6" t="s">
        <v>56</v>
      </c>
      <c r="H141" s="204">
        <f t="array" ref="H141">SUM(IF(ISERROR(H20:DE136), 1))</f>
        <v>0</v>
      </c>
    </row>
    <row r="143" spans="2:111" x14ac:dyDescent="0.25">
      <c r="D143"/>
      <c r="E143" s="32" t="s">
        <v>1028</v>
      </c>
      <c r="F143" s="2"/>
    </row>
    <row r="144" spans="2:111" x14ac:dyDescent="0.25">
      <c r="D144"/>
      <c r="E144" s="91"/>
      <c r="F144" s="23" t="s">
        <v>192</v>
      </c>
      <c r="G144" s="23" t="s">
        <v>335</v>
      </c>
      <c r="H144" s="23"/>
      <c r="I144" s="23"/>
      <c r="J144" s="129">
        <f t="shared" ref="J144:AP144" si="51">(J20 + J133) * J29 * ten</f>
        <v>86426260.20844461</v>
      </c>
      <c r="K144" s="129">
        <f t="shared" si="51"/>
        <v>9673727.76702719</v>
      </c>
      <c r="L144" s="129">
        <f t="shared" si="51"/>
        <v>9897039.9938709773</v>
      </c>
      <c r="M144" s="129">
        <f t="shared" si="51"/>
        <v>31161873.697856698</v>
      </c>
      <c r="N144" s="129">
        <f t="shared" si="51"/>
        <v>5961753.5187289417</v>
      </c>
      <c r="O144" s="129">
        <f t="shared" si="51"/>
        <v>635706.42018059269</v>
      </c>
      <c r="P144" s="129">
        <f t="shared" si="51"/>
        <v>1075360.2946462631</v>
      </c>
      <c r="Q144" s="129">
        <f t="shared" si="51"/>
        <v>0</v>
      </c>
      <c r="R144" s="129">
        <f t="shared" si="51"/>
        <v>12435.246896146307</v>
      </c>
      <c r="S144" s="129">
        <f t="shared" si="51"/>
        <v>5817.9102069105356</v>
      </c>
      <c r="T144" s="129">
        <f t="shared" si="51"/>
        <v>911698.95109544229</v>
      </c>
      <c r="U144" s="129">
        <f t="shared" si="51"/>
        <v>13952961.149333984</v>
      </c>
      <c r="V144" s="129">
        <f t="shared" si="51"/>
        <v>624297.54409236577</v>
      </c>
      <c r="W144" s="129">
        <f t="shared" si="51"/>
        <v>3598664.7326639108</v>
      </c>
      <c r="X144" s="129">
        <f t="shared" si="51"/>
        <v>672566.3974380634</v>
      </c>
      <c r="Y144" s="129">
        <f t="shared" si="51"/>
        <v>836686.895401316</v>
      </c>
      <c r="Z144" s="129">
        <f t="shared" si="51"/>
        <v>200977.72949516089</v>
      </c>
      <c r="AA144" s="129">
        <f t="shared" si="51"/>
        <v>2105.4408316783597</v>
      </c>
      <c r="AB144" s="129">
        <f t="shared" si="51"/>
        <v>920286.08405747893</v>
      </c>
      <c r="AC144" s="129">
        <f t="shared" si="51"/>
        <v>-82348.995317959707</v>
      </c>
      <c r="AD144" s="129">
        <f t="shared" si="51"/>
        <v>0</v>
      </c>
      <c r="AE144" s="129">
        <f t="shared" si="51"/>
        <v>-4613837.0748891681</v>
      </c>
      <c r="AF144" s="129">
        <f t="shared" si="51"/>
        <v>0</v>
      </c>
      <c r="AG144" s="129">
        <f t="shared" si="51"/>
        <v>-348049.45679772442</v>
      </c>
      <c r="AH144" s="129">
        <f t="shared" si="51"/>
        <v>0</v>
      </c>
      <c r="AI144" s="129">
        <f t="shared" si="51"/>
        <v>-40484.177484711239</v>
      </c>
      <c r="AJ144" s="129">
        <f t="shared" si="51"/>
        <v>0</v>
      </c>
      <c r="AK144" s="129">
        <f t="shared" si="51"/>
        <v>0</v>
      </c>
      <c r="AL144" s="129">
        <f t="shared" si="51"/>
        <v>0</v>
      </c>
      <c r="AM144" s="129">
        <f t="shared" si="51"/>
        <v>-4023257.7946615219</v>
      </c>
      <c r="AN144" s="129">
        <f t="shared" si="51"/>
        <v>0</v>
      </c>
      <c r="AO144" s="129">
        <f t="shared" si="51"/>
        <v>-3091674.535908578</v>
      </c>
      <c r="AP144" s="129">
        <f t="shared" si="51"/>
        <v>0</v>
      </c>
    </row>
    <row r="145" spans="2:111" x14ac:dyDescent="0.25">
      <c r="D145"/>
      <c r="E145" s="91"/>
      <c r="F145" t="s">
        <v>193</v>
      </c>
      <c r="G145" t="s">
        <v>335</v>
      </c>
      <c r="J145" s="101">
        <f t="shared" ref="J145:AP145" si="52">(J21 + J134) * J30 * ten</f>
        <v>0</v>
      </c>
      <c r="K145" s="101">
        <f t="shared" si="52"/>
        <v>4813391.7268069191</v>
      </c>
      <c r="L145" s="101">
        <f t="shared" si="52"/>
        <v>0</v>
      </c>
      <c r="M145" s="101">
        <f t="shared" si="52"/>
        <v>0</v>
      </c>
      <c r="N145" s="101">
        <f t="shared" si="52"/>
        <v>1831403.7989634508</v>
      </c>
      <c r="O145" s="101">
        <f t="shared" si="52"/>
        <v>0</v>
      </c>
      <c r="P145" s="101">
        <f t="shared" si="52"/>
        <v>219117.10371667982</v>
      </c>
      <c r="Q145" s="101">
        <f t="shared" si="52"/>
        <v>0</v>
      </c>
      <c r="R145" s="101">
        <f t="shared" si="52"/>
        <v>4659.6162564947044</v>
      </c>
      <c r="S145" s="101">
        <f t="shared" si="52"/>
        <v>3981.0780419082944</v>
      </c>
      <c r="T145" s="101">
        <f t="shared" si="52"/>
        <v>1189325.4216923492</v>
      </c>
      <c r="U145" s="101">
        <f t="shared" si="52"/>
        <v>20529013.457879044</v>
      </c>
      <c r="V145" s="101">
        <f t="shared" si="52"/>
        <v>1155552.9433249328</v>
      </c>
      <c r="W145" s="101">
        <f t="shared" si="52"/>
        <v>7929490.2060034871</v>
      </c>
      <c r="X145" s="101">
        <f t="shared" si="52"/>
        <v>0</v>
      </c>
      <c r="Y145" s="101">
        <f t="shared" si="52"/>
        <v>0</v>
      </c>
      <c r="Z145" s="101">
        <f t="shared" si="52"/>
        <v>0</v>
      </c>
      <c r="AA145" s="101">
        <f t="shared" si="52"/>
        <v>0</v>
      </c>
      <c r="AB145" s="101">
        <f t="shared" si="52"/>
        <v>747089.26810348162</v>
      </c>
      <c r="AC145" s="101">
        <f t="shared" si="52"/>
        <v>0</v>
      </c>
      <c r="AD145" s="101">
        <f t="shared" si="52"/>
        <v>0</v>
      </c>
      <c r="AE145" s="101">
        <f t="shared" si="52"/>
        <v>0</v>
      </c>
      <c r="AF145" s="101">
        <f t="shared" si="52"/>
        <v>0</v>
      </c>
      <c r="AG145" s="101">
        <f t="shared" si="52"/>
        <v>-233858.2551135454</v>
      </c>
      <c r="AH145" s="101">
        <f t="shared" si="52"/>
        <v>0</v>
      </c>
      <c r="AI145" s="101">
        <f t="shared" si="52"/>
        <v>0</v>
      </c>
      <c r="AJ145" s="101">
        <f t="shared" si="52"/>
        <v>0</v>
      </c>
      <c r="AK145" s="101">
        <f t="shared" si="52"/>
        <v>0</v>
      </c>
      <c r="AL145" s="101">
        <f t="shared" si="52"/>
        <v>0</v>
      </c>
      <c r="AM145" s="101">
        <f t="shared" si="52"/>
        <v>0</v>
      </c>
      <c r="AN145" s="101">
        <f t="shared" si="52"/>
        <v>0</v>
      </c>
      <c r="AO145" s="101">
        <f t="shared" si="52"/>
        <v>-1889988.4058887791</v>
      </c>
      <c r="AP145" s="101">
        <f t="shared" si="52"/>
        <v>0</v>
      </c>
    </row>
    <row r="146" spans="2:111" x14ac:dyDescent="0.25">
      <c r="D146"/>
      <c r="E146" s="91"/>
      <c r="F146" t="s">
        <v>194</v>
      </c>
      <c r="G146" t="s">
        <v>335</v>
      </c>
      <c r="J146" s="101">
        <f t="shared" ref="J146:AP146" si="53">(J22 + J135) * J31 * ten</f>
        <v>0</v>
      </c>
      <c r="K146" s="101">
        <f t="shared" si="53"/>
        <v>0</v>
      </c>
      <c r="L146" s="101">
        <f t="shared" si="53"/>
        <v>0</v>
      </c>
      <c r="M146" s="101">
        <f t="shared" si="53"/>
        <v>0</v>
      </c>
      <c r="N146" s="101">
        <f t="shared" si="53"/>
        <v>0</v>
      </c>
      <c r="O146" s="101">
        <f t="shared" si="53"/>
        <v>0</v>
      </c>
      <c r="P146" s="101">
        <f t="shared" si="53"/>
        <v>0</v>
      </c>
      <c r="Q146" s="101">
        <f t="shared" si="53"/>
        <v>0</v>
      </c>
      <c r="R146" s="101">
        <f t="shared" si="53"/>
        <v>0</v>
      </c>
      <c r="S146" s="101">
        <f t="shared" si="53"/>
        <v>3556.1823263025462</v>
      </c>
      <c r="T146" s="101">
        <f t="shared" si="53"/>
        <v>602034.21425714565</v>
      </c>
      <c r="U146" s="101">
        <f t="shared" si="53"/>
        <v>12165449.064404063</v>
      </c>
      <c r="V146" s="101">
        <f t="shared" si="53"/>
        <v>1004884.0756209586</v>
      </c>
      <c r="W146" s="101">
        <f t="shared" si="53"/>
        <v>6627210.0359561117</v>
      </c>
      <c r="X146" s="101">
        <f t="shared" si="53"/>
        <v>0</v>
      </c>
      <c r="Y146" s="101">
        <f t="shared" si="53"/>
        <v>0</v>
      </c>
      <c r="Z146" s="101">
        <f t="shared" si="53"/>
        <v>0</v>
      </c>
      <c r="AA146" s="101">
        <f t="shared" si="53"/>
        <v>0</v>
      </c>
      <c r="AB146" s="101">
        <f t="shared" si="53"/>
        <v>2419897.7652555103</v>
      </c>
      <c r="AC146" s="101">
        <f t="shared" si="53"/>
        <v>0</v>
      </c>
      <c r="AD146" s="101">
        <f t="shared" si="53"/>
        <v>0</v>
      </c>
      <c r="AE146" s="101">
        <f t="shared" si="53"/>
        <v>0</v>
      </c>
      <c r="AF146" s="101">
        <f t="shared" si="53"/>
        <v>0</v>
      </c>
      <c r="AG146" s="101">
        <f t="shared" si="53"/>
        <v>-125709.67931296414</v>
      </c>
      <c r="AH146" s="101">
        <f t="shared" si="53"/>
        <v>0</v>
      </c>
      <c r="AI146" s="101">
        <f t="shared" si="53"/>
        <v>0</v>
      </c>
      <c r="AJ146" s="101">
        <f t="shared" si="53"/>
        <v>0</v>
      </c>
      <c r="AK146" s="101">
        <f t="shared" si="53"/>
        <v>0</v>
      </c>
      <c r="AL146" s="101">
        <f t="shared" si="53"/>
        <v>0</v>
      </c>
      <c r="AM146" s="101">
        <f t="shared" si="53"/>
        <v>0</v>
      </c>
      <c r="AN146" s="101">
        <f t="shared" si="53"/>
        <v>0</v>
      </c>
      <c r="AO146" s="101">
        <f t="shared" si="53"/>
        <v>-827525.71426354488</v>
      </c>
      <c r="AP146" s="101">
        <f t="shared" si="53"/>
        <v>0</v>
      </c>
    </row>
    <row r="147" spans="2:111" x14ac:dyDescent="0.25">
      <c r="D147"/>
      <c r="E147" s="91"/>
      <c r="F147" t="s">
        <v>195</v>
      </c>
      <c r="G147" t="s">
        <v>335</v>
      </c>
      <c r="J147" s="101">
        <f t="shared" ref="J147:AP147" si="54">J32 * J23 * days_in_year / hundred</f>
        <v>15892520.362898136</v>
      </c>
      <c r="K147" s="101">
        <f t="shared" si="54"/>
        <v>1529056.6899121534</v>
      </c>
      <c r="L147" s="101">
        <f t="shared" si="54"/>
        <v>0</v>
      </c>
      <c r="M147" s="101">
        <f t="shared" si="54"/>
        <v>2149092.085099488</v>
      </c>
      <c r="N147" s="101">
        <f t="shared" si="54"/>
        <v>350673.61248764471</v>
      </c>
      <c r="O147" s="101">
        <f t="shared" si="54"/>
        <v>0</v>
      </c>
      <c r="P147" s="101">
        <f t="shared" si="54"/>
        <v>122714.73742453899</v>
      </c>
      <c r="Q147" s="101">
        <f t="shared" si="54"/>
        <v>0</v>
      </c>
      <c r="R147" s="101">
        <f t="shared" si="54"/>
        <v>9136.1864886566418</v>
      </c>
      <c r="S147" s="101">
        <f t="shared" si="54"/>
        <v>1774.6904373504447</v>
      </c>
      <c r="T147" s="101">
        <f t="shared" si="54"/>
        <v>33679.813475440576</v>
      </c>
      <c r="U147" s="101">
        <f t="shared" si="54"/>
        <v>656040.70121827419</v>
      </c>
      <c r="V147" s="101">
        <f t="shared" si="54"/>
        <v>16811.057348886967</v>
      </c>
      <c r="W147" s="101">
        <f t="shared" si="54"/>
        <v>788529.38201225665</v>
      </c>
      <c r="X147" s="101">
        <f t="shared" si="54"/>
        <v>0</v>
      </c>
      <c r="Y147" s="101">
        <f t="shared" si="54"/>
        <v>0</v>
      </c>
      <c r="Z147" s="101">
        <f t="shared" si="54"/>
        <v>0</v>
      </c>
      <c r="AA147" s="101">
        <f t="shared" si="54"/>
        <v>0</v>
      </c>
      <c r="AB147" s="101">
        <f t="shared" si="54"/>
        <v>0</v>
      </c>
      <c r="AC147" s="101">
        <f t="shared" si="54"/>
        <v>0</v>
      </c>
      <c r="AD147" s="101">
        <f t="shared" si="54"/>
        <v>0</v>
      </c>
      <c r="AE147" s="101">
        <f t="shared" si="54"/>
        <v>0</v>
      </c>
      <c r="AF147" s="101">
        <f t="shared" si="54"/>
        <v>0</v>
      </c>
      <c r="AG147" s="101">
        <f t="shared" si="54"/>
        <v>0</v>
      </c>
      <c r="AH147" s="101">
        <f t="shared" si="54"/>
        <v>0</v>
      </c>
      <c r="AI147" s="101">
        <f t="shared" si="54"/>
        <v>0</v>
      </c>
      <c r="AJ147" s="101">
        <f t="shared" si="54"/>
        <v>0</v>
      </c>
      <c r="AK147" s="101">
        <f t="shared" si="54"/>
        <v>0</v>
      </c>
      <c r="AL147" s="101">
        <f t="shared" si="54"/>
        <v>0</v>
      </c>
      <c r="AM147" s="101">
        <f t="shared" si="54"/>
        <v>443378.76160703006</v>
      </c>
      <c r="AN147" s="101">
        <f t="shared" si="54"/>
        <v>0</v>
      </c>
      <c r="AO147" s="101">
        <f t="shared" si="54"/>
        <v>151323.80942219455</v>
      </c>
      <c r="AP147" s="101">
        <f t="shared" si="54"/>
        <v>0</v>
      </c>
    </row>
    <row r="148" spans="2:111" x14ac:dyDescent="0.25">
      <c r="D148"/>
      <c r="E148" s="91"/>
      <c r="F148" t="s">
        <v>196</v>
      </c>
      <c r="G148" t="s">
        <v>335</v>
      </c>
      <c r="J148" s="101">
        <f t="shared" ref="J148:AP148" si="55">J33 * J24 * days_in_year / hundred</f>
        <v>0</v>
      </c>
      <c r="K148" s="101">
        <f t="shared" si="55"/>
        <v>0</v>
      </c>
      <c r="L148" s="101">
        <f t="shared" si="55"/>
        <v>0</v>
      </c>
      <c r="M148" s="101">
        <f t="shared" si="55"/>
        <v>0</v>
      </c>
      <c r="N148" s="101">
        <f t="shared" si="55"/>
        <v>0</v>
      </c>
      <c r="O148" s="101">
        <f t="shared" si="55"/>
        <v>0</v>
      </c>
      <c r="P148" s="101">
        <f t="shared" si="55"/>
        <v>0</v>
      </c>
      <c r="Q148" s="101">
        <f t="shared" si="55"/>
        <v>0</v>
      </c>
      <c r="R148" s="101">
        <f t="shared" si="55"/>
        <v>0</v>
      </c>
      <c r="S148" s="101">
        <f t="shared" si="55"/>
        <v>0</v>
      </c>
      <c r="T148" s="101">
        <f t="shared" si="55"/>
        <v>0</v>
      </c>
      <c r="U148" s="101">
        <f t="shared" si="55"/>
        <v>15033448.672526265</v>
      </c>
      <c r="V148" s="101">
        <f t="shared" si="55"/>
        <v>905772.75431728258</v>
      </c>
      <c r="W148" s="101">
        <f t="shared" si="55"/>
        <v>15983588.544354454</v>
      </c>
      <c r="X148" s="101">
        <f t="shared" si="55"/>
        <v>0</v>
      </c>
      <c r="Y148" s="101">
        <f t="shared" si="55"/>
        <v>0</v>
      </c>
      <c r="Z148" s="101">
        <f t="shared" si="55"/>
        <v>0</v>
      </c>
      <c r="AA148" s="101">
        <f t="shared" si="55"/>
        <v>0</v>
      </c>
      <c r="AB148" s="101">
        <f t="shared" si="55"/>
        <v>0</v>
      </c>
      <c r="AC148" s="101">
        <f t="shared" si="55"/>
        <v>0</v>
      </c>
      <c r="AD148" s="101">
        <f t="shared" si="55"/>
        <v>0</v>
      </c>
      <c r="AE148" s="101">
        <f t="shared" si="55"/>
        <v>0</v>
      </c>
      <c r="AF148" s="101">
        <f t="shared" si="55"/>
        <v>0</v>
      </c>
      <c r="AG148" s="101">
        <f t="shared" si="55"/>
        <v>0</v>
      </c>
      <c r="AH148" s="101">
        <f t="shared" si="55"/>
        <v>0</v>
      </c>
      <c r="AI148" s="101">
        <f t="shared" si="55"/>
        <v>0</v>
      </c>
      <c r="AJ148" s="101">
        <f t="shared" si="55"/>
        <v>0</v>
      </c>
      <c r="AK148" s="101">
        <f t="shared" si="55"/>
        <v>0</v>
      </c>
      <c r="AL148" s="101">
        <f t="shared" si="55"/>
        <v>0</v>
      </c>
      <c r="AM148" s="101">
        <f t="shared" si="55"/>
        <v>0</v>
      </c>
      <c r="AN148" s="101">
        <f t="shared" si="55"/>
        <v>0</v>
      </c>
      <c r="AO148" s="101">
        <f t="shared" si="55"/>
        <v>0</v>
      </c>
      <c r="AP148" s="101">
        <f t="shared" si="55"/>
        <v>0</v>
      </c>
    </row>
    <row r="149" spans="2:111" x14ac:dyDescent="0.25">
      <c r="D149"/>
      <c r="E149" s="91"/>
      <c r="F149" t="s">
        <v>197</v>
      </c>
      <c r="G149" t="s">
        <v>335</v>
      </c>
      <c r="J149" s="101">
        <f t="shared" ref="J149:AP149" si="56">J34 * J25 * days_in_year / hundred</f>
        <v>0</v>
      </c>
      <c r="K149" s="101">
        <f t="shared" si="56"/>
        <v>0</v>
      </c>
      <c r="L149" s="101">
        <f t="shared" si="56"/>
        <v>0</v>
      </c>
      <c r="M149" s="101">
        <f t="shared" si="56"/>
        <v>0</v>
      </c>
      <c r="N149" s="101">
        <f t="shared" si="56"/>
        <v>0</v>
      </c>
      <c r="O149" s="101">
        <f t="shared" si="56"/>
        <v>0</v>
      </c>
      <c r="P149" s="101">
        <f t="shared" si="56"/>
        <v>0</v>
      </c>
      <c r="Q149" s="101">
        <f t="shared" si="56"/>
        <v>0</v>
      </c>
      <c r="R149" s="101">
        <f t="shared" si="56"/>
        <v>0</v>
      </c>
      <c r="S149" s="101">
        <f t="shared" si="56"/>
        <v>0</v>
      </c>
      <c r="T149" s="101">
        <f t="shared" si="56"/>
        <v>0</v>
      </c>
      <c r="U149" s="101">
        <f t="shared" si="56"/>
        <v>633908.90714027081</v>
      </c>
      <c r="V149" s="101">
        <f t="shared" si="56"/>
        <v>48887.996575761448</v>
      </c>
      <c r="W149" s="101">
        <f t="shared" si="56"/>
        <v>501771.12547858647</v>
      </c>
      <c r="X149" s="101">
        <f t="shared" si="56"/>
        <v>0</v>
      </c>
      <c r="Y149" s="101">
        <f t="shared" si="56"/>
        <v>0</v>
      </c>
      <c r="Z149" s="101">
        <f t="shared" si="56"/>
        <v>0</v>
      </c>
      <c r="AA149" s="101">
        <f t="shared" si="56"/>
        <v>0</v>
      </c>
      <c r="AB149" s="101">
        <f t="shared" si="56"/>
        <v>0</v>
      </c>
      <c r="AC149" s="101">
        <f t="shared" si="56"/>
        <v>0</v>
      </c>
      <c r="AD149" s="101">
        <f t="shared" si="56"/>
        <v>0</v>
      </c>
      <c r="AE149" s="101">
        <f t="shared" si="56"/>
        <v>0</v>
      </c>
      <c r="AF149" s="101">
        <f t="shared" si="56"/>
        <v>0</v>
      </c>
      <c r="AG149" s="101">
        <f t="shared" si="56"/>
        <v>0</v>
      </c>
      <c r="AH149" s="101">
        <f t="shared" si="56"/>
        <v>0</v>
      </c>
      <c r="AI149" s="101">
        <f t="shared" si="56"/>
        <v>0</v>
      </c>
      <c r="AJ149" s="101">
        <f t="shared" si="56"/>
        <v>0</v>
      </c>
      <c r="AK149" s="101">
        <f t="shared" si="56"/>
        <v>0</v>
      </c>
      <c r="AL149" s="101">
        <f t="shared" si="56"/>
        <v>0</v>
      </c>
      <c r="AM149" s="101">
        <f t="shared" si="56"/>
        <v>0</v>
      </c>
      <c r="AN149" s="101">
        <f t="shared" si="56"/>
        <v>0</v>
      </c>
      <c r="AO149" s="101">
        <f t="shared" si="56"/>
        <v>0</v>
      </c>
      <c r="AP149" s="101">
        <f t="shared" si="56"/>
        <v>0</v>
      </c>
    </row>
    <row r="150" spans="2:111" x14ac:dyDescent="0.25">
      <c r="D150"/>
      <c r="E150" s="91"/>
      <c r="F150" s="37" t="s">
        <v>198</v>
      </c>
      <c r="G150" s="37" t="s">
        <v>335</v>
      </c>
      <c r="H150" s="37"/>
      <c r="I150" s="37"/>
      <c r="J150" s="103">
        <f t="shared" ref="J150:AP150" si="57">J35 * thousand * J26 / hundred</f>
        <v>0</v>
      </c>
      <c r="K150" s="103">
        <f t="shared" si="57"/>
        <v>0</v>
      </c>
      <c r="L150" s="103">
        <f t="shared" si="57"/>
        <v>0</v>
      </c>
      <c r="M150" s="103">
        <f t="shared" si="57"/>
        <v>0</v>
      </c>
      <c r="N150" s="103">
        <f t="shared" si="57"/>
        <v>0</v>
      </c>
      <c r="O150" s="103">
        <f t="shared" si="57"/>
        <v>0</v>
      </c>
      <c r="P150" s="103">
        <f t="shared" si="57"/>
        <v>0</v>
      </c>
      <c r="Q150" s="103">
        <f t="shared" si="57"/>
        <v>0</v>
      </c>
      <c r="R150" s="103">
        <f t="shared" si="57"/>
        <v>0</v>
      </c>
      <c r="S150" s="103">
        <f t="shared" si="57"/>
        <v>0</v>
      </c>
      <c r="T150" s="103">
        <f t="shared" si="57"/>
        <v>0</v>
      </c>
      <c r="U150" s="103">
        <f t="shared" si="57"/>
        <v>369609.82614868163</v>
      </c>
      <c r="V150" s="103">
        <f t="shared" si="57"/>
        <v>11479.459900687878</v>
      </c>
      <c r="W150" s="103">
        <f t="shared" si="57"/>
        <v>145646.11168879402</v>
      </c>
      <c r="X150" s="103">
        <f t="shared" si="57"/>
        <v>0</v>
      </c>
      <c r="Y150" s="103">
        <f t="shared" si="57"/>
        <v>0</v>
      </c>
      <c r="Z150" s="103">
        <f t="shared" si="57"/>
        <v>0</v>
      </c>
      <c r="AA150" s="103">
        <f t="shared" si="57"/>
        <v>0</v>
      </c>
      <c r="AB150" s="103">
        <f t="shared" si="57"/>
        <v>0</v>
      </c>
      <c r="AC150" s="103">
        <f t="shared" si="57"/>
        <v>0</v>
      </c>
      <c r="AD150" s="103">
        <f t="shared" si="57"/>
        <v>0</v>
      </c>
      <c r="AE150" s="103">
        <f t="shared" si="57"/>
        <v>31960.49792720499</v>
      </c>
      <c r="AF150" s="103">
        <f t="shared" si="57"/>
        <v>0</v>
      </c>
      <c r="AG150" s="103">
        <f t="shared" si="57"/>
        <v>3511.8884541279481</v>
      </c>
      <c r="AH150" s="103">
        <f t="shared" si="57"/>
        <v>0</v>
      </c>
      <c r="AI150" s="103">
        <f t="shared" si="57"/>
        <v>0</v>
      </c>
      <c r="AJ150" s="103">
        <f t="shared" si="57"/>
        <v>0</v>
      </c>
      <c r="AK150" s="103">
        <f t="shared" si="57"/>
        <v>0</v>
      </c>
      <c r="AL150" s="103">
        <f t="shared" si="57"/>
        <v>0</v>
      </c>
      <c r="AM150" s="103">
        <f t="shared" si="57"/>
        <v>53165.400498662406</v>
      </c>
      <c r="AN150" s="103">
        <f t="shared" si="57"/>
        <v>0</v>
      </c>
      <c r="AO150" s="103">
        <f t="shared" si="57"/>
        <v>14100.052706818497</v>
      </c>
      <c r="AP150" s="103">
        <f t="shared" si="57"/>
        <v>0</v>
      </c>
    </row>
    <row r="152" spans="2:111" x14ac:dyDescent="0.25">
      <c r="E152" t="s">
        <v>1029</v>
      </c>
      <c r="G152" t="s">
        <v>335</v>
      </c>
      <c r="H152" s="92">
        <f>SUM(J144:AP150)</f>
        <v>268421124.97878769</v>
      </c>
    </row>
    <row r="154" spans="2:111" x14ac:dyDescent="0.25">
      <c r="E154" t="s">
        <v>1030</v>
      </c>
      <c r="G154" t="s">
        <v>56</v>
      </c>
      <c r="H154" s="204">
        <f>IF(ABS(IFERROR(H152, 0) - H37) &lt; 10^-check_decimals, 0, 1)</f>
        <v>0</v>
      </c>
    </row>
    <row r="156" spans="2:111" x14ac:dyDescent="0.25">
      <c r="E156" t="s">
        <v>1031</v>
      </c>
      <c r="G156" s="6" t="s">
        <v>56</v>
      </c>
      <c r="H156" s="106">
        <f>H139 + H141 + H154</f>
        <v>0</v>
      </c>
    </row>
    <row r="158" spans="2:111" x14ac:dyDescent="0.25">
      <c r="B158" s="30" t="s">
        <v>107</v>
      </c>
      <c r="C158" s="30"/>
      <c r="D158" s="30"/>
      <c r="E158" s="30"/>
      <c r="F158" s="30"/>
      <c r="G158" s="30"/>
      <c r="H158" s="30"/>
      <c r="I158" s="30"/>
      <c r="J158" s="30"/>
      <c r="K158" s="30"/>
      <c r="L158" s="30"/>
      <c r="M158" s="30"/>
      <c r="N158" s="30"/>
      <c r="O158" s="30"/>
      <c r="P158" s="30"/>
      <c r="Q158" s="30"/>
      <c r="R158" s="30"/>
      <c r="S158" s="30"/>
      <c r="T158" s="30"/>
      <c r="U158" s="30"/>
      <c r="V158" s="30"/>
      <c r="W158" s="30"/>
      <c r="X158" s="30"/>
      <c r="Y158" s="30"/>
      <c r="Z158" s="30"/>
      <c r="AA158" s="30"/>
      <c r="AB158" s="30"/>
      <c r="AC158" s="30"/>
      <c r="AD158" s="30"/>
      <c r="AE158" s="30"/>
      <c r="AF158" s="30"/>
      <c r="AG158" s="30"/>
      <c r="AH158" s="30"/>
      <c r="AI158" s="30"/>
      <c r="AJ158" s="30"/>
      <c r="AK158" s="30"/>
      <c r="AL158" s="30"/>
      <c r="AM158" s="30"/>
      <c r="AN158" s="30"/>
      <c r="AO158" s="30"/>
      <c r="AP158" s="30"/>
      <c r="AQ158" s="30"/>
      <c r="AR158" s="30"/>
      <c r="AS158" s="108"/>
      <c r="AT158" s="108"/>
      <c r="AU158" s="108"/>
      <c r="AV158" s="108"/>
      <c r="AW158" s="108"/>
      <c r="AX158" s="108"/>
      <c r="AY158" s="108"/>
      <c r="AZ158" s="108"/>
      <c r="BA158" s="108"/>
      <c r="BB158" s="108"/>
      <c r="BC158" s="108"/>
      <c r="BD158" s="108"/>
      <c r="BE158" s="108"/>
      <c r="BF158" s="108"/>
      <c r="BG158" s="108"/>
      <c r="BH158" s="108"/>
      <c r="BI158" s="108"/>
      <c r="BJ158" s="108"/>
      <c r="BK158" s="108"/>
      <c r="BL158" s="108"/>
      <c r="BM158" s="108"/>
      <c r="BN158" s="108"/>
      <c r="BO158" s="108"/>
      <c r="BP158" s="108"/>
      <c r="BQ158" s="108"/>
      <c r="BR158" s="108"/>
      <c r="BS158" s="108"/>
      <c r="BT158" s="108"/>
      <c r="BU158" s="108"/>
      <c r="BV158" s="108"/>
      <c r="BW158" s="108"/>
      <c r="BX158" s="108"/>
      <c r="BY158" s="108"/>
      <c r="BZ158" s="108"/>
      <c r="CA158" s="108"/>
      <c r="CB158" s="108"/>
      <c r="CC158" s="108"/>
      <c r="CD158" s="108"/>
      <c r="CE158" s="108"/>
      <c r="CF158" s="108"/>
      <c r="CG158" s="108"/>
      <c r="CH158" s="108"/>
      <c r="CI158" s="108"/>
      <c r="CJ158" s="108"/>
      <c r="CK158" s="108"/>
      <c r="CL158" s="108"/>
      <c r="CM158" s="108"/>
      <c r="CN158" s="108"/>
      <c r="CO158" s="108"/>
      <c r="CP158" s="108"/>
      <c r="CQ158" s="108"/>
      <c r="CR158" s="108"/>
      <c r="CS158" s="108"/>
      <c r="CT158" s="108"/>
      <c r="CU158" s="108"/>
      <c r="CV158" s="108"/>
      <c r="CW158" s="108"/>
      <c r="CX158" s="108"/>
      <c r="CY158" s="108"/>
      <c r="CZ158" s="108"/>
      <c r="DA158" s="108"/>
      <c r="DB158" s="108"/>
      <c r="DC158" s="108"/>
      <c r="DD158" s="108"/>
      <c r="DE158" s="108"/>
      <c r="DF158" s="108"/>
      <c r="DG158" s="108"/>
    </row>
  </sheetData>
  <sheetProtection sheet="1" objects="1" formatCells="0" formatColumns="0" formatRows="0" sort="0" autoFilter="0"/>
  <conditionalFormatting sqref="H141">
    <cfRule type="cellIs" dxfId="12" priority="5" operator="greaterThan">
      <formula>0</formula>
    </cfRule>
  </conditionalFormatting>
  <conditionalFormatting sqref="H154">
    <cfRule type="cellIs" dxfId="11" priority="4" operator="greaterThan">
      <formula>0</formula>
    </cfRule>
  </conditionalFormatting>
  <conditionalFormatting sqref="H156">
    <cfRule type="cellIs" dxfId="10" priority="3" operator="greaterThan">
      <formula>0</formula>
    </cfRule>
  </conditionalFormatting>
  <conditionalFormatting sqref="H139">
    <cfRule type="cellIs" dxfId="9" priority="2" operator="greaterThan">
      <formula>0</formula>
    </cfRule>
  </conditionalFormatting>
  <conditionalFormatting sqref="A4:XFD4">
    <cfRule type="expression" dxfId="8"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tabColor theme="4" tint="0.59999389629810485"/>
    <pageSetUpPr fitToPage="1"/>
  </sheetPr>
  <dimension ref="A1:KO11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46" width="24.5703125" hidden="1" customWidth="1"/>
    <col min="47" max="47" width="3.5703125" hidden="1" customWidth="1"/>
    <col min="48" max="48" width="15.42578125" hidden="1" customWidth="1"/>
    <col min="49" max="301" width="24.5703125" hidden="1" customWidth="1"/>
    <col min="302" max="16384" width="8.5703125" hidden="1"/>
  </cols>
  <sheetData>
    <row r="1" spans="1:44" s="1" customFormat="1" x14ac:dyDescent="0.25">
      <c r="A1" s="1" t="str">
        <f ca="1">MID(CELL("filename",A1),FIND("]",CELL("filename",A1))+1,255)</f>
        <v>Rounding</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H117 &amp; IF(H117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1032</v>
      </c>
      <c r="E9"/>
    </row>
    <row r="10" spans="1:44" x14ac:dyDescent="0.25">
      <c r="C10" s="29" t="s">
        <v>1033</v>
      </c>
      <c r="E10"/>
    </row>
    <row r="12" spans="1:44" x14ac:dyDescent="0.25">
      <c r="B12" s="30" t="s">
        <v>1034</v>
      </c>
      <c r="C12" s="30"/>
      <c r="D12" s="30"/>
      <c r="E12" s="30"/>
      <c r="F12" s="30"/>
      <c r="G12" s="30"/>
      <c r="H12" s="30"/>
      <c r="I12" s="30"/>
      <c r="J12" s="30"/>
      <c r="K12" s="30"/>
      <c r="L12" s="30"/>
      <c r="M12" s="30"/>
      <c r="N12" s="30"/>
      <c r="O12" s="30"/>
      <c r="P12" s="30"/>
      <c r="Q12" s="30"/>
      <c r="R12" s="30"/>
      <c r="S12" s="30"/>
      <c r="T12" s="30"/>
      <c r="U12" s="30"/>
      <c r="V12" s="30"/>
      <c r="W12" s="30"/>
      <c r="X12" s="30"/>
      <c r="Y12" s="30"/>
      <c r="Z12" s="30"/>
      <c r="AA12" s="30"/>
      <c r="AB12" s="30"/>
      <c r="AC12" s="30"/>
      <c r="AD12" s="30"/>
      <c r="AE12" s="30"/>
      <c r="AF12" s="30"/>
      <c r="AG12" s="30"/>
      <c r="AH12" s="30"/>
      <c r="AI12" s="30"/>
      <c r="AJ12" s="30"/>
      <c r="AK12" s="30"/>
      <c r="AL12" s="30"/>
      <c r="AM12" s="30"/>
      <c r="AN12" s="30"/>
      <c r="AO12" s="30"/>
      <c r="AP12" s="30"/>
      <c r="AQ12" s="30"/>
      <c r="AR12" s="30"/>
    </row>
    <row r="14" spans="1:44" x14ac:dyDescent="0.25">
      <c r="C14" s="29" t="s">
        <v>1035</v>
      </c>
    </row>
    <row r="16" spans="1:44" x14ac:dyDescent="0.25">
      <c r="C16" s="31" t="str">
        <f ca="1">INDEX('Version control'!$H$34:$H$56,MATCH($A$1,'Version control'!$F$34:$F$56,0),1)&amp;"-A: Pre-match, pre-rounding tariff forecast"</f>
        <v>Section 116-A: Pre-match, pre-rounding tariff forecast</v>
      </c>
      <c r="D16" s="31"/>
      <c r="E16" s="31"/>
      <c r="F16" s="31"/>
      <c r="G16" s="31"/>
      <c r="H16" s="31"/>
      <c r="I16" s="31"/>
      <c r="J16" s="31"/>
      <c r="K16" s="31"/>
      <c r="L16" s="31"/>
      <c r="M16" s="31"/>
      <c r="N16" s="31"/>
      <c r="O16" s="31"/>
      <c r="P16" s="31"/>
      <c r="Q16" s="31"/>
      <c r="R16" s="31"/>
      <c r="S16" s="31"/>
      <c r="T16" s="31"/>
      <c r="U16" s="31"/>
      <c r="V16" s="31"/>
      <c r="W16" s="31"/>
      <c r="X16" s="31"/>
      <c r="Y16" s="31"/>
      <c r="Z16" s="31"/>
      <c r="AA16" s="31"/>
      <c r="AB16" s="31"/>
      <c r="AC16" s="31"/>
      <c r="AD16" s="31"/>
      <c r="AE16" s="31"/>
      <c r="AF16" s="31"/>
      <c r="AG16" s="31"/>
      <c r="AH16" s="31"/>
      <c r="AI16" s="31"/>
      <c r="AJ16" s="31"/>
      <c r="AK16" s="31"/>
      <c r="AL16" s="31"/>
      <c r="AM16" s="31"/>
      <c r="AN16" s="31"/>
      <c r="AO16" s="31"/>
      <c r="AP16" s="31"/>
      <c r="AQ16" s="31"/>
      <c r="AR16" s="31"/>
    </row>
    <row r="18" spans="3:44" x14ac:dyDescent="0.25">
      <c r="E18" s="32" t="s">
        <v>1036</v>
      </c>
      <c r="F18" s="32"/>
    </row>
    <row r="19" spans="3:44" x14ac:dyDescent="0.25">
      <c r="E19" s="29" t="s">
        <v>1037</v>
      </c>
      <c r="F19" s="2"/>
    </row>
    <row r="20" spans="3:44" x14ac:dyDescent="0.25">
      <c r="C20" s="91"/>
      <c r="F20" s="23" t="s">
        <v>192</v>
      </c>
      <c r="G20" s="23" t="s">
        <v>327</v>
      </c>
      <c r="H20" s="318"/>
      <c r="I20" s="302"/>
      <c r="J20" s="318">
        <f>'Revenue matching'!J20</f>
        <v>2.1812548702806467</v>
      </c>
      <c r="K20" s="318">
        <f>'Revenue matching'!K20</f>
        <v>2.52657420114173</v>
      </c>
      <c r="L20" s="318">
        <f>'Revenue matching'!L20</f>
        <v>0.85754957267127052</v>
      </c>
      <c r="M20" s="318">
        <f>'Revenue matching'!M20</f>
        <v>2.2398015486733498</v>
      </c>
      <c r="N20" s="318">
        <f>'Revenue matching'!N20</f>
        <v>2.4357122429871434</v>
      </c>
      <c r="O20" s="318">
        <f>'Revenue matching'!O20</f>
        <v>0.77709672833130972</v>
      </c>
      <c r="P20" s="318">
        <f>'Revenue matching'!P20</f>
        <v>2.1130558314365118</v>
      </c>
      <c r="Q20" s="318">
        <f>'Revenue matching'!Q20</f>
        <v>1.5437565865293077</v>
      </c>
      <c r="R20" s="318">
        <f>'Revenue matching'!R20</f>
        <v>0.78588931926926087</v>
      </c>
      <c r="S20" s="318">
        <f>'Revenue matching'!S20</f>
        <v>9.2860596177916985</v>
      </c>
      <c r="T20" s="318">
        <f>'Revenue matching'!T20</f>
        <v>10.147472710891583</v>
      </c>
      <c r="U20" s="318">
        <f>'Revenue matching'!U20</f>
        <v>6.8120939588588545</v>
      </c>
      <c r="V20" s="318">
        <f>'Revenue matching'!V20</f>
        <v>4.0192524728674064</v>
      </c>
      <c r="W20" s="318">
        <f>'Revenue matching'!W20</f>
        <v>2.5912776700784232</v>
      </c>
      <c r="X20" s="318">
        <f>'Revenue matching'!X20</f>
        <v>3.2735965599064762</v>
      </c>
      <c r="Y20" s="318">
        <f>'Revenue matching'!Y20</f>
        <v>3.3598921033853024</v>
      </c>
      <c r="Z20" s="318">
        <f>'Revenue matching'!Z20</f>
        <v>4.2265496602454524</v>
      </c>
      <c r="AA20" s="318">
        <f>'Revenue matching'!AA20</f>
        <v>3.2764562377993087</v>
      </c>
      <c r="AB20" s="318">
        <f>'Revenue matching'!AB20</f>
        <v>18.431963873020528</v>
      </c>
      <c r="AC20" s="318">
        <f>'Revenue matching'!AC20</f>
        <v>-1.2841828889894253</v>
      </c>
      <c r="AD20" s="318">
        <f>'Revenue matching'!AD20</f>
        <v>-1.1523156075321794</v>
      </c>
      <c r="AE20" s="318">
        <f>'Revenue matching'!AE20</f>
        <v>-1.2841828889894253</v>
      </c>
      <c r="AF20" s="318">
        <f>'Revenue matching'!AF20</f>
        <v>-1.2841828889894253</v>
      </c>
      <c r="AG20" s="318">
        <f>'Revenue matching'!AG20</f>
        <v>-6.7715623244648135</v>
      </c>
      <c r="AH20" s="318">
        <f>'Revenue matching'!AH20</f>
        <v>-6.7715623244648135</v>
      </c>
      <c r="AI20" s="318">
        <f>'Revenue matching'!AI20</f>
        <v>-1.1523156075321794</v>
      </c>
      <c r="AJ20" s="318">
        <f>'Revenue matching'!AJ20</f>
        <v>-1.1523156075321794</v>
      </c>
      <c r="AK20" s="318">
        <f>'Revenue matching'!AK20</f>
        <v>-6.0880001830517498</v>
      </c>
      <c r="AL20" s="318">
        <f>'Revenue matching'!AL20</f>
        <v>-6.0880001830517498</v>
      </c>
      <c r="AM20" s="318">
        <f>'Revenue matching'!AM20</f>
        <v>-0.61647152195632826</v>
      </c>
      <c r="AN20" s="318">
        <f>'Revenue matching'!AN20</f>
        <v>-0.61647152195632826</v>
      </c>
      <c r="AO20" s="318">
        <f>'Revenue matching'!AO20</f>
        <v>-3.3270697869504446</v>
      </c>
      <c r="AP20" s="318">
        <f>'Revenue matching'!AP20</f>
        <v>-3.3270697869504446</v>
      </c>
      <c r="AQ20" s="304"/>
      <c r="AR20" s="304"/>
    </row>
    <row r="21" spans="3:44" x14ac:dyDescent="0.25">
      <c r="C21" s="91"/>
      <c r="F21" t="s">
        <v>193</v>
      </c>
      <c r="G21" t="s">
        <v>327</v>
      </c>
      <c r="H21" s="319"/>
      <c r="I21" s="304"/>
      <c r="J21" s="319">
        <f>'Revenue matching'!J21</f>
        <v>0</v>
      </c>
      <c r="K21" s="319">
        <f>'Revenue matching'!K21</f>
        <v>0.87428917856668065</v>
      </c>
      <c r="L21" s="319">
        <f>'Revenue matching'!L21</f>
        <v>0</v>
      </c>
      <c r="M21" s="319">
        <f>'Revenue matching'!M21</f>
        <v>0</v>
      </c>
      <c r="N21" s="319">
        <f>'Revenue matching'!N21</f>
        <v>0.74368804964490787</v>
      </c>
      <c r="O21" s="319">
        <f>'Revenue matching'!O21</f>
        <v>0</v>
      </c>
      <c r="P21" s="319">
        <f>'Revenue matching'!P21</f>
        <v>0.70007732172153636</v>
      </c>
      <c r="Q21" s="319">
        <f>'Revenue matching'!Q21</f>
        <v>0.51034324501475914</v>
      </c>
      <c r="R21" s="319">
        <f>'Revenue matching'!R21</f>
        <v>0.24508239849318561</v>
      </c>
      <c r="S21" s="319">
        <f>'Revenue matching'!S21</f>
        <v>1.4297196397962209</v>
      </c>
      <c r="T21" s="319">
        <f>'Revenue matching'!T21</f>
        <v>1.5624117090109557</v>
      </c>
      <c r="U21" s="319">
        <f>'Revenue matching'!U21</f>
        <v>1.0402561060815092</v>
      </c>
      <c r="V21" s="319">
        <f>'Revenue matching'!V21</f>
        <v>0.59300883388133552</v>
      </c>
      <c r="W21" s="319">
        <f>'Revenue matching'!W21</f>
        <v>0.36704350228485144</v>
      </c>
      <c r="X21" s="319">
        <f>'Revenue matching'!X21</f>
        <v>0</v>
      </c>
      <c r="Y21" s="319">
        <f>'Revenue matching'!Y21</f>
        <v>0</v>
      </c>
      <c r="Z21" s="319">
        <f>'Revenue matching'!Z21</f>
        <v>0</v>
      </c>
      <c r="AA21" s="319">
        <f>'Revenue matching'!AA21</f>
        <v>0</v>
      </c>
      <c r="AB21" s="319">
        <f>'Revenue matching'!AB21</f>
        <v>3.2369694985311281</v>
      </c>
      <c r="AC21" s="319">
        <f>'Revenue matching'!AC21</f>
        <v>0</v>
      </c>
      <c r="AD21" s="319">
        <f>'Revenue matching'!AD21</f>
        <v>0</v>
      </c>
      <c r="AE21" s="319">
        <f>'Revenue matching'!AE21</f>
        <v>0</v>
      </c>
      <c r="AF21" s="319">
        <f>'Revenue matching'!AF21</f>
        <v>0</v>
      </c>
      <c r="AG21" s="319">
        <f>'Revenue matching'!AG21</f>
        <v>-1.0426332107186289</v>
      </c>
      <c r="AH21" s="319">
        <f>'Revenue matching'!AH21</f>
        <v>-1.0426332107186289</v>
      </c>
      <c r="AI21" s="319">
        <f>'Revenue matching'!AI21</f>
        <v>0</v>
      </c>
      <c r="AJ21" s="319">
        <f>'Revenue matching'!AJ21</f>
        <v>0</v>
      </c>
      <c r="AK21" s="319">
        <f>'Revenue matching'!AK21</f>
        <v>-0.93407500674127786</v>
      </c>
      <c r="AL21" s="319">
        <f>'Revenue matching'!AL21</f>
        <v>-0.93407500674127786</v>
      </c>
      <c r="AM21" s="319">
        <f>'Revenue matching'!AM21</f>
        <v>0</v>
      </c>
      <c r="AN21" s="319">
        <f>'Revenue matching'!AN21</f>
        <v>0</v>
      </c>
      <c r="AO21" s="319">
        <f>'Revenue matching'!AO21</f>
        <v>-0.49082486830513528</v>
      </c>
      <c r="AP21" s="319">
        <f>'Revenue matching'!AP21</f>
        <v>-0.49082486830513528</v>
      </c>
      <c r="AQ21" s="304"/>
      <c r="AR21" s="304"/>
    </row>
    <row r="22" spans="3:44" x14ac:dyDescent="0.25">
      <c r="C22" s="91"/>
      <c r="F22" t="s">
        <v>194</v>
      </c>
      <c r="G22" t="s">
        <v>327</v>
      </c>
      <c r="H22" s="319"/>
      <c r="I22" s="304"/>
      <c r="J22" s="319">
        <f>'Revenue matching'!J22</f>
        <v>0</v>
      </c>
      <c r="K22" s="319">
        <f>'Revenue matching'!K22</f>
        <v>0</v>
      </c>
      <c r="L22" s="319">
        <f>'Revenue matching'!L22</f>
        <v>0</v>
      </c>
      <c r="M22" s="319">
        <f>'Revenue matching'!M22</f>
        <v>0</v>
      </c>
      <c r="N22" s="319">
        <f>'Revenue matching'!N22</f>
        <v>0</v>
      </c>
      <c r="O22" s="319">
        <f>'Revenue matching'!O22</f>
        <v>0</v>
      </c>
      <c r="P22" s="319">
        <f>'Revenue matching'!P22</f>
        <v>0</v>
      </c>
      <c r="Q22" s="319">
        <f>'Revenue matching'!Q22</f>
        <v>0</v>
      </c>
      <c r="R22" s="319">
        <f>'Revenue matching'!R22</f>
        <v>0</v>
      </c>
      <c r="S22" s="319">
        <f>'Revenue matching'!S22</f>
        <v>0.66940329493843409</v>
      </c>
      <c r="T22" s="319">
        <f>'Revenue matching'!T22</f>
        <v>0.73153374793817616</v>
      </c>
      <c r="U22" s="319">
        <f>'Revenue matching'!U22</f>
        <v>0.48663101438528217</v>
      </c>
      <c r="V22" s="319">
        <f>'Revenue matching'!V22</f>
        <v>0.2763746609613566</v>
      </c>
      <c r="W22" s="319">
        <f>'Revenue matching'!W22</f>
        <v>0.17027445482226455</v>
      </c>
      <c r="X22" s="319">
        <f>'Revenue matching'!X22</f>
        <v>0</v>
      </c>
      <c r="Y22" s="319">
        <f>'Revenue matching'!Y22</f>
        <v>0</v>
      </c>
      <c r="Z22" s="319">
        <f>'Revenue matching'!Z22</f>
        <v>0</v>
      </c>
      <c r="AA22" s="319">
        <f>'Revenue matching'!AA22</f>
        <v>0</v>
      </c>
      <c r="AB22" s="319">
        <f>'Revenue matching'!AB22</f>
        <v>2.3957065733317577</v>
      </c>
      <c r="AC22" s="319">
        <f>'Revenue matching'!AC22</f>
        <v>0</v>
      </c>
      <c r="AD22" s="319">
        <f>'Revenue matching'!AD22</f>
        <v>0</v>
      </c>
      <c r="AE22" s="319">
        <f>'Revenue matching'!AE22</f>
        <v>0</v>
      </c>
      <c r="AF22" s="319">
        <f>'Revenue matching'!AF22</f>
        <v>0</v>
      </c>
      <c r="AG22" s="319">
        <f>'Revenue matching'!AG22</f>
        <v>-0.48816987089385483</v>
      </c>
      <c r="AH22" s="319">
        <f>'Revenue matching'!AH22</f>
        <v>-0.48816987089385483</v>
      </c>
      <c r="AI22" s="319">
        <f>'Revenue matching'!AI22</f>
        <v>0</v>
      </c>
      <c r="AJ22" s="319">
        <f>'Revenue matching'!AJ22</f>
        <v>0</v>
      </c>
      <c r="AK22" s="319">
        <f>'Revenue matching'!AK22</f>
        <v>-0.43717848120950387</v>
      </c>
      <c r="AL22" s="319">
        <f>'Revenue matching'!AL22</f>
        <v>-0.43717848120950387</v>
      </c>
      <c r="AM22" s="319">
        <f>'Revenue matching'!AM22</f>
        <v>0</v>
      </c>
      <c r="AN22" s="319">
        <f>'Revenue matching'!AN22</f>
        <v>0</v>
      </c>
      <c r="AO22" s="319">
        <f>'Revenue matching'!AO22</f>
        <v>-0.22874833921883997</v>
      </c>
      <c r="AP22" s="319">
        <f>'Revenue matching'!AP22</f>
        <v>-0.22874833921883997</v>
      </c>
      <c r="AQ22" s="304"/>
      <c r="AR22" s="304"/>
    </row>
    <row r="23" spans="3:44" x14ac:dyDescent="0.25">
      <c r="C23" s="91"/>
      <c r="F23" t="s">
        <v>195</v>
      </c>
      <c r="G23" t="s">
        <v>328</v>
      </c>
      <c r="H23" s="51"/>
      <c r="J23" s="123">
        <f>'Revenue matching'!J23</f>
        <v>6.7190234897470793</v>
      </c>
      <c r="K23" s="123">
        <f>'Revenue matching'!K23</f>
        <v>6.7190234897470793</v>
      </c>
      <c r="L23" s="123">
        <f>'Revenue matching'!L23</f>
        <v>0</v>
      </c>
      <c r="M23" s="123">
        <f>'Revenue matching'!M23</f>
        <v>9.4927277702556907</v>
      </c>
      <c r="N23" s="123">
        <f>'Revenue matching'!N23</f>
        <v>9.4927277702556907</v>
      </c>
      <c r="O23" s="123">
        <f>'Revenue matching'!O23</f>
        <v>0</v>
      </c>
      <c r="P23" s="123">
        <f>'Revenue matching'!P23</f>
        <v>82.380657371582515</v>
      </c>
      <c r="Q23" s="123">
        <f>'Revenue matching'!Q23</f>
        <v>50.973932528541532</v>
      </c>
      <c r="R23" s="123">
        <f>'Revenue matching'!R23</f>
        <v>2503.0647914127785</v>
      </c>
      <c r="S23" s="123">
        <f>'Revenue matching'!S23</f>
        <v>6.7190234897470793</v>
      </c>
      <c r="T23" s="123">
        <f>'Revenue matching'!T23</f>
        <v>9.4927277702556907</v>
      </c>
      <c r="U23" s="123">
        <f>'Revenue matching'!U23</f>
        <v>26.853541752552729</v>
      </c>
      <c r="V23" s="123">
        <f>'Revenue matching'!V23</f>
        <v>50.973932528541532</v>
      </c>
      <c r="W23" s="123">
        <f>'Revenue matching'!W23</f>
        <v>298.7414348318261</v>
      </c>
      <c r="X23" s="123">
        <f>'Revenue matching'!X23</f>
        <v>0</v>
      </c>
      <c r="Y23" s="123">
        <f>'Revenue matching'!Y23</f>
        <v>0</v>
      </c>
      <c r="Z23" s="123">
        <f>'Revenue matching'!Z23</f>
        <v>0</v>
      </c>
      <c r="AA23" s="123">
        <f>'Revenue matching'!AA23</f>
        <v>0</v>
      </c>
      <c r="AB23" s="123">
        <f>'Revenue matching'!AB23</f>
        <v>0</v>
      </c>
      <c r="AC23" s="123">
        <f>'Revenue matching'!AC23</f>
        <v>0</v>
      </c>
      <c r="AD23" s="123">
        <f>'Revenue matching'!AD23</f>
        <v>0</v>
      </c>
      <c r="AE23" s="123">
        <f>'Revenue matching'!AE23</f>
        <v>0</v>
      </c>
      <c r="AF23" s="123">
        <f>'Revenue matching'!AF23</f>
        <v>0</v>
      </c>
      <c r="AG23" s="123">
        <f>'Revenue matching'!AG23</f>
        <v>0</v>
      </c>
      <c r="AH23" s="123">
        <f>'Revenue matching'!AH23</f>
        <v>0</v>
      </c>
      <c r="AI23" s="123">
        <f>'Revenue matching'!AI23</f>
        <v>0</v>
      </c>
      <c r="AJ23" s="123">
        <f>'Revenue matching'!AJ23</f>
        <v>0</v>
      </c>
      <c r="AK23" s="123">
        <f>'Revenue matching'!AK23</f>
        <v>0</v>
      </c>
      <c r="AL23" s="123">
        <f>'Revenue matching'!AL23</f>
        <v>0</v>
      </c>
      <c r="AM23" s="123">
        <f>'Revenue matching'!AM23</f>
        <v>414.58577923888919</v>
      </c>
      <c r="AN23" s="123">
        <f>'Revenue matching'!AN23</f>
        <v>414.58577923888919</v>
      </c>
      <c r="AO23" s="123">
        <f>'Revenue matching'!AO23</f>
        <v>414.58577923888919</v>
      </c>
      <c r="AP23" s="123">
        <f>'Revenue matching'!AP23</f>
        <v>414.58577923888919</v>
      </c>
    </row>
    <row r="24" spans="3:44" x14ac:dyDescent="0.25">
      <c r="C24" s="91"/>
      <c r="F24" t="s">
        <v>196</v>
      </c>
      <c r="G24" t="s">
        <v>329</v>
      </c>
      <c r="H24" s="51"/>
      <c r="J24" s="123">
        <f>'Revenue matching'!J24</f>
        <v>0</v>
      </c>
      <c r="K24" s="123">
        <f>'Revenue matching'!K24</f>
        <v>0</v>
      </c>
      <c r="L24" s="123">
        <f>'Revenue matching'!L24</f>
        <v>0</v>
      </c>
      <c r="M24" s="123">
        <f>'Revenue matching'!M24</f>
        <v>0</v>
      </c>
      <c r="N24" s="123">
        <f>'Revenue matching'!N24</f>
        <v>0</v>
      </c>
      <c r="O24" s="123">
        <f>'Revenue matching'!O24</f>
        <v>0</v>
      </c>
      <c r="P24" s="123">
        <f>'Revenue matching'!P24</f>
        <v>0</v>
      </c>
      <c r="Q24" s="123">
        <f>'Revenue matching'!Q24</f>
        <v>0</v>
      </c>
      <c r="R24" s="123">
        <f>'Revenue matching'!R24</f>
        <v>0</v>
      </c>
      <c r="S24" s="123">
        <f>'Revenue matching'!S24</f>
        <v>0</v>
      </c>
      <c r="T24" s="123">
        <f>'Revenue matching'!T24</f>
        <v>0</v>
      </c>
      <c r="U24" s="123">
        <f>'Revenue matching'!U24</f>
        <v>4.7604233393884687</v>
      </c>
      <c r="V24" s="123">
        <f>'Revenue matching'!V24</f>
        <v>7.7880488652241713</v>
      </c>
      <c r="W24" s="123">
        <f>'Revenue matching'!W24</f>
        <v>10.490510240626477</v>
      </c>
      <c r="X24" s="123">
        <f>'Revenue matching'!X24</f>
        <v>0</v>
      </c>
      <c r="Y24" s="123">
        <f>'Revenue matching'!Y24</f>
        <v>0</v>
      </c>
      <c r="Z24" s="123">
        <f>'Revenue matching'!Z24</f>
        <v>0</v>
      </c>
      <c r="AA24" s="123">
        <f>'Revenue matching'!AA24</f>
        <v>0</v>
      </c>
      <c r="AB24" s="123">
        <f>'Revenue matching'!AB24</f>
        <v>0</v>
      </c>
      <c r="AC24" s="123">
        <f>'Revenue matching'!AC24</f>
        <v>0</v>
      </c>
      <c r="AD24" s="123">
        <f>'Revenue matching'!AD24</f>
        <v>0</v>
      </c>
      <c r="AE24" s="123">
        <f>'Revenue matching'!AE24</f>
        <v>0</v>
      </c>
      <c r="AF24" s="123">
        <f>'Revenue matching'!AF24</f>
        <v>0</v>
      </c>
      <c r="AG24" s="123">
        <f>'Revenue matching'!AG24</f>
        <v>0</v>
      </c>
      <c r="AH24" s="123">
        <f>'Revenue matching'!AH24</f>
        <v>0</v>
      </c>
      <c r="AI24" s="123">
        <f>'Revenue matching'!AI24</f>
        <v>0</v>
      </c>
      <c r="AJ24" s="123">
        <f>'Revenue matching'!AJ24</f>
        <v>0</v>
      </c>
      <c r="AK24" s="123">
        <f>'Revenue matching'!AK24</f>
        <v>0</v>
      </c>
      <c r="AL24" s="123">
        <f>'Revenue matching'!AL24</f>
        <v>0</v>
      </c>
      <c r="AM24" s="123">
        <f>'Revenue matching'!AM24</f>
        <v>0</v>
      </c>
      <c r="AN24" s="123">
        <f>'Revenue matching'!AN24</f>
        <v>0</v>
      </c>
      <c r="AO24" s="123">
        <f>'Revenue matching'!AO24</f>
        <v>0</v>
      </c>
      <c r="AP24" s="123">
        <f>'Revenue matching'!AP24</f>
        <v>0</v>
      </c>
    </row>
    <row r="25" spans="3:44" x14ac:dyDescent="0.25">
      <c r="C25" s="91"/>
      <c r="F25" t="s">
        <v>197</v>
      </c>
      <c r="G25" t="s">
        <v>329</v>
      </c>
      <c r="H25" s="51"/>
      <c r="J25" s="123">
        <f>'Revenue matching'!J25</f>
        <v>0</v>
      </c>
      <c r="K25" s="123">
        <f>'Revenue matching'!K25</f>
        <v>0</v>
      </c>
      <c r="L25" s="123">
        <f>'Revenue matching'!L25</f>
        <v>0</v>
      </c>
      <c r="M25" s="123">
        <f>'Revenue matching'!M25</f>
        <v>0</v>
      </c>
      <c r="N25" s="123">
        <f>'Revenue matching'!N25</f>
        <v>0</v>
      </c>
      <c r="O25" s="123">
        <f>'Revenue matching'!O25</f>
        <v>0</v>
      </c>
      <c r="P25" s="123">
        <f>'Revenue matching'!P25</f>
        <v>0</v>
      </c>
      <c r="Q25" s="123">
        <f>'Revenue matching'!Q25</f>
        <v>0</v>
      </c>
      <c r="R25" s="123">
        <f>'Revenue matching'!R25</f>
        <v>0</v>
      </c>
      <c r="S25" s="123">
        <f>'Revenue matching'!S25</f>
        <v>0</v>
      </c>
      <c r="T25" s="123">
        <f>'Revenue matching'!T25</f>
        <v>0</v>
      </c>
      <c r="U25" s="123">
        <f>'Revenue matching'!U25</f>
        <v>8.74459489120105</v>
      </c>
      <c r="V25" s="123">
        <f>'Revenue matching'!V25</f>
        <v>10.791835128460974</v>
      </c>
      <c r="W25" s="123">
        <f>'Revenue matching'!W25</f>
        <v>12.369639898498342</v>
      </c>
      <c r="X25" s="123">
        <f>'Revenue matching'!X25</f>
        <v>0</v>
      </c>
      <c r="Y25" s="123">
        <f>'Revenue matching'!Y25</f>
        <v>0</v>
      </c>
      <c r="Z25" s="123">
        <f>'Revenue matching'!Z25</f>
        <v>0</v>
      </c>
      <c r="AA25" s="123">
        <f>'Revenue matching'!AA25</f>
        <v>0</v>
      </c>
      <c r="AB25" s="123">
        <f>'Revenue matching'!AB25</f>
        <v>0</v>
      </c>
      <c r="AC25" s="123">
        <f>'Revenue matching'!AC25</f>
        <v>0</v>
      </c>
      <c r="AD25" s="123">
        <f>'Revenue matching'!AD25</f>
        <v>0</v>
      </c>
      <c r="AE25" s="123">
        <f>'Revenue matching'!AE25</f>
        <v>0</v>
      </c>
      <c r="AF25" s="123">
        <f>'Revenue matching'!AF25</f>
        <v>0</v>
      </c>
      <c r="AG25" s="123">
        <f>'Revenue matching'!AG25</f>
        <v>0</v>
      </c>
      <c r="AH25" s="123">
        <f>'Revenue matching'!AH25</f>
        <v>0</v>
      </c>
      <c r="AI25" s="123">
        <f>'Revenue matching'!AI25</f>
        <v>0</v>
      </c>
      <c r="AJ25" s="123">
        <f>'Revenue matching'!AJ25</f>
        <v>0</v>
      </c>
      <c r="AK25" s="123">
        <f>'Revenue matching'!AK25</f>
        <v>0</v>
      </c>
      <c r="AL25" s="123">
        <f>'Revenue matching'!AL25</f>
        <v>0</v>
      </c>
      <c r="AM25" s="123">
        <f>'Revenue matching'!AM25</f>
        <v>0</v>
      </c>
      <c r="AN25" s="123">
        <f>'Revenue matching'!AN25</f>
        <v>0</v>
      </c>
      <c r="AO25" s="123">
        <f>'Revenue matching'!AO25</f>
        <v>0</v>
      </c>
      <c r="AP25" s="123">
        <f>'Revenue matching'!AP25</f>
        <v>0</v>
      </c>
    </row>
    <row r="26" spans="3:44" x14ac:dyDescent="0.25">
      <c r="C26" s="91"/>
      <c r="F26" s="37" t="s">
        <v>198</v>
      </c>
      <c r="G26" s="37" t="s">
        <v>330</v>
      </c>
      <c r="H26" s="323"/>
      <c r="I26" s="308"/>
      <c r="J26" s="323">
        <f>'Revenue matching'!J26</f>
        <v>0</v>
      </c>
      <c r="K26" s="323">
        <f>'Revenue matching'!K26</f>
        <v>0</v>
      </c>
      <c r="L26" s="323">
        <f>'Revenue matching'!L26</f>
        <v>0</v>
      </c>
      <c r="M26" s="323">
        <f>'Revenue matching'!M26</f>
        <v>0</v>
      </c>
      <c r="N26" s="323">
        <f>'Revenue matching'!N26</f>
        <v>0</v>
      </c>
      <c r="O26" s="323">
        <f>'Revenue matching'!O26</f>
        <v>0</v>
      </c>
      <c r="P26" s="323">
        <f>'Revenue matching'!P26</f>
        <v>0</v>
      </c>
      <c r="Q26" s="323">
        <f>'Revenue matching'!Q26</f>
        <v>0</v>
      </c>
      <c r="R26" s="323">
        <f>'Revenue matching'!R26</f>
        <v>0</v>
      </c>
      <c r="S26" s="323">
        <f>'Revenue matching'!S26</f>
        <v>0</v>
      </c>
      <c r="T26" s="323">
        <f>'Revenue matching'!T26</f>
        <v>0</v>
      </c>
      <c r="U26" s="323">
        <f>'Revenue matching'!U26</f>
        <v>0.27302916255585569</v>
      </c>
      <c r="V26" s="323">
        <f>'Revenue matching'!V26</f>
        <v>0.13743063341796527</v>
      </c>
      <c r="W26" s="323">
        <f>'Revenue matching'!W26</f>
        <v>9.1281039164551034E-2</v>
      </c>
      <c r="X26" s="323">
        <f>'Revenue matching'!X26</f>
        <v>0</v>
      </c>
      <c r="Y26" s="323">
        <f>'Revenue matching'!Y26</f>
        <v>0</v>
      </c>
      <c r="Z26" s="323">
        <f>'Revenue matching'!Z26</f>
        <v>0</v>
      </c>
      <c r="AA26" s="323">
        <f>'Revenue matching'!AA26</f>
        <v>0</v>
      </c>
      <c r="AB26" s="323">
        <f>'Revenue matching'!AB26</f>
        <v>0</v>
      </c>
      <c r="AC26" s="323">
        <f>'Revenue matching'!AC26</f>
        <v>0</v>
      </c>
      <c r="AD26" s="323">
        <f>'Revenue matching'!AD26</f>
        <v>0</v>
      </c>
      <c r="AE26" s="323">
        <f>'Revenue matching'!AE26</f>
        <v>0.26528190408582319</v>
      </c>
      <c r="AF26" s="323">
        <f>'Revenue matching'!AF26</f>
        <v>0</v>
      </c>
      <c r="AG26" s="323">
        <f>'Revenue matching'!AG26</f>
        <v>0.26528190408582319</v>
      </c>
      <c r="AH26" s="323">
        <f>'Revenue matching'!AH26</f>
        <v>0</v>
      </c>
      <c r="AI26" s="323">
        <f>'Revenue matching'!AI26</f>
        <v>0.22477736432656778</v>
      </c>
      <c r="AJ26" s="323">
        <f>'Revenue matching'!AJ26</f>
        <v>0</v>
      </c>
      <c r="AK26" s="323">
        <f>'Revenue matching'!AK26</f>
        <v>0.22477736432656778</v>
      </c>
      <c r="AL26" s="323">
        <f>'Revenue matching'!AL26</f>
        <v>0</v>
      </c>
      <c r="AM26" s="323">
        <f>'Revenue matching'!AM26</f>
        <v>0.20598367886563043</v>
      </c>
      <c r="AN26" s="323">
        <f>'Revenue matching'!AN26</f>
        <v>0</v>
      </c>
      <c r="AO26" s="323">
        <f>'Revenue matching'!AO26</f>
        <v>0.20598367886563043</v>
      </c>
      <c r="AP26" s="323">
        <f>'Revenue matching'!AP26</f>
        <v>0</v>
      </c>
      <c r="AQ26" s="304"/>
      <c r="AR26" s="304"/>
    </row>
    <row r="27" spans="3:44" x14ac:dyDescent="0.25">
      <c r="C27" s="91"/>
      <c r="E27"/>
      <c r="J27" s="92"/>
      <c r="K27" s="92"/>
      <c r="L27" s="92"/>
      <c r="M27" s="92"/>
      <c r="N27" s="92"/>
      <c r="O27" s="92"/>
      <c r="P27" s="92"/>
      <c r="Q27" s="92"/>
      <c r="R27" s="92"/>
      <c r="S27" s="92"/>
      <c r="T27" s="92"/>
      <c r="U27" s="92"/>
      <c r="V27" s="92"/>
      <c r="W27" s="92"/>
      <c r="X27" s="92"/>
      <c r="Y27" s="92"/>
      <c r="Z27" s="92"/>
      <c r="AA27" s="92"/>
      <c r="AB27" s="92"/>
      <c r="AC27" s="92"/>
      <c r="AD27" s="92"/>
      <c r="AE27" s="92"/>
      <c r="AF27" s="92"/>
      <c r="AG27" s="92"/>
      <c r="AH27" s="92"/>
      <c r="AI27" s="92"/>
      <c r="AJ27" s="92"/>
      <c r="AK27" s="92"/>
      <c r="AL27" s="92"/>
      <c r="AM27" s="92"/>
      <c r="AN27" s="92"/>
      <c r="AO27" s="92"/>
      <c r="AP27" s="92"/>
    </row>
    <row r="28" spans="3:44" x14ac:dyDescent="0.25">
      <c r="C28" s="31" t="str">
        <f ca="1">INDEX('Version control'!$H$34:$H$56,MATCH($A$1,'Version control'!$F$34:$F$56,0),1)&amp;"-B: Adder to be applied to unit rates"</f>
        <v>Section 116-B: Adder to be applied to unit rates</v>
      </c>
      <c r="D28" s="31"/>
      <c r="E28" s="31"/>
      <c r="F28" s="31"/>
      <c r="G28" s="31"/>
      <c r="H28" s="31"/>
      <c r="I28" s="31"/>
      <c r="J28" s="93"/>
      <c r="K28" s="93"/>
      <c r="L28" s="93"/>
      <c r="M28" s="93"/>
      <c r="N28" s="93"/>
      <c r="O28" s="93"/>
      <c r="P28" s="93"/>
      <c r="Q28" s="93"/>
      <c r="R28" s="93"/>
      <c r="S28" s="93"/>
      <c r="T28" s="93"/>
      <c r="U28" s="93"/>
      <c r="V28" s="93"/>
      <c r="W28" s="93"/>
      <c r="X28" s="93"/>
      <c r="Y28" s="93"/>
      <c r="Z28" s="93"/>
      <c r="AA28" s="93"/>
      <c r="AB28" s="93"/>
      <c r="AC28" s="93"/>
      <c r="AD28" s="93"/>
      <c r="AE28" s="93"/>
      <c r="AF28" s="93"/>
      <c r="AG28" s="93"/>
      <c r="AH28" s="93"/>
      <c r="AI28" s="93"/>
      <c r="AJ28" s="93"/>
      <c r="AK28" s="93"/>
      <c r="AL28" s="93"/>
      <c r="AM28" s="93"/>
      <c r="AN28" s="93"/>
      <c r="AO28" s="93"/>
      <c r="AP28" s="93"/>
      <c r="AQ28" s="31"/>
      <c r="AR28" s="31"/>
    </row>
    <row r="29" spans="3:44" x14ac:dyDescent="0.25">
      <c r="J29" s="92"/>
      <c r="K29" s="92"/>
      <c r="L29" s="92"/>
      <c r="M29" s="92"/>
      <c r="N29" s="92"/>
      <c r="O29" s="92"/>
      <c r="P29" s="92"/>
      <c r="Q29" s="92"/>
      <c r="R29" s="92"/>
      <c r="S29" s="92"/>
      <c r="T29" s="92"/>
      <c r="U29" s="92"/>
      <c r="V29" s="92"/>
      <c r="W29" s="92"/>
      <c r="X29" s="92"/>
      <c r="Y29" s="92"/>
      <c r="Z29" s="92"/>
      <c r="AA29" s="92"/>
      <c r="AB29" s="92"/>
      <c r="AC29" s="92"/>
      <c r="AD29" s="92"/>
      <c r="AE29" s="92"/>
      <c r="AF29" s="92"/>
      <c r="AG29" s="92"/>
      <c r="AH29" s="92"/>
      <c r="AI29" s="92"/>
      <c r="AJ29" s="92"/>
      <c r="AK29" s="92"/>
      <c r="AL29" s="92"/>
      <c r="AM29" s="92"/>
      <c r="AN29" s="92"/>
      <c r="AO29" s="92"/>
      <c r="AP29" s="92"/>
    </row>
    <row r="30" spans="3:44" x14ac:dyDescent="0.25">
      <c r="E30" s="91" t="s">
        <v>1021</v>
      </c>
      <c r="J30" s="92"/>
      <c r="K30" s="92"/>
      <c r="L30" s="92"/>
      <c r="M30" s="92"/>
      <c r="N30" s="92"/>
      <c r="O30" s="92"/>
      <c r="P30" s="92"/>
      <c r="Q30" s="92"/>
      <c r="R30" s="92"/>
      <c r="S30" s="92"/>
      <c r="T30" s="92"/>
      <c r="U30" s="92"/>
      <c r="V30" s="92"/>
      <c r="W30" s="92"/>
      <c r="X30" s="92"/>
      <c r="Y30" s="92"/>
      <c r="Z30" s="92"/>
      <c r="AA30" s="92"/>
      <c r="AB30" s="92"/>
      <c r="AC30" s="92"/>
      <c r="AD30" s="92"/>
      <c r="AE30" s="92"/>
      <c r="AF30" s="92"/>
      <c r="AG30" s="92"/>
      <c r="AH30" s="92"/>
      <c r="AI30" s="92"/>
      <c r="AJ30" s="92"/>
      <c r="AK30" s="92"/>
      <c r="AL30" s="92"/>
      <c r="AM30" s="92"/>
      <c r="AN30" s="92"/>
      <c r="AO30" s="92"/>
      <c r="AP30" s="92"/>
    </row>
    <row r="31" spans="3:44" x14ac:dyDescent="0.25">
      <c r="E31" s="29" t="s">
        <v>1038</v>
      </c>
      <c r="J31" s="92"/>
      <c r="K31" s="92"/>
      <c r="L31" s="92"/>
      <c r="M31" s="92"/>
      <c r="N31" s="92"/>
      <c r="O31" s="92"/>
      <c r="P31" s="92"/>
      <c r="Q31" s="92"/>
      <c r="R31" s="92"/>
      <c r="S31" s="92"/>
      <c r="T31" s="92"/>
      <c r="U31" s="92"/>
      <c r="V31" s="92"/>
      <c r="W31" s="92"/>
      <c r="X31" s="92"/>
      <c r="Y31" s="92"/>
      <c r="Z31" s="92"/>
      <c r="AA31" s="92"/>
      <c r="AB31" s="92"/>
      <c r="AC31" s="92"/>
      <c r="AD31" s="92"/>
      <c r="AE31" s="92"/>
      <c r="AF31" s="92"/>
      <c r="AG31" s="92"/>
      <c r="AH31" s="92"/>
      <c r="AI31" s="92"/>
      <c r="AJ31" s="92"/>
      <c r="AK31" s="92"/>
      <c r="AL31" s="92"/>
      <c r="AM31" s="92"/>
      <c r="AN31" s="92"/>
      <c r="AO31" s="92"/>
      <c r="AP31" s="92"/>
    </row>
    <row r="32" spans="3:44" x14ac:dyDescent="0.25">
      <c r="E32" s="91"/>
      <c r="F32" s="23" t="s">
        <v>192</v>
      </c>
      <c r="G32" s="23" t="s">
        <v>327</v>
      </c>
      <c r="H32" s="318"/>
      <c r="I32" s="302"/>
      <c r="J32" s="318">
        <f>'Revenue matching'!J133</f>
        <v>1.4818671612412855</v>
      </c>
      <c r="K32" s="318">
        <f>'Revenue matching'!K133</f>
        <v>1.4818671612412855</v>
      </c>
      <c r="L32" s="318">
        <f>'Revenue matching'!L133</f>
        <v>1.4818671612412855</v>
      </c>
      <c r="M32" s="318">
        <f>'Revenue matching'!M133</f>
        <v>1.4818671612412855</v>
      </c>
      <c r="N32" s="318">
        <f>'Revenue matching'!N133</f>
        <v>1.4818671612412855</v>
      </c>
      <c r="O32" s="318">
        <f>'Revenue matching'!O133</f>
        <v>1.4818671612412855</v>
      </c>
      <c r="P32" s="318">
        <f>'Revenue matching'!P133</f>
        <v>1.4818671612412855</v>
      </c>
      <c r="Q32" s="318">
        <f>'Revenue matching'!Q133</f>
        <v>1.4818671612412855</v>
      </c>
      <c r="R32" s="318">
        <f>'Revenue matching'!R133</f>
        <v>1.4818671612412855</v>
      </c>
      <c r="S32" s="318">
        <f>'Revenue matching'!S133</f>
        <v>1.4818671612412855</v>
      </c>
      <c r="T32" s="318">
        <f>'Revenue matching'!T133</f>
        <v>1.4818671612412855</v>
      </c>
      <c r="U32" s="318">
        <f>'Revenue matching'!U133</f>
        <v>1.4818671612412855</v>
      </c>
      <c r="V32" s="318">
        <f>'Revenue matching'!V133</f>
        <v>1.4818671612412855</v>
      </c>
      <c r="W32" s="318">
        <f>'Revenue matching'!W133</f>
        <v>1.4818671612412855</v>
      </c>
      <c r="X32" s="318">
        <f>'Revenue matching'!X133</f>
        <v>1.4818671612412855</v>
      </c>
      <c r="Y32" s="318">
        <f>'Revenue matching'!Y133</f>
        <v>1.4818671612412855</v>
      </c>
      <c r="Z32" s="318">
        <f>'Revenue matching'!Z133</f>
        <v>1.4818671612412855</v>
      </c>
      <c r="AA32" s="318">
        <f>'Revenue matching'!AA133</f>
        <v>1.4818671612412855</v>
      </c>
      <c r="AB32" s="318">
        <f>'Revenue matching'!AB133</f>
        <v>1.4818671612412855</v>
      </c>
      <c r="AC32" s="318">
        <f>'Revenue matching'!AC133</f>
        <v>0</v>
      </c>
      <c r="AD32" s="318">
        <f>'Revenue matching'!AD133</f>
        <v>0</v>
      </c>
      <c r="AE32" s="318">
        <f>'Revenue matching'!AE133</f>
        <v>0</v>
      </c>
      <c r="AF32" s="318">
        <f>'Revenue matching'!AF133</f>
        <v>0</v>
      </c>
      <c r="AG32" s="318">
        <f>'Revenue matching'!AG133</f>
        <v>0</v>
      </c>
      <c r="AH32" s="318">
        <f>'Revenue matching'!AH133</f>
        <v>0</v>
      </c>
      <c r="AI32" s="318">
        <f>'Revenue matching'!AI133</f>
        <v>0</v>
      </c>
      <c r="AJ32" s="318">
        <f>'Revenue matching'!AJ133</f>
        <v>0</v>
      </c>
      <c r="AK32" s="318">
        <f>'Revenue matching'!AK133</f>
        <v>0</v>
      </c>
      <c r="AL32" s="318">
        <f>'Revenue matching'!AL133</f>
        <v>0</v>
      </c>
      <c r="AM32" s="318">
        <f>'Revenue matching'!AM133</f>
        <v>0</v>
      </c>
      <c r="AN32" s="318">
        <f>'Revenue matching'!AN133</f>
        <v>0</v>
      </c>
      <c r="AO32" s="318">
        <f>'Revenue matching'!AO133</f>
        <v>0</v>
      </c>
      <c r="AP32" s="318">
        <f>'Revenue matching'!AP133</f>
        <v>0</v>
      </c>
      <c r="AQ32" s="304"/>
      <c r="AR32" s="304"/>
    </row>
    <row r="33" spans="3:44" x14ac:dyDescent="0.25">
      <c r="E33" s="91"/>
      <c r="F33" t="s">
        <v>193</v>
      </c>
      <c r="G33" t="s">
        <v>327</v>
      </c>
      <c r="H33" s="319"/>
      <c r="I33" s="304"/>
      <c r="J33" s="319">
        <f>'Revenue matching'!J134</f>
        <v>0</v>
      </c>
      <c r="K33" s="319">
        <f>'Revenue matching'!K134</f>
        <v>1.4818671612412855</v>
      </c>
      <c r="L33" s="319">
        <f>'Revenue matching'!L134</f>
        <v>0</v>
      </c>
      <c r="M33" s="319">
        <f>'Revenue matching'!M134</f>
        <v>0</v>
      </c>
      <c r="N33" s="319">
        <f>'Revenue matching'!N134</f>
        <v>1.4818671612412855</v>
      </c>
      <c r="O33" s="319">
        <f>'Revenue matching'!O134</f>
        <v>0</v>
      </c>
      <c r="P33" s="319">
        <f>'Revenue matching'!P134</f>
        <v>1.4818671612412855</v>
      </c>
      <c r="Q33" s="319">
        <f>'Revenue matching'!Q134</f>
        <v>1.4818671612412855</v>
      </c>
      <c r="R33" s="319">
        <f>'Revenue matching'!R134</f>
        <v>1.4818671612412855</v>
      </c>
      <c r="S33" s="319">
        <f>'Revenue matching'!S134</f>
        <v>1.4818671612412855</v>
      </c>
      <c r="T33" s="319">
        <f>'Revenue matching'!T134</f>
        <v>1.4818671612412855</v>
      </c>
      <c r="U33" s="319">
        <f>'Revenue matching'!U134</f>
        <v>1.4818671612412855</v>
      </c>
      <c r="V33" s="319">
        <f>'Revenue matching'!V134</f>
        <v>1.4818671612412855</v>
      </c>
      <c r="W33" s="319">
        <f>'Revenue matching'!W134</f>
        <v>1.4818671612412855</v>
      </c>
      <c r="X33" s="319">
        <f>'Revenue matching'!X134</f>
        <v>0</v>
      </c>
      <c r="Y33" s="319">
        <f>'Revenue matching'!Y134</f>
        <v>0</v>
      </c>
      <c r="Z33" s="319">
        <f>'Revenue matching'!Z134</f>
        <v>0</v>
      </c>
      <c r="AA33" s="319">
        <f>'Revenue matching'!AA134</f>
        <v>0</v>
      </c>
      <c r="AB33" s="319">
        <f>'Revenue matching'!AB134</f>
        <v>1.4818671612412855</v>
      </c>
      <c r="AC33" s="319">
        <f>'Revenue matching'!AC134</f>
        <v>0</v>
      </c>
      <c r="AD33" s="319">
        <f>'Revenue matching'!AD134</f>
        <v>0</v>
      </c>
      <c r="AE33" s="319">
        <f>'Revenue matching'!AE134</f>
        <v>0</v>
      </c>
      <c r="AF33" s="319">
        <f>'Revenue matching'!AF134</f>
        <v>0</v>
      </c>
      <c r="AG33" s="319">
        <f>'Revenue matching'!AG134</f>
        <v>0</v>
      </c>
      <c r="AH33" s="319">
        <f>'Revenue matching'!AH134</f>
        <v>0</v>
      </c>
      <c r="AI33" s="319">
        <f>'Revenue matching'!AI134</f>
        <v>0</v>
      </c>
      <c r="AJ33" s="319">
        <f>'Revenue matching'!AJ134</f>
        <v>0</v>
      </c>
      <c r="AK33" s="319">
        <f>'Revenue matching'!AK134</f>
        <v>0</v>
      </c>
      <c r="AL33" s="319">
        <f>'Revenue matching'!AL134</f>
        <v>0</v>
      </c>
      <c r="AM33" s="319">
        <f>'Revenue matching'!AM134</f>
        <v>0</v>
      </c>
      <c r="AN33" s="319">
        <f>'Revenue matching'!AN134</f>
        <v>0</v>
      </c>
      <c r="AO33" s="319">
        <f>'Revenue matching'!AO134</f>
        <v>0</v>
      </c>
      <c r="AP33" s="319">
        <f>'Revenue matching'!AP134</f>
        <v>0</v>
      </c>
      <c r="AQ33" s="304"/>
      <c r="AR33" s="304"/>
    </row>
    <row r="34" spans="3:44" x14ac:dyDescent="0.25">
      <c r="E34" s="91"/>
      <c r="F34" t="s">
        <v>194</v>
      </c>
      <c r="G34" t="s">
        <v>327</v>
      </c>
      <c r="H34" s="319"/>
      <c r="I34" s="304"/>
      <c r="J34" s="319">
        <f>'Revenue matching'!J135</f>
        <v>0</v>
      </c>
      <c r="K34" s="319">
        <f>'Revenue matching'!K135</f>
        <v>0</v>
      </c>
      <c r="L34" s="319">
        <f>'Revenue matching'!L135</f>
        <v>0</v>
      </c>
      <c r="M34" s="319">
        <f>'Revenue matching'!M135</f>
        <v>0</v>
      </c>
      <c r="N34" s="319">
        <f>'Revenue matching'!N135</f>
        <v>0</v>
      </c>
      <c r="O34" s="319">
        <f>'Revenue matching'!O135</f>
        <v>0</v>
      </c>
      <c r="P34" s="319">
        <f>'Revenue matching'!P135</f>
        <v>0</v>
      </c>
      <c r="Q34" s="319">
        <f>'Revenue matching'!Q135</f>
        <v>0</v>
      </c>
      <c r="R34" s="319">
        <f>'Revenue matching'!R135</f>
        <v>0</v>
      </c>
      <c r="S34" s="319">
        <f>'Revenue matching'!S135</f>
        <v>1.4818671612412855</v>
      </c>
      <c r="T34" s="319">
        <f>'Revenue matching'!T135</f>
        <v>1.4818671612412855</v>
      </c>
      <c r="U34" s="319">
        <f>'Revenue matching'!U135</f>
        <v>1.4818671612412855</v>
      </c>
      <c r="V34" s="319">
        <f>'Revenue matching'!V135</f>
        <v>1.4818671612412855</v>
      </c>
      <c r="W34" s="319">
        <f>'Revenue matching'!W135</f>
        <v>1.4818671612412855</v>
      </c>
      <c r="X34" s="319">
        <f>'Revenue matching'!X135</f>
        <v>0</v>
      </c>
      <c r="Y34" s="319">
        <f>'Revenue matching'!Y135</f>
        <v>0</v>
      </c>
      <c r="Z34" s="319">
        <f>'Revenue matching'!Z135</f>
        <v>0</v>
      </c>
      <c r="AA34" s="319">
        <f>'Revenue matching'!AA135</f>
        <v>0</v>
      </c>
      <c r="AB34" s="319">
        <f>'Revenue matching'!AB135</f>
        <v>1.4818671612412855</v>
      </c>
      <c r="AC34" s="319">
        <f>'Revenue matching'!AC135</f>
        <v>0</v>
      </c>
      <c r="AD34" s="319">
        <f>'Revenue matching'!AD135</f>
        <v>0</v>
      </c>
      <c r="AE34" s="319">
        <f>'Revenue matching'!AE135</f>
        <v>0</v>
      </c>
      <c r="AF34" s="319">
        <f>'Revenue matching'!AF135</f>
        <v>0</v>
      </c>
      <c r="AG34" s="319">
        <f>'Revenue matching'!AG135</f>
        <v>0</v>
      </c>
      <c r="AH34" s="319">
        <f>'Revenue matching'!AH135</f>
        <v>0</v>
      </c>
      <c r="AI34" s="319">
        <f>'Revenue matching'!AI135</f>
        <v>0</v>
      </c>
      <c r="AJ34" s="319">
        <f>'Revenue matching'!AJ135</f>
        <v>0</v>
      </c>
      <c r="AK34" s="319">
        <f>'Revenue matching'!AK135</f>
        <v>0</v>
      </c>
      <c r="AL34" s="319">
        <f>'Revenue matching'!AL135</f>
        <v>0</v>
      </c>
      <c r="AM34" s="319">
        <f>'Revenue matching'!AM135</f>
        <v>0</v>
      </c>
      <c r="AN34" s="319">
        <f>'Revenue matching'!AN135</f>
        <v>0</v>
      </c>
      <c r="AO34" s="319">
        <f>'Revenue matching'!AO135</f>
        <v>0</v>
      </c>
      <c r="AP34" s="319">
        <f>'Revenue matching'!AP135</f>
        <v>0</v>
      </c>
      <c r="AQ34" s="304"/>
      <c r="AR34" s="304"/>
    </row>
    <row r="35" spans="3:44" x14ac:dyDescent="0.25">
      <c r="E35" s="91"/>
      <c r="F35" t="s">
        <v>195</v>
      </c>
      <c r="G35" t="s">
        <v>328</v>
      </c>
      <c r="H35" s="51"/>
      <c r="J35" s="79"/>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91"/>
      <c r="F36" t="s">
        <v>196</v>
      </c>
      <c r="G36" t="s">
        <v>329</v>
      </c>
      <c r="H36" s="51"/>
      <c r="J36" s="79"/>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79"/>
      <c r="AO36" s="79"/>
      <c r="AP36" s="79"/>
    </row>
    <row r="37" spans="3:44" x14ac:dyDescent="0.25">
      <c r="E37" s="91"/>
      <c r="F37" t="s">
        <v>197</v>
      </c>
      <c r="G37" t="s">
        <v>329</v>
      </c>
      <c r="H37" s="51"/>
      <c r="J37" s="79"/>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79"/>
      <c r="AO37" s="79"/>
      <c r="AP37" s="79"/>
    </row>
    <row r="38" spans="3:44" x14ac:dyDescent="0.25">
      <c r="E38" s="91"/>
      <c r="F38" s="37" t="s">
        <v>198</v>
      </c>
      <c r="G38" s="37" t="s">
        <v>330</v>
      </c>
      <c r="H38" s="323"/>
      <c r="I38" s="308"/>
      <c r="J38" s="309"/>
      <c r="K38" s="309"/>
      <c r="L38" s="309"/>
      <c r="M38" s="309"/>
      <c r="N38" s="309"/>
      <c r="O38" s="309"/>
      <c r="P38" s="309"/>
      <c r="Q38" s="309"/>
      <c r="R38" s="309"/>
      <c r="S38" s="309"/>
      <c r="T38" s="309"/>
      <c r="U38" s="309"/>
      <c r="V38" s="309"/>
      <c r="W38" s="309"/>
      <c r="X38" s="309"/>
      <c r="Y38" s="309"/>
      <c r="Z38" s="309"/>
      <c r="AA38" s="309"/>
      <c r="AB38" s="309"/>
      <c r="AC38" s="309"/>
      <c r="AD38" s="309"/>
      <c r="AE38" s="309"/>
      <c r="AF38" s="309"/>
      <c r="AG38" s="309"/>
      <c r="AH38" s="309"/>
      <c r="AI38" s="309"/>
      <c r="AJ38" s="309"/>
      <c r="AK38" s="309"/>
      <c r="AL38" s="309"/>
      <c r="AM38" s="309"/>
      <c r="AN38" s="309"/>
      <c r="AO38" s="309"/>
      <c r="AP38" s="309"/>
      <c r="AQ38" s="304"/>
      <c r="AR38" s="304"/>
    </row>
    <row r="39" spans="3:44" x14ac:dyDescent="0.25">
      <c r="D39" s="91"/>
      <c r="E39"/>
    </row>
    <row r="40" spans="3:44" x14ac:dyDescent="0.25">
      <c r="C40" s="31" t="str">
        <f ca="1">INDEX('Version control'!$H$34:$H$56,MATCH($A$1,'Version control'!$F$34:$F$56,0),1)&amp;"-C: LDNO discounts"</f>
        <v>Section 116-C: LDNO discounts</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c r="AM40" s="31"/>
      <c r="AN40" s="31"/>
      <c r="AO40" s="31"/>
      <c r="AP40" s="31"/>
      <c r="AQ40" s="31"/>
      <c r="AR40" s="31"/>
    </row>
    <row r="42" spans="3:44" x14ac:dyDescent="0.25">
      <c r="D42"/>
      <c r="E42" s="91" t="s">
        <v>1039</v>
      </c>
      <c r="I42" t="s">
        <v>190</v>
      </c>
      <c r="AR42" t="s">
        <v>488</v>
      </c>
    </row>
    <row r="43" spans="3:44" x14ac:dyDescent="0.25">
      <c r="D43"/>
      <c r="E43" s="91"/>
      <c r="F43" s="23" t="s">
        <v>192</v>
      </c>
      <c r="G43" s="23" t="s">
        <v>203</v>
      </c>
      <c r="H43" s="191"/>
      <c r="I43" s="23"/>
      <c r="J43" s="110">
        <f>'Volume adjustments'!J$62</f>
        <v>0.29399702125357685</v>
      </c>
      <c r="K43" s="110">
        <f>'Volume adjustments'!K$62</f>
        <v>0.29399702125357685</v>
      </c>
      <c r="L43" s="110">
        <f>'Volume adjustments'!L$62</f>
        <v>0.29399702125357685</v>
      </c>
      <c r="M43" s="110">
        <f>'Volume adjustments'!M$62</f>
        <v>0.29399702125357685</v>
      </c>
      <c r="N43" s="110">
        <f>'Volume adjustments'!N$62</f>
        <v>0.29399702125357685</v>
      </c>
      <c r="O43" s="110">
        <f>'Volume adjustments'!O$62</f>
        <v>0.29399702125357685</v>
      </c>
      <c r="P43" s="110">
        <f>'Volume adjustments'!P$62</f>
        <v>0.29399702125357685</v>
      </c>
      <c r="Q43" s="110">
        <f>'Volume adjustments'!Q$62</f>
        <v>0</v>
      </c>
      <c r="R43" s="110">
        <f>'Volume adjustments'!R$62</f>
        <v>0</v>
      </c>
      <c r="S43" s="110">
        <f>'Volume adjustments'!S$62</f>
        <v>0.29399702125357685</v>
      </c>
      <c r="T43" s="110">
        <f>'Volume adjustments'!T$62</f>
        <v>0.29399702125357685</v>
      </c>
      <c r="U43" s="110">
        <f>'Volume adjustments'!U$62</f>
        <v>0.29399702125357685</v>
      </c>
      <c r="V43" s="110">
        <f>'Volume adjustments'!V$62</f>
        <v>0</v>
      </c>
      <c r="W43" s="110">
        <f>'Volume adjustments'!W$62</f>
        <v>0</v>
      </c>
      <c r="X43" s="110">
        <f>'Volume adjustments'!X$62</f>
        <v>0.29399702125357685</v>
      </c>
      <c r="Y43" s="110">
        <f>'Volume adjustments'!Y$62</f>
        <v>0.29399702125357685</v>
      </c>
      <c r="Z43" s="110">
        <f>'Volume adjustments'!Z$62</f>
        <v>0.29399702125357685</v>
      </c>
      <c r="AA43" s="110">
        <f>'Volume adjustments'!AA$62</f>
        <v>0.29399702125357685</v>
      </c>
      <c r="AB43" s="110">
        <f>'Volume adjustments'!AB$62</f>
        <v>0.29399702125357685</v>
      </c>
      <c r="AC43" s="110">
        <f>'Volume adjustments'!AC$62</f>
        <v>0</v>
      </c>
      <c r="AD43" s="110">
        <f>'Volume adjustments'!AD$62</f>
        <v>0</v>
      </c>
      <c r="AE43" s="110">
        <f>'Volume adjustments'!AE$62</f>
        <v>0</v>
      </c>
      <c r="AF43" s="110">
        <f>'Volume adjustments'!AF$62</f>
        <v>0</v>
      </c>
      <c r="AG43" s="110">
        <f>'Volume adjustments'!AG$62</f>
        <v>0</v>
      </c>
      <c r="AH43" s="110">
        <f>'Volume adjustments'!AH$62</f>
        <v>0</v>
      </c>
      <c r="AI43" s="110">
        <f>'Volume adjustments'!AI$62</f>
        <v>0</v>
      </c>
      <c r="AJ43" s="110">
        <f>'Volume adjustments'!AJ$62</f>
        <v>0</v>
      </c>
      <c r="AK43" s="110">
        <f>'Volume adjustments'!AK$62</f>
        <v>0</v>
      </c>
      <c r="AL43" s="110">
        <f>'Volume adjustments'!AL$62</f>
        <v>0</v>
      </c>
      <c r="AM43" s="110">
        <f>'Volume adjustments'!AM$62</f>
        <v>0</v>
      </c>
      <c r="AN43" s="110">
        <f>'Volume adjustments'!AN$62</f>
        <v>0</v>
      </c>
      <c r="AO43" s="110">
        <f>'Volume adjustments'!AO$62</f>
        <v>0</v>
      </c>
      <c r="AP43" s="110">
        <f>'Volume adjustments'!AP$62</f>
        <v>0</v>
      </c>
    </row>
    <row r="44" spans="3:44" x14ac:dyDescent="0.25">
      <c r="D44"/>
      <c r="E44" s="91"/>
      <c r="F44" t="s">
        <v>193</v>
      </c>
      <c r="G44" t="s">
        <v>203</v>
      </c>
      <c r="H44" s="51"/>
      <c r="J44" s="25">
        <f>'Volume adjustments'!J$73</f>
        <v>0.29399702125357685</v>
      </c>
      <c r="K44" s="25">
        <f>'Volume adjustments'!K$73</f>
        <v>0.29399702125357685</v>
      </c>
      <c r="L44" s="25">
        <f>'Volume adjustments'!L$73</f>
        <v>0.29399702125357685</v>
      </c>
      <c r="M44" s="25">
        <f>'Volume adjustments'!M$73</f>
        <v>0.29399702125357685</v>
      </c>
      <c r="N44" s="25">
        <f>'Volume adjustments'!N$73</f>
        <v>0.29399702125357685</v>
      </c>
      <c r="O44" s="25">
        <f>'Volume adjustments'!O$73</f>
        <v>0.29399702125357685</v>
      </c>
      <c r="P44" s="25">
        <f>'Volume adjustments'!P$73</f>
        <v>0.29399702125357685</v>
      </c>
      <c r="Q44" s="25">
        <f>'Volume adjustments'!Q$73</f>
        <v>0</v>
      </c>
      <c r="R44" s="25">
        <f>'Volume adjustments'!R$73</f>
        <v>0</v>
      </c>
      <c r="S44" s="25">
        <f>'Volume adjustments'!S$73</f>
        <v>0.29399702125357685</v>
      </c>
      <c r="T44" s="25">
        <f>'Volume adjustments'!T$73</f>
        <v>0.29399702125357685</v>
      </c>
      <c r="U44" s="25">
        <f>'Volume adjustments'!U$73</f>
        <v>0.29399702125357685</v>
      </c>
      <c r="V44" s="25">
        <f>'Volume adjustments'!V$73</f>
        <v>0</v>
      </c>
      <c r="W44" s="25">
        <f>'Volume adjustments'!W$73</f>
        <v>0</v>
      </c>
      <c r="X44" s="25">
        <f>'Volume adjustments'!X$73</f>
        <v>0.29399702125357685</v>
      </c>
      <c r="Y44" s="25">
        <f>'Volume adjustments'!Y$73</f>
        <v>0.29399702125357685</v>
      </c>
      <c r="Z44" s="25">
        <f>'Volume adjustments'!Z$73</f>
        <v>0.29399702125357685</v>
      </c>
      <c r="AA44" s="25">
        <f>'Volume adjustments'!AA$73</f>
        <v>0.29399702125357685</v>
      </c>
      <c r="AB44" s="25">
        <f>'Volume adjustments'!AB$73</f>
        <v>0.29399702125357685</v>
      </c>
      <c r="AC44" s="25">
        <f>'Volume adjustments'!AC$73</f>
        <v>0</v>
      </c>
      <c r="AD44" s="25">
        <f>'Volume adjustments'!AD$73</f>
        <v>0</v>
      </c>
      <c r="AE44" s="25">
        <f>'Volume adjustments'!AE$73</f>
        <v>0</v>
      </c>
      <c r="AF44" s="25">
        <f>'Volume adjustments'!AF$73</f>
        <v>0</v>
      </c>
      <c r="AG44" s="25">
        <f>'Volume adjustments'!AG$73</f>
        <v>0</v>
      </c>
      <c r="AH44" s="25">
        <f>'Volume adjustments'!AH$73</f>
        <v>0</v>
      </c>
      <c r="AI44" s="25">
        <f>'Volume adjustments'!AI$73</f>
        <v>0</v>
      </c>
      <c r="AJ44" s="25">
        <f>'Volume adjustments'!AJ$73</f>
        <v>0</v>
      </c>
      <c r="AK44" s="25">
        <f>'Volume adjustments'!AK$73</f>
        <v>0</v>
      </c>
      <c r="AL44" s="25">
        <f>'Volume adjustments'!AL$73</f>
        <v>0</v>
      </c>
      <c r="AM44" s="25">
        <f>'Volume adjustments'!AM$73</f>
        <v>0</v>
      </c>
      <c r="AN44" s="25">
        <f>'Volume adjustments'!AN$73</f>
        <v>0</v>
      </c>
      <c r="AO44" s="25">
        <f>'Volume adjustments'!AO$73</f>
        <v>0</v>
      </c>
      <c r="AP44" s="25">
        <f>'Volume adjustments'!AP$73</f>
        <v>0</v>
      </c>
    </row>
    <row r="45" spans="3:44" x14ac:dyDescent="0.25">
      <c r="D45"/>
      <c r="E45" s="91"/>
      <c r="F45" t="s">
        <v>194</v>
      </c>
      <c r="G45" t="s">
        <v>203</v>
      </c>
      <c r="H45" s="51"/>
      <c r="J45" s="25">
        <f>'Volume adjustments'!J$84</f>
        <v>0.29399702125357685</v>
      </c>
      <c r="K45" s="25">
        <f>'Volume adjustments'!K$84</f>
        <v>0.29399702125357685</v>
      </c>
      <c r="L45" s="25">
        <f>'Volume adjustments'!L$84</f>
        <v>0.29399702125357685</v>
      </c>
      <c r="M45" s="25">
        <f>'Volume adjustments'!M$84</f>
        <v>0.29399702125357685</v>
      </c>
      <c r="N45" s="25">
        <f>'Volume adjustments'!N$84</f>
        <v>0.29399702125357685</v>
      </c>
      <c r="O45" s="25">
        <f>'Volume adjustments'!O$84</f>
        <v>0.29399702125357685</v>
      </c>
      <c r="P45" s="25">
        <f>'Volume adjustments'!P$84</f>
        <v>0.29399702125357685</v>
      </c>
      <c r="Q45" s="25">
        <f>'Volume adjustments'!Q$84</f>
        <v>0</v>
      </c>
      <c r="R45" s="25">
        <f>'Volume adjustments'!R$84</f>
        <v>0</v>
      </c>
      <c r="S45" s="25">
        <f>'Volume adjustments'!S$84</f>
        <v>0.29399702125357685</v>
      </c>
      <c r="T45" s="25">
        <f>'Volume adjustments'!T$84</f>
        <v>0.29399702125357685</v>
      </c>
      <c r="U45" s="25">
        <f>'Volume adjustments'!U$84</f>
        <v>0.29399702125357685</v>
      </c>
      <c r="V45" s="25">
        <f>'Volume adjustments'!V$84</f>
        <v>0</v>
      </c>
      <c r="W45" s="25">
        <f>'Volume adjustments'!W$84</f>
        <v>0</v>
      </c>
      <c r="X45" s="25">
        <f>'Volume adjustments'!X$84</f>
        <v>0.29399702125357685</v>
      </c>
      <c r="Y45" s="25">
        <f>'Volume adjustments'!Y$84</f>
        <v>0.29399702125357685</v>
      </c>
      <c r="Z45" s="25">
        <f>'Volume adjustments'!Z$84</f>
        <v>0.29399702125357685</v>
      </c>
      <c r="AA45" s="25">
        <f>'Volume adjustments'!AA$84</f>
        <v>0.29399702125357685</v>
      </c>
      <c r="AB45" s="25">
        <f>'Volume adjustments'!AB$84</f>
        <v>0.29399702125357685</v>
      </c>
      <c r="AC45" s="25">
        <f>'Volume adjustments'!AC$84</f>
        <v>0</v>
      </c>
      <c r="AD45" s="25">
        <f>'Volume adjustments'!AD$84</f>
        <v>0</v>
      </c>
      <c r="AE45" s="25">
        <f>'Volume adjustments'!AE$84</f>
        <v>0</v>
      </c>
      <c r="AF45" s="25">
        <f>'Volume adjustments'!AF$84</f>
        <v>0</v>
      </c>
      <c r="AG45" s="25">
        <f>'Volume adjustments'!AG$84</f>
        <v>0</v>
      </c>
      <c r="AH45" s="25">
        <f>'Volume adjustments'!AH$84</f>
        <v>0</v>
      </c>
      <c r="AI45" s="25">
        <f>'Volume adjustments'!AI$84</f>
        <v>0</v>
      </c>
      <c r="AJ45" s="25">
        <f>'Volume adjustments'!AJ$84</f>
        <v>0</v>
      </c>
      <c r="AK45" s="25">
        <f>'Volume adjustments'!AK$84</f>
        <v>0</v>
      </c>
      <c r="AL45" s="25">
        <f>'Volume adjustments'!AL$84</f>
        <v>0</v>
      </c>
      <c r="AM45" s="25">
        <f>'Volume adjustments'!AM$84</f>
        <v>0</v>
      </c>
      <c r="AN45" s="25">
        <f>'Volume adjustments'!AN$84</f>
        <v>0</v>
      </c>
      <c r="AO45" s="25">
        <f>'Volume adjustments'!AO$84</f>
        <v>0</v>
      </c>
      <c r="AP45" s="25">
        <f>'Volume adjustments'!AP$84</f>
        <v>0</v>
      </c>
    </row>
    <row r="46" spans="3:44" x14ac:dyDescent="0.25">
      <c r="D46"/>
      <c r="E46" s="91"/>
      <c r="F46" t="s">
        <v>195</v>
      </c>
      <c r="G46" t="s">
        <v>203</v>
      </c>
      <c r="H46" s="51"/>
      <c r="J46" s="25">
        <f>'Volume adjustments'!J$99</f>
        <v>0.29399702125357685</v>
      </c>
      <c r="K46" s="25">
        <f>'Volume adjustments'!K$99</f>
        <v>0.29399702125357685</v>
      </c>
      <c r="L46" s="25">
        <f>'Volume adjustments'!L$99</f>
        <v>0.29399702125357685</v>
      </c>
      <c r="M46" s="25">
        <f>'Volume adjustments'!M$99</f>
        <v>0.29399702125357685</v>
      </c>
      <c r="N46" s="25">
        <f>'Volume adjustments'!N$99</f>
        <v>0.29399702125357685</v>
      </c>
      <c r="O46" s="25">
        <f>'Volume adjustments'!O$99</f>
        <v>0.29399702125357685</v>
      </c>
      <c r="P46" s="25">
        <f>'Volume adjustments'!P$99</f>
        <v>0.29399702125357685</v>
      </c>
      <c r="Q46" s="25">
        <f>'Volume adjustments'!Q$99</f>
        <v>0</v>
      </c>
      <c r="R46" s="25">
        <f>'Volume adjustments'!R$99</f>
        <v>0</v>
      </c>
      <c r="S46" s="25">
        <f>'Volume adjustments'!S$99</f>
        <v>0.29399702125357685</v>
      </c>
      <c r="T46" s="25">
        <f>'Volume adjustments'!T$99</f>
        <v>0.29399702125357685</v>
      </c>
      <c r="U46" s="25">
        <f>'Volume adjustments'!U$99</f>
        <v>0.29399702125357685</v>
      </c>
      <c r="V46" s="25">
        <f>'Volume adjustments'!V$99</f>
        <v>0</v>
      </c>
      <c r="W46" s="25">
        <f>'Volume adjustments'!W$99</f>
        <v>0</v>
      </c>
      <c r="X46" s="25">
        <f>'Volume adjustments'!X$99</f>
        <v>0.29399702125357685</v>
      </c>
      <c r="Y46" s="25">
        <f>'Volume adjustments'!Y$99</f>
        <v>0.29399702125357685</v>
      </c>
      <c r="Z46" s="25">
        <f>'Volume adjustments'!Z$99</f>
        <v>0.29399702125357685</v>
      </c>
      <c r="AA46" s="25">
        <f>'Volume adjustments'!AA$99</f>
        <v>0.29399702125357685</v>
      </c>
      <c r="AB46" s="25">
        <f>'Volume adjustments'!AB$99</f>
        <v>0.29399702125357685</v>
      </c>
      <c r="AC46" s="25">
        <f>'Volume adjustments'!AC$99</f>
        <v>1</v>
      </c>
      <c r="AD46" s="25">
        <f>'Volume adjustments'!AD$99</f>
        <v>1</v>
      </c>
      <c r="AE46" s="25">
        <f>'Volume adjustments'!AE$99</f>
        <v>1</v>
      </c>
      <c r="AF46" s="25">
        <f>'Volume adjustments'!AF$99</f>
        <v>1</v>
      </c>
      <c r="AG46" s="25">
        <f>'Volume adjustments'!AG$99</f>
        <v>1</v>
      </c>
      <c r="AH46" s="25">
        <f>'Volume adjustments'!AH$99</f>
        <v>1</v>
      </c>
      <c r="AI46" s="25">
        <f>'Volume adjustments'!AI$99</f>
        <v>1</v>
      </c>
      <c r="AJ46" s="25">
        <f>'Volume adjustments'!AJ$99</f>
        <v>1</v>
      </c>
      <c r="AK46" s="25">
        <f>'Volume adjustments'!AK$99</f>
        <v>1</v>
      </c>
      <c r="AL46" s="25">
        <f>'Volume adjustments'!AL$99</f>
        <v>1</v>
      </c>
      <c r="AM46" s="25">
        <f>'Volume adjustments'!AM$99</f>
        <v>1</v>
      </c>
      <c r="AN46" s="25">
        <f>'Volume adjustments'!AN$99</f>
        <v>1</v>
      </c>
      <c r="AO46" s="25">
        <f>'Volume adjustments'!AO$99</f>
        <v>1</v>
      </c>
      <c r="AP46" s="25">
        <f>'Volume adjustments'!AP$99</f>
        <v>1</v>
      </c>
    </row>
    <row r="47" spans="3:44" x14ac:dyDescent="0.25">
      <c r="D47"/>
      <c r="E47" s="91"/>
      <c r="F47" t="s">
        <v>196</v>
      </c>
      <c r="G47" t="s">
        <v>203</v>
      </c>
      <c r="H47" s="51"/>
      <c r="J47" s="25">
        <f>'Volume adjustments'!J$110</f>
        <v>0.29399702125357685</v>
      </c>
      <c r="K47" s="25">
        <f>'Volume adjustments'!K$110</f>
        <v>0.29399702125357685</v>
      </c>
      <c r="L47" s="25">
        <f>'Volume adjustments'!L$110</f>
        <v>0.29399702125357685</v>
      </c>
      <c r="M47" s="25">
        <f>'Volume adjustments'!M$110</f>
        <v>0.29399702125357685</v>
      </c>
      <c r="N47" s="25">
        <f>'Volume adjustments'!N$110</f>
        <v>0.29399702125357685</v>
      </c>
      <c r="O47" s="25">
        <f>'Volume adjustments'!O$110</f>
        <v>0.29399702125357685</v>
      </c>
      <c r="P47" s="25">
        <f>'Volume adjustments'!P$110</f>
        <v>0.29399702125357685</v>
      </c>
      <c r="Q47" s="25">
        <f>'Volume adjustments'!Q$110</f>
        <v>0</v>
      </c>
      <c r="R47" s="25">
        <f>'Volume adjustments'!R$110</f>
        <v>0</v>
      </c>
      <c r="S47" s="25">
        <f>'Volume adjustments'!S$110</f>
        <v>0.29399702125357685</v>
      </c>
      <c r="T47" s="25">
        <f>'Volume adjustments'!T$110</f>
        <v>0.29399702125357685</v>
      </c>
      <c r="U47" s="25">
        <f>'Volume adjustments'!U$110</f>
        <v>0.29399702125357685</v>
      </c>
      <c r="V47" s="25">
        <f>'Volume adjustments'!V$110</f>
        <v>0</v>
      </c>
      <c r="W47" s="25">
        <f>'Volume adjustments'!W$110</f>
        <v>0</v>
      </c>
      <c r="X47" s="25">
        <f>'Volume adjustments'!X$110</f>
        <v>0.29399702125357685</v>
      </c>
      <c r="Y47" s="25">
        <f>'Volume adjustments'!Y$110</f>
        <v>0.29399702125357685</v>
      </c>
      <c r="Z47" s="25">
        <f>'Volume adjustments'!Z$110</f>
        <v>0.29399702125357685</v>
      </c>
      <c r="AA47" s="25">
        <f>'Volume adjustments'!AA$110</f>
        <v>0.29399702125357685</v>
      </c>
      <c r="AB47" s="25">
        <f>'Volume adjustments'!AB$110</f>
        <v>0.29399702125357685</v>
      </c>
      <c r="AC47" s="25">
        <f>'Volume adjustments'!AC$110</f>
        <v>0</v>
      </c>
      <c r="AD47" s="25">
        <f>'Volume adjustments'!AD$110</f>
        <v>0</v>
      </c>
      <c r="AE47" s="25">
        <f>'Volume adjustments'!AE$110</f>
        <v>0</v>
      </c>
      <c r="AF47" s="25">
        <f>'Volume adjustments'!AF$110</f>
        <v>0</v>
      </c>
      <c r="AG47" s="25">
        <f>'Volume adjustments'!AG$110</f>
        <v>0</v>
      </c>
      <c r="AH47" s="25">
        <f>'Volume adjustments'!AH$110</f>
        <v>0</v>
      </c>
      <c r="AI47" s="25">
        <f>'Volume adjustments'!AI$110</f>
        <v>0</v>
      </c>
      <c r="AJ47" s="25">
        <f>'Volume adjustments'!AJ$110</f>
        <v>0</v>
      </c>
      <c r="AK47" s="25">
        <f>'Volume adjustments'!AK$110</f>
        <v>0</v>
      </c>
      <c r="AL47" s="25">
        <f>'Volume adjustments'!AL$110</f>
        <v>0</v>
      </c>
      <c r="AM47" s="25">
        <f>'Volume adjustments'!AM$110</f>
        <v>0</v>
      </c>
      <c r="AN47" s="25">
        <f>'Volume adjustments'!AN$110</f>
        <v>0</v>
      </c>
      <c r="AO47" s="25">
        <f>'Volume adjustments'!AO$110</f>
        <v>0</v>
      </c>
      <c r="AP47" s="25">
        <f>'Volume adjustments'!AP$110</f>
        <v>0</v>
      </c>
    </row>
    <row r="48" spans="3:44" x14ac:dyDescent="0.25">
      <c r="D48"/>
      <c r="E48" s="91"/>
      <c r="F48" t="s">
        <v>197</v>
      </c>
      <c r="G48" t="s">
        <v>203</v>
      </c>
      <c r="H48" s="51"/>
      <c r="J48" s="25">
        <f>'Volume adjustments'!J$121</f>
        <v>0.29399702125357685</v>
      </c>
      <c r="K48" s="25">
        <f>'Volume adjustments'!K$121</f>
        <v>0.29399702125357685</v>
      </c>
      <c r="L48" s="25">
        <f>'Volume adjustments'!L$121</f>
        <v>0.29399702125357685</v>
      </c>
      <c r="M48" s="25">
        <f>'Volume adjustments'!M$121</f>
        <v>0.29399702125357685</v>
      </c>
      <c r="N48" s="25">
        <f>'Volume adjustments'!N$121</f>
        <v>0.29399702125357685</v>
      </c>
      <c r="O48" s="25">
        <f>'Volume adjustments'!O$121</f>
        <v>0.29399702125357685</v>
      </c>
      <c r="P48" s="25">
        <f>'Volume adjustments'!P$121</f>
        <v>0.29399702125357685</v>
      </c>
      <c r="Q48" s="25">
        <f>'Volume adjustments'!Q$121</f>
        <v>0</v>
      </c>
      <c r="R48" s="25">
        <f>'Volume adjustments'!R$121</f>
        <v>0</v>
      </c>
      <c r="S48" s="25">
        <f>'Volume adjustments'!S$121</f>
        <v>0.29399702125357685</v>
      </c>
      <c r="T48" s="25">
        <f>'Volume adjustments'!T$121</f>
        <v>0.29399702125357685</v>
      </c>
      <c r="U48" s="25">
        <f>'Volume adjustments'!U$121</f>
        <v>0.29399702125357685</v>
      </c>
      <c r="V48" s="25">
        <f>'Volume adjustments'!V$121</f>
        <v>0</v>
      </c>
      <c r="W48" s="25">
        <f>'Volume adjustments'!W$121</f>
        <v>0</v>
      </c>
      <c r="X48" s="25">
        <f>'Volume adjustments'!X$121</f>
        <v>0.29399702125357685</v>
      </c>
      <c r="Y48" s="25">
        <f>'Volume adjustments'!Y$121</f>
        <v>0.29399702125357685</v>
      </c>
      <c r="Z48" s="25">
        <f>'Volume adjustments'!Z$121</f>
        <v>0.29399702125357685</v>
      </c>
      <c r="AA48" s="25">
        <f>'Volume adjustments'!AA$121</f>
        <v>0.29399702125357685</v>
      </c>
      <c r="AB48" s="25">
        <f>'Volume adjustments'!AB$121</f>
        <v>0.29399702125357685</v>
      </c>
      <c r="AC48" s="25">
        <f>'Volume adjustments'!AC$121</f>
        <v>0</v>
      </c>
      <c r="AD48" s="25">
        <f>'Volume adjustments'!AD$121</f>
        <v>0</v>
      </c>
      <c r="AE48" s="25">
        <f>'Volume adjustments'!AE$121</f>
        <v>0</v>
      </c>
      <c r="AF48" s="25">
        <f>'Volume adjustments'!AF$121</f>
        <v>0</v>
      </c>
      <c r="AG48" s="25">
        <f>'Volume adjustments'!AG$121</f>
        <v>0</v>
      </c>
      <c r="AH48" s="25">
        <f>'Volume adjustments'!AH$121</f>
        <v>0</v>
      </c>
      <c r="AI48" s="25">
        <f>'Volume adjustments'!AI$121</f>
        <v>0</v>
      </c>
      <c r="AJ48" s="25">
        <f>'Volume adjustments'!AJ$121</f>
        <v>0</v>
      </c>
      <c r="AK48" s="25">
        <f>'Volume adjustments'!AK$121</f>
        <v>0</v>
      </c>
      <c r="AL48" s="25">
        <f>'Volume adjustments'!AL$121</f>
        <v>0</v>
      </c>
      <c r="AM48" s="25">
        <f>'Volume adjustments'!AM$121</f>
        <v>0</v>
      </c>
      <c r="AN48" s="25">
        <f>'Volume adjustments'!AN$121</f>
        <v>0</v>
      </c>
      <c r="AO48" s="25">
        <f>'Volume adjustments'!AO$121</f>
        <v>0</v>
      </c>
      <c r="AP48" s="25">
        <f>'Volume adjustments'!AP$121</f>
        <v>0</v>
      </c>
    </row>
    <row r="49" spans="3:44" x14ac:dyDescent="0.25">
      <c r="D49"/>
      <c r="E49" s="91"/>
      <c r="F49" s="37" t="s">
        <v>198</v>
      </c>
      <c r="G49" s="37" t="s">
        <v>203</v>
      </c>
      <c r="H49" s="241"/>
      <c r="I49" s="37"/>
      <c r="J49" s="144">
        <f>'Volume adjustments'!J$132</f>
        <v>0.29399702125357685</v>
      </c>
      <c r="K49" s="144">
        <f>'Volume adjustments'!K$132</f>
        <v>0.29399702125357685</v>
      </c>
      <c r="L49" s="144">
        <f>'Volume adjustments'!L$132</f>
        <v>0.29399702125357685</v>
      </c>
      <c r="M49" s="144">
        <f>'Volume adjustments'!M$132</f>
        <v>0.29399702125357685</v>
      </c>
      <c r="N49" s="144">
        <f>'Volume adjustments'!N$132</f>
        <v>0.29399702125357685</v>
      </c>
      <c r="O49" s="144">
        <f>'Volume adjustments'!O$132</f>
        <v>0.29399702125357685</v>
      </c>
      <c r="P49" s="144">
        <f>'Volume adjustments'!P$132</f>
        <v>0.29399702125357685</v>
      </c>
      <c r="Q49" s="144">
        <f>'Volume adjustments'!Q$132</f>
        <v>0</v>
      </c>
      <c r="R49" s="144">
        <f>'Volume adjustments'!R$132</f>
        <v>0</v>
      </c>
      <c r="S49" s="144">
        <f>'Volume adjustments'!S$132</f>
        <v>0.29399702125357685</v>
      </c>
      <c r="T49" s="144">
        <f>'Volume adjustments'!T$132</f>
        <v>0.29399702125357685</v>
      </c>
      <c r="U49" s="144">
        <f>'Volume adjustments'!U$132</f>
        <v>0.29399702125357685</v>
      </c>
      <c r="V49" s="144">
        <f>'Volume adjustments'!V$132</f>
        <v>0</v>
      </c>
      <c r="W49" s="144">
        <f>'Volume adjustments'!W$132</f>
        <v>0</v>
      </c>
      <c r="X49" s="144">
        <f>'Volume adjustments'!X$132</f>
        <v>0.29399702125357685</v>
      </c>
      <c r="Y49" s="144">
        <f>'Volume adjustments'!Y$132</f>
        <v>0.29399702125357685</v>
      </c>
      <c r="Z49" s="144">
        <f>'Volume adjustments'!Z$132</f>
        <v>0.29399702125357685</v>
      </c>
      <c r="AA49" s="144">
        <f>'Volume adjustments'!AA$132</f>
        <v>0.29399702125357685</v>
      </c>
      <c r="AB49" s="144">
        <f>'Volume adjustments'!AB$132</f>
        <v>0.29399702125357685</v>
      </c>
      <c r="AC49" s="144">
        <f>'Volume adjustments'!AC$132</f>
        <v>0</v>
      </c>
      <c r="AD49" s="144">
        <f>'Volume adjustments'!AD$132</f>
        <v>0</v>
      </c>
      <c r="AE49" s="144">
        <f>'Volume adjustments'!AE$132</f>
        <v>0</v>
      </c>
      <c r="AF49" s="144">
        <f>'Volume adjustments'!AF$132</f>
        <v>0</v>
      </c>
      <c r="AG49" s="144">
        <f>'Volume adjustments'!AG$132</f>
        <v>0</v>
      </c>
      <c r="AH49" s="144">
        <f>'Volume adjustments'!AH$132</f>
        <v>0</v>
      </c>
      <c r="AI49" s="144">
        <f>'Volume adjustments'!AI$132</f>
        <v>0</v>
      </c>
      <c r="AJ49" s="144">
        <f>'Volume adjustments'!AJ$132</f>
        <v>0</v>
      </c>
      <c r="AK49" s="144">
        <f>'Volume adjustments'!AK$132</f>
        <v>0</v>
      </c>
      <c r="AL49" s="144">
        <f>'Volume adjustments'!AL$132</f>
        <v>0</v>
      </c>
      <c r="AM49" s="144">
        <f>'Volume adjustments'!AM$132</f>
        <v>0</v>
      </c>
      <c r="AN49" s="144">
        <f>'Volume adjustments'!AN$132</f>
        <v>0</v>
      </c>
      <c r="AO49" s="144">
        <f>'Volume adjustments'!AO$132</f>
        <v>0</v>
      </c>
      <c r="AP49" s="144">
        <f>'Volume adjustments'!AP$132</f>
        <v>0</v>
      </c>
    </row>
    <row r="50" spans="3:44" x14ac:dyDescent="0.25">
      <c r="D50" s="91"/>
      <c r="E50"/>
    </row>
    <row r="51" spans="3:44" x14ac:dyDescent="0.25">
      <c r="D51"/>
      <c r="E51" s="91" t="s">
        <v>1040</v>
      </c>
      <c r="I51" t="s">
        <v>190</v>
      </c>
      <c r="AR51" t="s">
        <v>488</v>
      </c>
    </row>
    <row r="52" spans="3:44" x14ac:dyDescent="0.25">
      <c r="D52"/>
      <c r="E52" s="91"/>
      <c r="F52" s="23" t="s">
        <v>192</v>
      </c>
      <c r="G52" s="23" t="s">
        <v>203</v>
      </c>
      <c r="H52" s="191"/>
      <c r="I52" s="23"/>
      <c r="J52" s="110">
        <f>'Volume adjustments'!J$63</f>
        <v>0.58159328142725919</v>
      </c>
      <c r="K52" s="110">
        <f>'Volume adjustments'!K$63</f>
        <v>0.58159328142725919</v>
      </c>
      <c r="L52" s="110">
        <f>'Volume adjustments'!L$63</f>
        <v>0.58159328142725919</v>
      </c>
      <c r="M52" s="110">
        <f>'Volume adjustments'!M$63</f>
        <v>0.58159328142725919</v>
      </c>
      <c r="N52" s="110">
        <f>'Volume adjustments'!N$63</f>
        <v>0.58159328142725919</v>
      </c>
      <c r="O52" s="110">
        <f>'Volume adjustments'!O$63</f>
        <v>0.58159328142725919</v>
      </c>
      <c r="P52" s="110">
        <f>'Volume adjustments'!P$63</f>
        <v>0.58159328142725919</v>
      </c>
      <c r="Q52" s="110">
        <f>'Volume adjustments'!Q$63</f>
        <v>0</v>
      </c>
      <c r="R52" s="110">
        <f>'Volume adjustments'!R$63</f>
        <v>0</v>
      </c>
      <c r="S52" s="110">
        <f>'Volume adjustments'!S$63</f>
        <v>0.58159328142725919</v>
      </c>
      <c r="T52" s="110">
        <f>'Volume adjustments'!T$63</f>
        <v>0.58159328142725919</v>
      </c>
      <c r="U52" s="110">
        <f>'Volume adjustments'!U$63</f>
        <v>0.58159328142725919</v>
      </c>
      <c r="V52" s="110">
        <f>'Volume adjustments'!V$63</f>
        <v>0.39416189548233249</v>
      </c>
      <c r="W52" s="110">
        <f>'Volume adjustments'!W$63</f>
        <v>0.33724217358094977</v>
      </c>
      <c r="X52" s="110">
        <f>'Volume adjustments'!X$63</f>
        <v>0.58159328142725919</v>
      </c>
      <c r="Y52" s="110">
        <f>'Volume adjustments'!Y$63</f>
        <v>0.58159328142725919</v>
      </c>
      <c r="Z52" s="110">
        <f>'Volume adjustments'!Z$63</f>
        <v>0.58159328142725919</v>
      </c>
      <c r="AA52" s="110">
        <f>'Volume adjustments'!AA$63</f>
        <v>0.58159328142725919</v>
      </c>
      <c r="AB52" s="110">
        <f>'Volume adjustments'!AB$63</f>
        <v>0.58159328142725919</v>
      </c>
      <c r="AC52" s="110">
        <f>'Volume adjustments'!AC$63</f>
        <v>0</v>
      </c>
      <c r="AD52" s="110">
        <f>'Volume adjustments'!AD$63</f>
        <v>0</v>
      </c>
      <c r="AE52" s="110">
        <f>'Volume adjustments'!AE$63</f>
        <v>0</v>
      </c>
      <c r="AF52" s="110">
        <f>'Volume adjustments'!AF$63</f>
        <v>0</v>
      </c>
      <c r="AG52" s="110">
        <f>'Volume adjustments'!AG$63</f>
        <v>0</v>
      </c>
      <c r="AH52" s="110">
        <f>'Volume adjustments'!AH$63</f>
        <v>0</v>
      </c>
      <c r="AI52" s="110">
        <f>'Volume adjustments'!AI$63</f>
        <v>0</v>
      </c>
      <c r="AJ52" s="110">
        <f>'Volume adjustments'!AJ$63</f>
        <v>0</v>
      </c>
      <c r="AK52" s="110">
        <f>'Volume adjustments'!AK$63</f>
        <v>0</v>
      </c>
      <c r="AL52" s="110">
        <f>'Volume adjustments'!AL$63</f>
        <v>0</v>
      </c>
      <c r="AM52" s="110">
        <f>'Volume adjustments'!AM$63</f>
        <v>0</v>
      </c>
      <c r="AN52" s="110">
        <f>'Volume adjustments'!AN$63</f>
        <v>0</v>
      </c>
      <c r="AO52" s="110">
        <f>'Volume adjustments'!AO$63</f>
        <v>0</v>
      </c>
      <c r="AP52" s="110">
        <f>'Volume adjustments'!AP$63</f>
        <v>0</v>
      </c>
    </row>
    <row r="53" spans="3:44" x14ac:dyDescent="0.25">
      <c r="D53"/>
      <c r="E53" s="91"/>
      <c r="F53" t="s">
        <v>193</v>
      </c>
      <c r="G53" t="s">
        <v>203</v>
      </c>
      <c r="H53" s="51"/>
      <c r="J53" s="25">
        <f>'Volume adjustments'!J$74</f>
        <v>0.58159328142725919</v>
      </c>
      <c r="K53" s="25">
        <f>'Volume adjustments'!K$74</f>
        <v>0.58159328142725919</v>
      </c>
      <c r="L53" s="25">
        <f>'Volume adjustments'!L$74</f>
        <v>0.58159328142725919</v>
      </c>
      <c r="M53" s="25">
        <f>'Volume adjustments'!M$74</f>
        <v>0.58159328142725919</v>
      </c>
      <c r="N53" s="25">
        <f>'Volume adjustments'!N$74</f>
        <v>0.58159328142725919</v>
      </c>
      <c r="O53" s="25">
        <f>'Volume adjustments'!O$74</f>
        <v>0.58159328142725919</v>
      </c>
      <c r="P53" s="25">
        <f>'Volume adjustments'!P$74</f>
        <v>0.58159328142725919</v>
      </c>
      <c r="Q53" s="25">
        <f>'Volume adjustments'!Q$74</f>
        <v>0</v>
      </c>
      <c r="R53" s="25">
        <f>'Volume adjustments'!R$74</f>
        <v>0</v>
      </c>
      <c r="S53" s="25">
        <f>'Volume adjustments'!S$74</f>
        <v>0.58159328142725919</v>
      </c>
      <c r="T53" s="25">
        <f>'Volume adjustments'!T$74</f>
        <v>0.58159328142725919</v>
      </c>
      <c r="U53" s="25">
        <f>'Volume adjustments'!U$74</f>
        <v>0.58159328142725919</v>
      </c>
      <c r="V53" s="25">
        <f>'Volume adjustments'!V$74</f>
        <v>0.39416189548233249</v>
      </c>
      <c r="W53" s="25">
        <f>'Volume adjustments'!W$74</f>
        <v>0.33724217358094977</v>
      </c>
      <c r="X53" s="25">
        <f>'Volume adjustments'!X$74</f>
        <v>0.58159328142725919</v>
      </c>
      <c r="Y53" s="25">
        <f>'Volume adjustments'!Y$74</f>
        <v>0.58159328142725919</v>
      </c>
      <c r="Z53" s="25">
        <f>'Volume adjustments'!Z$74</f>
        <v>0.58159328142725919</v>
      </c>
      <c r="AA53" s="25">
        <f>'Volume adjustments'!AA$74</f>
        <v>0.58159328142725919</v>
      </c>
      <c r="AB53" s="25">
        <f>'Volume adjustments'!AB$74</f>
        <v>0.58159328142725919</v>
      </c>
      <c r="AC53" s="25">
        <f>'Volume adjustments'!AC$74</f>
        <v>0</v>
      </c>
      <c r="AD53" s="25">
        <f>'Volume adjustments'!AD$74</f>
        <v>0</v>
      </c>
      <c r="AE53" s="25">
        <f>'Volume adjustments'!AE$74</f>
        <v>0</v>
      </c>
      <c r="AF53" s="25">
        <f>'Volume adjustments'!AF$74</f>
        <v>0</v>
      </c>
      <c r="AG53" s="25">
        <f>'Volume adjustments'!AG$74</f>
        <v>0</v>
      </c>
      <c r="AH53" s="25">
        <f>'Volume adjustments'!AH$74</f>
        <v>0</v>
      </c>
      <c r="AI53" s="25">
        <f>'Volume adjustments'!AI$74</f>
        <v>0</v>
      </c>
      <c r="AJ53" s="25">
        <f>'Volume adjustments'!AJ$74</f>
        <v>0</v>
      </c>
      <c r="AK53" s="25">
        <f>'Volume adjustments'!AK$74</f>
        <v>0</v>
      </c>
      <c r="AL53" s="25">
        <f>'Volume adjustments'!AL$74</f>
        <v>0</v>
      </c>
      <c r="AM53" s="25">
        <f>'Volume adjustments'!AM$74</f>
        <v>0</v>
      </c>
      <c r="AN53" s="25">
        <f>'Volume adjustments'!AN$74</f>
        <v>0</v>
      </c>
      <c r="AO53" s="25">
        <f>'Volume adjustments'!AO$74</f>
        <v>0</v>
      </c>
      <c r="AP53" s="25">
        <f>'Volume adjustments'!AP$74</f>
        <v>0</v>
      </c>
    </row>
    <row r="54" spans="3:44" x14ac:dyDescent="0.25">
      <c r="D54"/>
      <c r="E54" s="91"/>
      <c r="F54" t="s">
        <v>194</v>
      </c>
      <c r="G54" t="s">
        <v>203</v>
      </c>
      <c r="H54" s="51"/>
      <c r="J54" s="25">
        <f>'Volume adjustments'!J$85</f>
        <v>0.58159328142725919</v>
      </c>
      <c r="K54" s="25">
        <f>'Volume adjustments'!K$85</f>
        <v>0.58159328142725919</v>
      </c>
      <c r="L54" s="25">
        <f>'Volume adjustments'!L$85</f>
        <v>0.58159328142725919</v>
      </c>
      <c r="M54" s="25">
        <f>'Volume adjustments'!M$85</f>
        <v>0.58159328142725919</v>
      </c>
      <c r="N54" s="25">
        <f>'Volume adjustments'!N$85</f>
        <v>0.58159328142725919</v>
      </c>
      <c r="O54" s="25">
        <f>'Volume adjustments'!O$85</f>
        <v>0.58159328142725919</v>
      </c>
      <c r="P54" s="25">
        <f>'Volume adjustments'!P$85</f>
        <v>0.58159328142725919</v>
      </c>
      <c r="Q54" s="25">
        <f>'Volume adjustments'!Q$85</f>
        <v>0</v>
      </c>
      <c r="R54" s="25">
        <f>'Volume adjustments'!R$85</f>
        <v>0</v>
      </c>
      <c r="S54" s="25">
        <f>'Volume adjustments'!S$85</f>
        <v>0.58159328142725919</v>
      </c>
      <c r="T54" s="25">
        <f>'Volume adjustments'!T$85</f>
        <v>0.58159328142725919</v>
      </c>
      <c r="U54" s="25">
        <f>'Volume adjustments'!U$85</f>
        <v>0.58159328142725919</v>
      </c>
      <c r="V54" s="25">
        <f>'Volume adjustments'!V$85</f>
        <v>0.39416189548233249</v>
      </c>
      <c r="W54" s="25">
        <f>'Volume adjustments'!W$85</f>
        <v>0.33724217358094977</v>
      </c>
      <c r="X54" s="25">
        <f>'Volume adjustments'!X$85</f>
        <v>0.58159328142725919</v>
      </c>
      <c r="Y54" s="25">
        <f>'Volume adjustments'!Y$85</f>
        <v>0.58159328142725919</v>
      </c>
      <c r="Z54" s="25">
        <f>'Volume adjustments'!Z$85</f>
        <v>0.58159328142725919</v>
      </c>
      <c r="AA54" s="25">
        <f>'Volume adjustments'!AA$85</f>
        <v>0.58159328142725919</v>
      </c>
      <c r="AB54" s="25">
        <f>'Volume adjustments'!AB$85</f>
        <v>0.58159328142725919</v>
      </c>
      <c r="AC54" s="25">
        <f>'Volume adjustments'!AC$85</f>
        <v>0</v>
      </c>
      <c r="AD54" s="25">
        <f>'Volume adjustments'!AD$85</f>
        <v>0</v>
      </c>
      <c r="AE54" s="25">
        <f>'Volume adjustments'!AE$85</f>
        <v>0</v>
      </c>
      <c r="AF54" s="25">
        <f>'Volume adjustments'!AF$85</f>
        <v>0</v>
      </c>
      <c r="AG54" s="25">
        <f>'Volume adjustments'!AG$85</f>
        <v>0</v>
      </c>
      <c r="AH54" s="25">
        <f>'Volume adjustments'!AH$85</f>
        <v>0</v>
      </c>
      <c r="AI54" s="25">
        <f>'Volume adjustments'!AI$85</f>
        <v>0</v>
      </c>
      <c r="AJ54" s="25">
        <f>'Volume adjustments'!AJ$85</f>
        <v>0</v>
      </c>
      <c r="AK54" s="25">
        <f>'Volume adjustments'!AK$85</f>
        <v>0</v>
      </c>
      <c r="AL54" s="25">
        <f>'Volume adjustments'!AL$85</f>
        <v>0</v>
      </c>
      <c r="AM54" s="25">
        <f>'Volume adjustments'!AM$85</f>
        <v>0</v>
      </c>
      <c r="AN54" s="25">
        <f>'Volume adjustments'!AN$85</f>
        <v>0</v>
      </c>
      <c r="AO54" s="25">
        <f>'Volume adjustments'!AO$85</f>
        <v>0</v>
      </c>
      <c r="AP54" s="25">
        <f>'Volume adjustments'!AP$85</f>
        <v>0</v>
      </c>
    </row>
    <row r="55" spans="3:44" x14ac:dyDescent="0.25">
      <c r="D55"/>
      <c r="E55" s="91"/>
      <c r="F55" t="s">
        <v>195</v>
      </c>
      <c r="G55" t="s">
        <v>203</v>
      </c>
      <c r="H55" s="51"/>
      <c r="J55" s="25">
        <f>'Volume adjustments'!J$100</f>
        <v>0.58159328142725919</v>
      </c>
      <c r="K55" s="25">
        <f>'Volume adjustments'!K$100</f>
        <v>0.58159328142725919</v>
      </c>
      <c r="L55" s="25">
        <f>'Volume adjustments'!L$100</f>
        <v>0.58159328142725919</v>
      </c>
      <c r="M55" s="25">
        <f>'Volume adjustments'!M$100</f>
        <v>0.58159328142725919</v>
      </c>
      <c r="N55" s="25">
        <f>'Volume adjustments'!N$100</f>
        <v>0.58159328142725919</v>
      </c>
      <c r="O55" s="25">
        <f>'Volume adjustments'!O$100</f>
        <v>0.58159328142725919</v>
      </c>
      <c r="P55" s="25">
        <f>'Volume adjustments'!P$100</f>
        <v>0.58159328142725919</v>
      </c>
      <c r="Q55" s="25">
        <f>'Volume adjustments'!Q$100</f>
        <v>0</v>
      </c>
      <c r="R55" s="25">
        <f>'Volume adjustments'!R$100</f>
        <v>0</v>
      </c>
      <c r="S55" s="25">
        <f>'Volume adjustments'!S$100</f>
        <v>0.58159328142725919</v>
      </c>
      <c r="T55" s="25">
        <f>'Volume adjustments'!T$100</f>
        <v>0.58159328142725919</v>
      </c>
      <c r="U55" s="25">
        <f>'Volume adjustments'!U$100</f>
        <v>0.58159328142725919</v>
      </c>
      <c r="V55" s="25">
        <f>'Volume adjustments'!V$100</f>
        <v>0.39416189548233249</v>
      </c>
      <c r="W55" s="25">
        <f>'Volume adjustments'!W$100</f>
        <v>0.33724217358094977</v>
      </c>
      <c r="X55" s="25">
        <f>'Volume adjustments'!X$100</f>
        <v>0.58159328142725919</v>
      </c>
      <c r="Y55" s="25">
        <f>'Volume adjustments'!Y$100</f>
        <v>0.58159328142725919</v>
      </c>
      <c r="Z55" s="25">
        <f>'Volume adjustments'!Z$100</f>
        <v>0.58159328142725919</v>
      </c>
      <c r="AA55" s="25">
        <f>'Volume adjustments'!AA$100</f>
        <v>0.58159328142725919</v>
      </c>
      <c r="AB55" s="25">
        <f>'Volume adjustments'!AB$100</f>
        <v>0.58159328142725919</v>
      </c>
      <c r="AC55" s="25">
        <f>'Volume adjustments'!AC$100</f>
        <v>1</v>
      </c>
      <c r="AD55" s="25">
        <f>'Volume adjustments'!AD$100</f>
        <v>1</v>
      </c>
      <c r="AE55" s="25">
        <f>'Volume adjustments'!AE$100</f>
        <v>1</v>
      </c>
      <c r="AF55" s="25">
        <f>'Volume adjustments'!AF$100</f>
        <v>1</v>
      </c>
      <c r="AG55" s="25">
        <f>'Volume adjustments'!AG$100</f>
        <v>1</v>
      </c>
      <c r="AH55" s="25">
        <f>'Volume adjustments'!AH$100</f>
        <v>1</v>
      </c>
      <c r="AI55" s="25">
        <f>'Volume adjustments'!AI$100</f>
        <v>1</v>
      </c>
      <c r="AJ55" s="25">
        <f>'Volume adjustments'!AJ$100</f>
        <v>1</v>
      </c>
      <c r="AK55" s="25">
        <f>'Volume adjustments'!AK$100</f>
        <v>1</v>
      </c>
      <c r="AL55" s="25">
        <f>'Volume adjustments'!AL$100</f>
        <v>1</v>
      </c>
      <c r="AM55" s="25">
        <f>'Volume adjustments'!AM$100</f>
        <v>1</v>
      </c>
      <c r="AN55" s="25">
        <f>'Volume adjustments'!AN$100</f>
        <v>1</v>
      </c>
      <c r="AO55" s="25">
        <f>'Volume adjustments'!AO$100</f>
        <v>1</v>
      </c>
      <c r="AP55" s="25">
        <f>'Volume adjustments'!AP$100</f>
        <v>1</v>
      </c>
    </row>
    <row r="56" spans="3:44" x14ac:dyDescent="0.25">
      <c r="D56"/>
      <c r="E56" s="91"/>
      <c r="F56" t="s">
        <v>196</v>
      </c>
      <c r="G56" t="s">
        <v>203</v>
      </c>
      <c r="H56" s="51"/>
      <c r="J56" s="25">
        <f>'Volume adjustments'!J$111</f>
        <v>0.58159328142725919</v>
      </c>
      <c r="K56" s="25">
        <f>'Volume adjustments'!K$111</f>
        <v>0.58159328142725919</v>
      </c>
      <c r="L56" s="25">
        <f>'Volume adjustments'!L$111</f>
        <v>0.58159328142725919</v>
      </c>
      <c r="M56" s="25">
        <f>'Volume adjustments'!M$111</f>
        <v>0.58159328142725919</v>
      </c>
      <c r="N56" s="25">
        <f>'Volume adjustments'!N$111</f>
        <v>0.58159328142725919</v>
      </c>
      <c r="O56" s="25">
        <f>'Volume adjustments'!O$111</f>
        <v>0.58159328142725919</v>
      </c>
      <c r="P56" s="25">
        <f>'Volume adjustments'!P$111</f>
        <v>0.58159328142725919</v>
      </c>
      <c r="Q56" s="25">
        <f>'Volume adjustments'!Q$111</f>
        <v>0</v>
      </c>
      <c r="R56" s="25">
        <f>'Volume adjustments'!R$111</f>
        <v>0</v>
      </c>
      <c r="S56" s="25">
        <f>'Volume adjustments'!S$111</f>
        <v>0.58159328142725919</v>
      </c>
      <c r="T56" s="25">
        <f>'Volume adjustments'!T$111</f>
        <v>0.58159328142725919</v>
      </c>
      <c r="U56" s="25">
        <f>'Volume adjustments'!U$111</f>
        <v>0.58159328142725919</v>
      </c>
      <c r="V56" s="25">
        <f>'Volume adjustments'!V$111</f>
        <v>0.39416189548233249</v>
      </c>
      <c r="W56" s="25">
        <f>'Volume adjustments'!W$111</f>
        <v>0.33724217358094977</v>
      </c>
      <c r="X56" s="25">
        <f>'Volume adjustments'!X$111</f>
        <v>0.58159328142725919</v>
      </c>
      <c r="Y56" s="25">
        <f>'Volume adjustments'!Y$111</f>
        <v>0.58159328142725919</v>
      </c>
      <c r="Z56" s="25">
        <f>'Volume adjustments'!Z$111</f>
        <v>0.58159328142725919</v>
      </c>
      <c r="AA56" s="25">
        <f>'Volume adjustments'!AA$111</f>
        <v>0.58159328142725919</v>
      </c>
      <c r="AB56" s="25">
        <f>'Volume adjustments'!AB$111</f>
        <v>0.58159328142725919</v>
      </c>
      <c r="AC56" s="25">
        <f>'Volume adjustments'!AC$111</f>
        <v>0</v>
      </c>
      <c r="AD56" s="25">
        <f>'Volume adjustments'!AD$111</f>
        <v>0</v>
      </c>
      <c r="AE56" s="25">
        <f>'Volume adjustments'!AE$111</f>
        <v>0</v>
      </c>
      <c r="AF56" s="25">
        <f>'Volume adjustments'!AF$111</f>
        <v>0</v>
      </c>
      <c r="AG56" s="25">
        <f>'Volume adjustments'!AG$111</f>
        <v>0</v>
      </c>
      <c r="AH56" s="25">
        <f>'Volume adjustments'!AH$111</f>
        <v>0</v>
      </c>
      <c r="AI56" s="25">
        <f>'Volume adjustments'!AI$111</f>
        <v>0</v>
      </c>
      <c r="AJ56" s="25">
        <f>'Volume adjustments'!AJ$111</f>
        <v>0</v>
      </c>
      <c r="AK56" s="25">
        <f>'Volume adjustments'!AK$111</f>
        <v>0</v>
      </c>
      <c r="AL56" s="25">
        <f>'Volume adjustments'!AL$111</f>
        <v>0</v>
      </c>
      <c r="AM56" s="25">
        <f>'Volume adjustments'!AM$111</f>
        <v>0</v>
      </c>
      <c r="AN56" s="25">
        <f>'Volume adjustments'!AN$111</f>
        <v>0</v>
      </c>
      <c r="AO56" s="25">
        <f>'Volume adjustments'!AO$111</f>
        <v>0</v>
      </c>
      <c r="AP56" s="25">
        <f>'Volume adjustments'!AP$111</f>
        <v>0</v>
      </c>
    </row>
    <row r="57" spans="3:44" x14ac:dyDescent="0.25">
      <c r="D57"/>
      <c r="E57" s="91"/>
      <c r="F57" t="s">
        <v>197</v>
      </c>
      <c r="G57" t="s">
        <v>203</v>
      </c>
      <c r="H57" s="51"/>
      <c r="J57" s="25">
        <f>'Volume adjustments'!J$122</f>
        <v>0.58159328142725919</v>
      </c>
      <c r="K57" s="25">
        <f>'Volume adjustments'!K$122</f>
        <v>0.58159328142725919</v>
      </c>
      <c r="L57" s="25">
        <f>'Volume adjustments'!L$122</f>
        <v>0.58159328142725919</v>
      </c>
      <c r="M57" s="25">
        <f>'Volume adjustments'!M$122</f>
        <v>0.58159328142725919</v>
      </c>
      <c r="N57" s="25">
        <f>'Volume adjustments'!N$122</f>
        <v>0.58159328142725919</v>
      </c>
      <c r="O57" s="25">
        <f>'Volume adjustments'!O$122</f>
        <v>0.58159328142725919</v>
      </c>
      <c r="P57" s="25">
        <f>'Volume adjustments'!P$122</f>
        <v>0.58159328142725919</v>
      </c>
      <c r="Q57" s="25">
        <f>'Volume adjustments'!Q$122</f>
        <v>0</v>
      </c>
      <c r="R57" s="25">
        <f>'Volume adjustments'!R$122</f>
        <v>0</v>
      </c>
      <c r="S57" s="25">
        <f>'Volume adjustments'!S$122</f>
        <v>0.58159328142725919</v>
      </c>
      <c r="T57" s="25">
        <f>'Volume adjustments'!T$122</f>
        <v>0.58159328142725919</v>
      </c>
      <c r="U57" s="25">
        <f>'Volume adjustments'!U$122</f>
        <v>0.58159328142725919</v>
      </c>
      <c r="V57" s="25">
        <f>'Volume adjustments'!V$122</f>
        <v>0.39416189548233249</v>
      </c>
      <c r="W57" s="25">
        <f>'Volume adjustments'!W$122</f>
        <v>0.33724217358094977</v>
      </c>
      <c r="X57" s="25">
        <f>'Volume adjustments'!X$122</f>
        <v>0.58159328142725919</v>
      </c>
      <c r="Y57" s="25">
        <f>'Volume adjustments'!Y$122</f>
        <v>0.58159328142725919</v>
      </c>
      <c r="Z57" s="25">
        <f>'Volume adjustments'!Z$122</f>
        <v>0.58159328142725919</v>
      </c>
      <c r="AA57" s="25">
        <f>'Volume adjustments'!AA$122</f>
        <v>0.58159328142725919</v>
      </c>
      <c r="AB57" s="25">
        <f>'Volume adjustments'!AB$122</f>
        <v>0.58159328142725919</v>
      </c>
      <c r="AC57" s="25">
        <f>'Volume adjustments'!AC$122</f>
        <v>0</v>
      </c>
      <c r="AD57" s="25">
        <f>'Volume adjustments'!AD$122</f>
        <v>0</v>
      </c>
      <c r="AE57" s="25">
        <f>'Volume adjustments'!AE$122</f>
        <v>0</v>
      </c>
      <c r="AF57" s="25">
        <f>'Volume adjustments'!AF$122</f>
        <v>0</v>
      </c>
      <c r="AG57" s="25">
        <f>'Volume adjustments'!AG$122</f>
        <v>0</v>
      </c>
      <c r="AH57" s="25">
        <f>'Volume adjustments'!AH$122</f>
        <v>0</v>
      </c>
      <c r="AI57" s="25">
        <f>'Volume adjustments'!AI$122</f>
        <v>0</v>
      </c>
      <c r="AJ57" s="25">
        <f>'Volume adjustments'!AJ$122</f>
        <v>0</v>
      </c>
      <c r="AK57" s="25">
        <f>'Volume adjustments'!AK$122</f>
        <v>0</v>
      </c>
      <c r="AL57" s="25">
        <f>'Volume adjustments'!AL$122</f>
        <v>0</v>
      </c>
      <c r="AM57" s="25">
        <f>'Volume adjustments'!AM$122</f>
        <v>0</v>
      </c>
      <c r="AN57" s="25">
        <f>'Volume adjustments'!AN$122</f>
        <v>0</v>
      </c>
      <c r="AO57" s="25">
        <f>'Volume adjustments'!AO$122</f>
        <v>0</v>
      </c>
      <c r="AP57" s="25">
        <f>'Volume adjustments'!AP$122</f>
        <v>0</v>
      </c>
    </row>
    <row r="58" spans="3:44" x14ac:dyDescent="0.25">
      <c r="D58"/>
      <c r="E58" s="91"/>
      <c r="F58" s="37" t="s">
        <v>198</v>
      </c>
      <c r="G58" s="37" t="s">
        <v>203</v>
      </c>
      <c r="H58" s="241"/>
      <c r="I58" s="37"/>
      <c r="J58" s="144">
        <f>'Volume adjustments'!J$133</f>
        <v>0.58159328142725919</v>
      </c>
      <c r="K58" s="144">
        <f>'Volume adjustments'!K$133</f>
        <v>0.58159328142725919</v>
      </c>
      <c r="L58" s="144">
        <f>'Volume adjustments'!L$133</f>
        <v>0.58159328142725919</v>
      </c>
      <c r="M58" s="144">
        <f>'Volume adjustments'!M$133</f>
        <v>0.58159328142725919</v>
      </c>
      <c r="N58" s="144">
        <f>'Volume adjustments'!N$133</f>
        <v>0.58159328142725919</v>
      </c>
      <c r="O58" s="144">
        <f>'Volume adjustments'!O$133</f>
        <v>0.58159328142725919</v>
      </c>
      <c r="P58" s="144">
        <f>'Volume adjustments'!P$133</f>
        <v>0.58159328142725919</v>
      </c>
      <c r="Q58" s="144">
        <f>'Volume adjustments'!Q$133</f>
        <v>0</v>
      </c>
      <c r="R58" s="144">
        <f>'Volume adjustments'!R$133</f>
        <v>0</v>
      </c>
      <c r="S58" s="144">
        <f>'Volume adjustments'!S$133</f>
        <v>0.58159328142725919</v>
      </c>
      <c r="T58" s="144">
        <f>'Volume adjustments'!T$133</f>
        <v>0.58159328142725919</v>
      </c>
      <c r="U58" s="144">
        <f>'Volume adjustments'!U$133</f>
        <v>0.58159328142725919</v>
      </c>
      <c r="V58" s="144">
        <f>'Volume adjustments'!V$133</f>
        <v>0.39416189548233249</v>
      </c>
      <c r="W58" s="144">
        <f>'Volume adjustments'!W$133</f>
        <v>0.33724217358094977</v>
      </c>
      <c r="X58" s="144">
        <f>'Volume adjustments'!X$133</f>
        <v>0.58159328142725919</v>
      </c>
      <c r="Y58" s="144">
        <f>'Volume adjustments'!Y$133</f>
        <v>0.58159328142725919</v>
      </c>
      <c r="Z58" s="144">
        <f>'Volume adjustments'!Z$133</f>
        <v>0.58159328142725919</v>
      </c>
      <c r="AA58" s="144">
        <f>'Volume adjustments'!AA$133</f>
        <v>0.58159328142725919</v>
      </c>
      <c r="AB58" s="144">
        <f>'Volume adjustments'!AB$133</f>
        <v>0.58159328142725919</v>
      </c>
      <c r="AC58" s="144">
        <f>'Volume adjustments'!AC$133</f>
        <v>0</v>
      </c>
      <c r="AD58" s="144">
        <f>'Volume adjustments'!AD$133</f>
        <v>0</v>
      </c>
      <c r="AE58" s="144">
        <f>'Volume adjustments'!AE$133</f>
        <v>0</v>
      </c>
      <c r="AF58" s="144">
        <f>'Volume adjustments'!AF$133</f>
        <v>0</v>
      </c>
      <c r="AG58" s="144">
        <f>'Volume adjustments'!AG$133</f>
        <v>0</v>
      </c>
      <c r="AH58" s="144">
        <f>'Volume adjustments'!AH$133</f>
        <v>0</v>
      </c>
      <c r="AI58" s="144">
        <f>'Volume adjustments'!AI$133</f>
        <v>0</v>
      </c>
      <c r="AJ58" s="144">
        <f>'Volume adjustments'!AJ$133</f>
        <v>0</v>
      </c>
      <c r="AK58" s="144">
        <f>'Volume adjustments'!AK$133</f>
        <v>0</v>
      </c>
      <c r="AL58" s="144">
        <f>'Volume adjustments'!AL$133</f>
        <v>0</v>
      </c>
      <c r="AM58" s="144">
        <f>'Volume adjustments'!AM$133</f>
        <v>0</v>
      </c>
      <c r="AN58" s="144">
        <f>'Volume adjustments'!AN$133</f>
        <v>0</v>
      </c>
      <c r="AO58" s="144">
        <f>'Volume adjustments'!AO$133</f>
        <v>0</v>
      </c>
      <c r="AP58" s="144">
        <f>'Volume adjustments'!AP$133</f>
        <v>0</v>
      </c>
    </row>
    <row r="59" spans="3:44" x14ac:dyDescent="0.25">
      <c r="D59" s="91"/>
      <c r="E59"/>
    </row>
    <row r="60" spans="3:44" x14ac:dyDescent="0.25">
      <c r="C60" s="31" t="str">
        <f ca="1">INDEX('Version control'!$H$34:$H$56,MATCH($A$1,'Version control'!$F$34:$F$56,0),1)&amp;"-D: Decimal places for rounding"</f>
        <v>Section 116-D: Decimal places for rounding</v>
      </c>
      <c r="D60" s="31"/>
      <c r="E60" s="31"/>
      <c r="F60" s="31"/>
      <c r="G60" s="31"/>
      <c r="H60" s="31"/>
      <c r="I60" s="31"/>
      <c r="J60" s="31"/>
      <c r="K60" s="31"/>
      <c r="L60" s="31"/>
      <c r="M60" s="31"/>
      <c r="N60" s="31"/>
      <c r="O60" s="31"/>
      <c r="P60" s="31"/>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row>
    <row r="62" spans="3:44" x14ac:dyDescent="0.25">
      <c r="E62" s="32" t="s">
        <v>1041</v>
      </c>
      <c r="I62" t="s">
        <v>190</v>
      </c>
      <c r="AR62" t="s">
        <v>191</v>
      </c>
    </row>
    <row r="63" spans="3:44" x14ac:dyDescent="0.25">
      <c r="C63" s="91"/>
      <c r="F63" s="23" t="s">
        <v>192</v>
      </c>
      <c r="G63" s="23" t="s">
        <v>185</v>
      </c>
      <c r="H63" s="191">
        <f>'Fixed inputs'!H25</f>
        <v>3</v>
      </c>
    </row>
    <row r="64" spans="3:44" x14ac:dyDescent="0.25">
      <c r="C64" s="91"/>
      <c r="F64" t="s">
        <v>193</v>
      </c>
      <c r="G64" t="s">
        <v>185</v>
      </c>
      <c r="H64" s="51">
        <f>'Fixed inputs'!H26</f>
        <v>3</v>
      </c>
    </row>
    <row r="65" spans="2:44" x14ac:dyDescent="0.25">
      <c r="C65" s="91"/>
      <c r="F65" t="s">
        <v>194</v>
      </c>
      <c r="G65" t="s">
        <v>185</v>
      </c>
      <c r="H65" s="51">
        <f>'Fixed inputs'!H27</f>
        <v>3</v>
      </c>
    </row>
    <row r="66" spans="2:44" x14ac:dyDescent="0.25">
      <c r="C66" s="91"/>
      <c r="F66" t="s">
        <v>195</v>
      </c>
      <c r="G66" t="s">
        <v>185</v>
      </c>
      <c r="H66" s="51">
        <f>'Fixed inputs'!H28</f>
        <v>2</v>
      </c>
    </row>
    <row r="67" spans="2:44" x14ac:dyDescent="0.25">
      <c r="C67" s="91"/>
      <c r="F67" t="s">
        <v>196</v>
      </c>
      <c r="G67" t="s">
        <v>185</v>
      </c>
      <c r="H67" s="51">
        <f>'Fixed inputs'!H29</f>
        <v>2</v>
      </c>
    </row>
    <row r="68" spans="2:44" x14ac:dyDescent="0.25">
      <c r="C68" s="91"/>
      <c r="F68" t="s">
        <v>197</v>
      </c>
      <c r="G68" t="s">
        <v>185</v>
      </c>
      <c r="H68" s="51">
        <f>'Fixed inputs'!H30</f>
        <v>2</v>
      </c>
    </row>
    <row r="69" spans="2:44" x14ac:dyDescent="0.25">
      <c r="C69" s="91"/>
      <c r="F69" s="37" t="s">
        <v>198</v>
      </c>
      <c r="G69" s="37" t="s">
        <v>185</v>
      </c>
      <c r="H69" s="241">
        <f>'Fixed inputs'!H31</f>
        <v>3</v>
      </c>
    </row>
    <row r="70" spans="2:44" x14ac:dyDescent="0.25">
      <c r="C70" s="91"/>
    </row>
    <row r="71" spans="2:44" x14ac:dyDescent="0.25">
      <c r="B71" s="30" t="s">
        <v>1042</v>
      </c>
      <c r="C71" s="30"/>
      <c r="D71" s="30"/>
      <c r="E71" s="30"/>
      <c r="F71" s="30"/>
      <c r="G71" s="30"/>
      <c r="H71" s="30"/>
      <c r="I71" s="30"/>
      <c r="J71" s="30"/>
      <c r="K71" s="30"/>
      <c r="L71" s="30"/>
      <c r="M71" s="30"/>
      <c r="N71" s="30"/>
      <c r="O71" s="30"/>
      <c r="P71" s="30"/>
      <c r="Q71" s="30"/>
      <c r="R71" s="30"/>
      <c r="S71" s="30"/>
      <c r="T71" s="30"/>
      <c r="U71" s="30"/>
      <c r="V71" s="30"/>
      <c r="W71" s="30"/>
      <c r="X71" s="30"/>
      <c r="Y71" s="30"/>
      <c r="Z71" s="30"/>
      <c r="AA71" s="30"/>
      <c r="AB71" s="30"/>
      <c r="AC71" s="30"/>
      <c r="AD71" s="30"/>
      <c r="AE71" s="30"/>
      <c r="AF71" s="30"/>
      <c r="AG71" s="30"/>
      <c r="AH71" s="30"/>
      <c r="AI71" s="30"/>
      <c r="AJ71" s="30"/>
      <c r="AK71" s="30"/>
      <c r="AL71" s="30"/>
      <c r="AM71" s="30"/>
      <c r="AN71" s="30"/>
      <c r="AO71" s="30"/>
      <c r="AP71" s="30"/>
      <c r="AQ71" s="30"/>
      <c r="AR71" s="30"/>
    </row>
    <row r="73" spans="2:44" x14ac:dyDescent="0.25">
      <c r="C73" s="29" t="s">
        <v>1043</v>
      </c>
    </row>
    <row r="75" spans="2:44" x14ac:dyDescent="0.25">
      <c r="C75" s="31" t="str">
        <f ca="1">INDEX('Version control'!$H$34:$H$56,MATCH($A$1,'Version control'!$F$34:$F$56,0),1)&amp;"-E: All the way tariff forecast, pre-rounding"</f>
        <v>Section 116-E: All the way tariff forecast, pre-rounding</v>
      </c>
      <c r="D75" s="31"/>
      <c r="E75" s="31"/>
      <c r="F75" s="31"/>
      <c r="G75" s="31"/>
      <c r="H75" s="31"/>
      <c r="I75" s="31"/>
      <c r="J75" s="31"/>
      <c r="K75" s="31"/>
      <c r="L75" s="31"/>
      <c r="M75" s="31"/>
      <c r="N75" s="31"/>
      <c r="O75" s="31"/>
      <c r="P75" s="31"/>
      <c r="Q75" s="31"/>
      <c r="R75" s="31"/>
      <c r="S75" s="31"/>
      <c r="T75" s="31"/>
      <c r="U75" s="31"/>
      <c r="V75" s="31"/>
      <c r="W75" s="31"/>
      <c r="X75" s="31"/>
      <c r="Y75" s="31"/>
      <c r="Z75" s="31"/>
      <c r="AA75" s="31"/>
      <c r="AB75" s="31"/>
      <c r="AC75" s="31"/>
      <c r="AD75" s="31"/>
      <c r="AE75" s="31"/>
      <c r="AF75" s="31"/>
      <c r="AG75" s="31"/>
      <c r="AH75" s="31"/>
      <c r="AI75" s="31"/>
      <c r="AJ75" s="31"/>
      <c r="AK75" s="31"/>
      <c r="AL75" s="31"/>
      <c r="AM75" s="31"/>
      <c r="AN75" s="31"/>
      <c r="AO75" s="31"/>
      <c r="AP75" s="31"/>
      <c r="AQ75" s="31"/>
      <c r="AR75" s="31"/>
    </row>
    <row r="77" spans="2:44" x14ac:dyDescent="0.25">
      <c r="D77"/>
      <c r="E77" s="32" t="s">
        <v>1044</v>
      </c>
      <c r="F77" s="32"/>
    </row>
    <row r="78" spans="2:44" x14ac:dyDescent="0.25">
      <c r="D78"/>
      <c r="E78" s="91"/>
      <c r="F78" s="23" t="s">
        <v>192</v>
      </c>
      <c r="G78" s="23" t="s">
        <v>327</v>
      </c>
      <c r="H78" s="318"/>
      <c r="I78" s="302"/>
      <c r="J78" s="321">
        <f>J20+J32</f>
        <v>3.6631220315219322</v>
      </c>
      <c r="K78" s="321">
        <f t="shared" ref="K78:AP78" si="0">K20+K32</f>
        <v>4.0084413623830155</v>
      </c>
      <c r="L78" s="321">
        <f t="shared" si="0"/>
        <v>2.339416733912556</v>
      </c>
      <c r="M78" s="321">
        <f t="shared" si="0"/>
        <v>3.7216687099146353</v>
      </c>
      <c r="N78" s="321">
        <f t="shared" si="0"/>
        <v>3.9175794042284289</v>
      </c>
      <c r="O78" s="321">
        <f t="shared" si="0"/>
        <v>2.2589638895725952</v>
      </c>
      <c r="P78" s="321">
        <f t="shared" si="0"/>
        <v>3.5949229926777972</v>
      </c>
      <c r="Q78" s="321">
        <f t="shared" si="0"/>
        <v>3.0256237477705934</v>
      </c>
      <c r="R78" s="321">
        <f t="shared" si="0"/>
        <v>2.2677564805105463</v>
      </c>
      <c r="S78" s="321">
        <f t="shared" si="0"/>
        <v>10.767926779032983</v>
      </c>
      <c r="T78" s="321">
        <f t="shared" si="0"/>
        <v>11.629339872132867</v>
      </c>
      <c r="U78" s="321">
        <f t="shared" si="0"/>
        <v>8.2939611201001391</v>
      </c>
      <c r="V78" s="321">
        <f t="shared" si="0"/>
        <v>5.5011196341086919</v>
      </c>
      <c r="W78" s="321">
        <f t="shared" si="0"/>
        <v>4.0731448313197092</v>
      </c>
      <c r="X78" s="321">
        <f t="shared" si="0"/>
        <v>4.7554637211477617</v>
      </c>
      <c r="Y78" s="321">
        <f t="shared" si="0"/>
        <v>4.8417592646265879</v>
      </c>
      <c r="Z78" s="321">
        <f t="shared" si="0"/>
        <v>5.7084168214867379</v>
      </c>
      <c r="AA78" s="321">
        <f t="shared" si="0"/>
        <v>4.7583233990405942</v>
      </c>
      <c r="AB78" s="321">
        <f t="shared" si="0"/>
        <v>19.913831034261815</v>
      </c>
      <c r="AC78" s="321">
        <f t="shared" si="0"/>
        <v>-1.2841828889894253</v>
      </c>
      <c r="AD78" s="321">
        <f t="shared" si="0"/>
        <v>-1.1523156075321794</v>
      </c>
      <c r="AE78" s="321">
        <f t="shared" si="0"/>
        <v>-1.2841828889894253</v>
      </c>
      <c r="AF78" s="321">
        <f t="shared" si="0"/>
        <v>-1.2841828889894253</v>
      </c>
      <c r="AG78" s="321">
        <f t="shared" si="0"/>
        <v>-6.7715623244648135</v>
      </c>
      <c r="AH78" s="321">
        <f t="shared" si="0"/>
        <v>-6.7715623244648135</v>
      </c>
      <c r="AI78" s="321">
        <f t="shared" si="0"/>
        <v>-1.1523156075321794</v>
      </c>
      <c r="AJ78" s="321">
        <f t="shared" si="0"/>
        <v>-1.1523156075321794</v>
      </c>
      <c r="AK78" s="321">
        <f t="shared" si="0"/>
        <v>-6.0880001830517498</v>
      </c>
      <c r="AL78" s="321">
        <f t="shared" si="0"/>
        <v>-6.0880001830517498</v>
      </c>
      <c r="AM78" s="321">
        <f t="shared" si="0"/>
        <v>-0.61647152195632826</v>
      </c>
      <c r="AN78" s="321">
        <f t="shared" si="0"/>
        <v>-0.61647152195632826</v>
      </c>
      <c r="AO78" s="321">
        <f t="shared" si="0"/>
        <v>-3.3270697869504446</v>
      </c>
      <c r="AP78" s="321">
        <f t="shared" si="0"/>
        <v>-3.3270697869504446</v>
      </c>
      <c r="AQ78" s="304"/>
      <c r="AR78" s="304"/>
    </row>
    <row r="79" spans="2:44" x14ac:dyDescent="0.25">
      <c r="D79"/>
      <c r="E79" s="91"/>
      <c r="F79" t="s">
        <v>193</v>
      </c>
      <c r="G79" t="s">
        <v>327</v>
      </c>
      <c r="H79" s="319"/>
      <c r="I79" s="304"/>
      <c r="J79" s="322">
        <f t="shared" ref="J79:AP79" si="1">J21+J33</f>
        <v>0</v>
      </c>
      <c r="K79" s="322">
        <f t="shared" si="1"/>
        <v>2.3561563398079661</v>
      </c>
      <c r="L79" s="322">
        <f t="shared" si="1"/>
        <v>0</v>
      </c>
      <c r="M79" s="322">
        <f t="shared" si="1"/>
        <v>0</v>
      </c>
      <c r="N79" s="322">
        <f t="shared" si="1"/>
        <v>2.2255552108861933</v>
      </c>
      <c r="O79" s="322">
        <f t="shared" si="1"/>
        <v>0</v>
      </c>
      <c r="P79" s="322">
        <f t="shared" si="1"/>
        <v>2.1819444829628218</v>
      </c>
      <c r="Q79" s="322">
        <f t="shared" si="1"/>
        <v>1.9922104062560446</v>
      </c>
      <c r="R79" s="322">
        <f t="shared" si="1"/>
        <v>1.7269495597344711</v>
      </c>
      <c r="S79" s="322">
        <f t="shared" si="1"/>
        <v>2.9115868010375063</v>
      </c>
      <c r="T79" s="322">
        <f t="shared" si="1"/>
        <v>3.0442788702522412</v>
      </c>
      <c r="U79" s="322">
        <f t="shared" si="1"/>
        <v>2.5221232673227947</v>
      </c>
      <c r="V79" s="322">
        <f t="shared" si="1"/>
        <v>2.0748759951226212</v>
      </c>
      <c r="W79" s="322">
        <f t="shared" si="1"/>
        <v>1.848910663526137</v>
      </c>
      <c r="X79" s="322">
        <f t="shared" si="1"/>
        <v>0</v>
      </c>
      <c r="Y79" s="322">
        <f t="shared" si="1"/>
        <v>0</v>
      </c>
      <c r="Z79" s="322">
        <f t="shared" si="1"/>
        <v>0</v>
      </c>
      <c r="AA79" s="322">
        <f t="shared" si="1"/>
        <v>0</v>
      </c>
      <c r="AB79" s="322">
        <f t="shared" si="1"/>
        <v>4.7188366597724141</v>
      </c>
      <c r="AC79" s="322">
        <f t="shared" si="1"/>
        <v>0</v>
      </c>
      <c r="AD79" s="322">
        <f t="shared" si="1"/>
        <v>0</v>
      </c>
      <c r="AE79" s="322">
        <f t="shared" si="1"/>
        <v>0</v>
      </c>
      <c r="AF79" s="322">
        <f t="shared" si="1"/>
        <v>0</v>
      </c>
      <c r="AG79" s="322">
        <f t="shared" si="1"/>
        <v>-1.0426332107186289</v>
      </c>
      <c r="AH79" s="322">
        <f t="shared" si="1"/>
        <v>-1.0426332107186289</v>
      </c>
      <c r="AI79" s="322">
        <f t="shared" si="1"/>
        <v>0</v>
      </c>
      <c r="AJ79" s="322">
        <f t="shared" si="1"/>
        <v>0</v>
      </c>
      <c r="AK79" s="322">
        <f t="shared" si="1"/>
        <v>-0.93407500674127786</v>
      </c>
      <c r="AL79" s="322">
        <f t="shared" si="1"/>
        <v>-0.93407500674127786</v>
      </c>
      <c r="AM79" s="322">
        <f t="shared" si="1"/>
        <v>0</v>
      </c>
      <c r="AN79" s="322">
        <f t="shared" si="1"/>
        <v>0</v>
      </c>
      <c r="AO79" s="322">
        <f t="shared" si="1"/>
        <v>-0.49082486830513528</v>
      </c>
      <c r="AP79" s="322">
        <f t="shared" si="1"/>
        <v>-0.49082486830513528</v>
      </c>
      <c r="AQ79" s="304"/>
      <c r="AR79" s="304"/>
    </row>
    <row r="80" spans="2:44" x14ac:dyDescent="0.25">
      <c r="D80"/>
      <c r="E80" s="91"/>
      <c r="F80" t="s">
        <v>194</v>
      </c>
      <c r="G80" t="s">
        <v>327</v>
      </c>
      <c r="H80" s="319"/>
      <c r="I80" s="304"/>
      <c r="J80" s="322">
        <f t="shared" ref="J80:AP80" si="2">J22+J34</f>
        <v>0</v>
      </c>
      <c r="K80" s="322">
        <f t="shared" si="2"/>
        <v>0</v>
      </c>
      <c r="L80" s="322">
        <f t="shared" si="2"/>
        <v>0</v>
      </c>
      <c r="M80" s="322">
        <f t="shared" si="2"/>
        <v>0</v>
      </c>
      <c r="N80" s="322">
        <f t="shared" si="2"/>
        <v>0</v>
      </c>
      <c r="O80" s="322">
        <f t="shared" si="2"/>
        <v>0</v>
      </c>
      <c r="P80" s="322">
        <f t="shared" si="2"/>
        <v>0</v>
      </c>
      <c r="Q80" s="322">
        <f t="shared" si="2"/>
        <v>0</v>
      </c>
      <c r="R80" s="322">
        <f t="shared" si="2"/>
        <v>0</v>
      </c>
      <c r="S80" s="322">
        <f t="shared" si="2"/>
        <v>2.1512704561797196</v>
      </c>
      <c r="T80" s="322">
        <f t="shared" si="2"/>
        <v>2.2134009091794615</v>
      </c>
      <c r="U80" s="322">
        <f t="shared" si="2"/>
        <v>1.9684981756265676</v>
      </c>
      <c r="V80" s="322">
        <f t="shared" si="2"/>
        <v>1.7582418222026421</v>
      </c>
      <c r="W80" s="322">
        <f t="shared" si="2"/>
        <v>1.65214161606355</v>
      </c>
      <c r="X80" s="322">
        <f t="shared" si="2"/>
        <v>0</v>
      </c>
      <c r="Y80" s="322">
        <f t="shared" si="2"/>
        <v>0</v>
      </c>
      <c r="Z80" s="322">
        <f t="shared" si="2"/>
        <v>0</v>
      </c>
      <c r="AA80" s="322">
        <f t="shared" si="2"/>
        <v>0</v>
      </c>
      <c r="AB80" s="322">
        <f t="shared" si="2"/>
        <v>3.8775737345730432</v>
      </c>
      <c r="AC80" s="322">
        <f t="shared" si="2"/>
        <v>0</v>
      </c>
      <c r="AD80" s="322">
        <f t="shared" si="2"/>
        <v>0</v>
      </c>
      <c r="AE80" s="322">
        <f t="shared" si="2"/>
        <v>0</v>
      </c>
      <c r="AF80" s="322">
        <f t="shared" si="2"/>
        <v>0</v>
      </c>
      <c r="AG80" s="322">
        <f t="shared" si="2"/>
        <v>-0.48816987089385483</v>
      </c>
      <c r="AH80" s="322">
        <f t="shared" si="2"/>
        <v>-0.48816987089385483</v>
      </c>
      <c r="AI80" s="322">
        <f t="shared" si="2"/>
        <v>0</v>
      </c>
      <c r="AJ80" s="322">
        <f t="shared" si="2"/>
        <v>0</v>
      </c>
      <c r="AK80" s="322">
        <f t="shared" si="2"/>
        <v>-0.43717848120950387</v>
      </c>
      <c r="AL80" s="322">
        <f t="shared" si="2"/>
        <v>-0.43717848120950387</v>
      </c>
      <c r="AM80" s="322">
        <f t="shared" si="2"/>
        <v>0</v>
      </c>
      <c r="AN80" s="322">
        <f t="shared" si="2"/>
        <v>0</v>
      </c>
      <c r="AO80" s="322">
        <f t="shared" si="2"/>
        <v>-0.22874833921883997</v>
      </c>
      <c r="AP80" s="322">
        <f t="shared" si="2"/>
        <v>-0.22874833921883997</v>
      </c>
      <c r="AQ80" s="304"/>
      <c r="AR80" s="304"/>
    </row>
    <row r="81" spans="3:44" x14ac:dyDescent="0.25">
      <c r="D81"/>
      <c r="E81" s="91"/>
      <c r="F81" t="s">
        <v>195</v>
      </c>
      <c r="G81" t="s">
        <v>328</v>
      </c>
      <c r="H81" s="51"/>
      <c r="J81" s="101">
        <f t="shared" ref="J81:AP81" si="3">J23+J35</f>
        <v>6.7190234897470793</v>
      </c>
      <c r="K81" s="101">
        <f t="shared" si="3"/>
        <v>6.7190234897470793</v>
      </c>
      <c r="L81" s="101">
        <f t="shared" si="3"/>
        <v>0</v>
      </c>
      <c r="M81" s="101">
        <f t="shared" si="3"/>
        <v>9.4927277702556907</v>
      </c>
      <c r="N81" s="101">
        <f t="shared" si="3"/>
        <v>9.4927277702556907</v>
      </c>
      <c r="O81" s="101">
        <f t="shared" si="3"/>
        <v>0</v>
      </c>
      <c r="P81" s="101">
        <f t="shared" si="3"/>
        <v>82.380657371582515</v>
      </c>
      <c r="Q81" s="101">
        <f t="shared" si="3"/>
        <v>50.973932528541532</v>
      </c>
      <c r="R81" s="101">
        <f t="shared" si="3"/>
        <v>2503.0647914127785</v>
      </c>
      <c r="S81" s="101">
        <f t="shared" si="3"/>
        <v>6.7190234897470793</v>
      </c>
      <c r="T81" s="101">
        <f t="shared" si="3"/>
        <v>9.4927277702556907</v>
      </c>
      <c r="U81" s="101">
        <f t="shared" si="3"/>
        <v>26.853541752552729</v>
      </c>
      <c r="V81" s="101">
        <f t="shared" si="3"/>
        <v>50.973932528541532</v>
      </c>
      <c r="W81" s="101">
        <f t="shared" si="3"/>
        <v>298.7414348318261</v>
      </c>
      <c r="X81" s="101">
        <f t="shared" si="3"/>
        <v>0</v>
      </c>
      <c r="Y81" s="101">
        <f t="shared" si="3"/>
        <v>0</v>
      </c>
      <c r="Z81" s="101">
        <f t="shared" si="3"/>
        <v>0</v>
      </c>
      <c r="AA81" s="101">
        <f t="shared" si="3"/>
        <v>0</v>
      </c>
      <c r="AB81" s="101">
        <f t="shared" si="3"/>
        <v>0</v>
      </c>
      <c r="AC81" s="101">
        <f t="shared" si="3"/>
        <v>0</v>
      </c>
      <c r="AD81" s="101">
        <f t="shared" si="3"/>
        <v>0</v>
      </c>
      <c r="AE81" s="101">
        <f t="shared" si="3"/>
        <v>0</v>
      </c>
      <c r="AF81" s="101">
        <f t="shared" si="3"/>
        <v>0</v>
      </c>
      <c r="AG81" s="101">
        <f t="shared" si="3"/>
        <v>0</v>
      </c>
      <c r="AH81" s="101">
        <f t="shared" si="3"/>
        <v>0</v>
      </c>
      <c r="AI81" s="101">
        <f t="shared" si="3"/>
        <v>0</v>
      </c>
      <c r="AJ81" s="101">
        <f t="shared" si="3"/>
        <v>0</v>
      </c>
      <c r="AK81" s="101">
        <f t="shared" si="3"/>
        <v>0</v>
      </c>
      <c r="AL81" s="101">
        <f t="shared" si="3"/>
        <v>0</v>
      </c>
      <c r="AM81" s="101">
        <f t="shared" si="3"/>
        <v>414.58577923888919</v>
      </c>
      <c r="AN81" s="101">
        <f t="shared" si="3"/>
        <v>414.58577923888919</v>
      </c>
      <c r="AO81" s="101">
        <f t="shared" si="3"/>
        <v>414.58577923888919</v>
      </c>
      <c r="AP81" s="101">
        <f t="shared" si="3"/>
        <v>414.58577923888919</v>
      </c>
    </row>
    <row r="82" spans="3:44" x14ac:dyDescent="0.25">
      <c r="D82"/>
      <c r="E82" s="91"/>
      <c r="F82" t="s">
        <v>196</v>
      </c>
      <c r="G82" t="s">
        <v>329</v>
      </c>
      <c r="H82" s="51"/>
      <c r="J82" s="101">
        <f t="shared" ref="J82:AP82" si="4">J24+J36</f>
        <v>0</v>
      </c>
      <c r="K82" s="101">
        <f t="shared" si="4"/>
        <v>0</v>
      </c>
      <c r="L82" s="101">
        <f t="shared" si="4"/>
        <v>0</v>
      </c>
      <c r="M82" s="101">
        <f t="shared" si="4"/>
        <v>0</v>
      </c>
      <c r="N82" s="101">
        <f t="shared" si="4"/>
        <v>0</v>
      </c>
      <c r="O82" s="101">
        <f t="shared" si="4"/>
        <v>0</v>
      </c>
      <c r="P82" s="101">
        <f t="shared" si="4"/>
        <v>0</v>
      </c>
      <c r="Q82" s="101">
        <f t="shared" si="4"/>
        <v>0</v>
      </c>
      <c r="R82" s="101">
        <f t="shared" si="4"/>
        <v>0</v>
      </c>
      <c r="S82" s="101">
        <f t="shared" si="4"/>
        <v>0</v>
      </c>
      <c r="T82" s="101">
        <f t="shared" si="4"/>
        <v>0</v>
      </c>
      <c r="U82" s="101">
        <f t="shared" si="4"/>
        <v>4.7604233393884687</v>
      </c>
      <c r="V82" s="101">
        <f t="shared" si="4"/>
        <v>7.7880488652241713</v>
      </c>
      <c r="W82" s="101">
        <f t="shared" si="4"/>
        <v>10.490510240626477</v>
      </c>
      <c r="X82" s="101">
        <f t="shared" si="4"/>
        <v>0</v>
      </c>
      <c r="Y82" s="101">
        <f t="shared" si="4"/>
        <v>0</v>
      </c>
      <c r="Z82" s="101">
        <f t="shared" si="4"/>
        <v>0</v>
      </c>
      <c r="AA82" s="101">
        <f t="shared" si="4"/>
        <v>0</v>
      </c>
      <c r="AB82" s="101">
        <f t="shared" si="4"/>
        <v>0</v>
      </c>
      <c r="AC82" s="101">
        <f t="shared" si="4"/>
        <v>0</v>
      </c>
      <c r="AD82" s="101">
        <f t="shared" si="4"/>
        <v>0</v>
      </c>
      <c r="AE82" s="101">
        <f t="shared" si="4"/>
        <v>0</v>
      </c>
      <c r="AF82" s="101">
        <f t="shared" si="4"/>
        <v>0</v>
      </c>
      <c r="AG82" s="101">
        <f t="shared" si="4"/>
        <v>0</v>
      </c>
      <c r="AH82" s="101">
        <f t="shared" si="4"/>
        <v>0</v>
      </c>
      <c r="AI82" s="101">
        <f t="shared" si="4"/>
        <v>0</v>
      </c>
      <c r="AJ82" s="101">
        <f t="shared" si="4"/>
        <v>0</v>
      </c>
      <c r="AK82" s="101">
        <f t="shared" si="4"/>
        <v>0</v>
      </c>
      <c r="AL82" s="101">
        <f t="shared" si="4"/>
        <v>0</v>
      </c>
      <c r="AM82" s="101">
        <f t="shared" si="4"/>
        <v>0</v>
      </c>
      <c r="AN82" s="101">
        <f t="shared" si="4"/>
        <v>0</v>
      </c>
      <c r="AO82" s="101">
        <f t="shared" si="4"/>
        <v>0</v>
      </c>
      <c r="AP82" s="101">
        <f t="shared" si="4"/>
        <v>0</v>
      </c>
    </row>
    <row r="83" spans="3:44" x14ac:dyDescent="0.25">
      <c r="D83"/>
      <c r="E83" s="91"/>
      <c r="F83" t="s">
        <v>197</v>
      </c>
      <c r="G83" t="s">
        <v>329</v>
      </c>
      <c r="H83" s="51"/>
      <c r="J83" s="101">
        <f t="shared" ref="J83:AP83" si="5">J25+J37</f>
        <v>0</v>
      </c>
      <c r="K83" s="101">
        <f t="shared" si="5"/>
        <v>0</v>
      </c>
      <c r="L83" s="101">
        <f t="shared" si="5"/>
        <v>0</v>
      </c>
      <c r="M83" s="101">
        <f t="shared" si="5"/>
        <v>0</v>
      </c>
      <c r="N83" s="101">
        <f t="shared" si="5"/>
        <v>0</v>
      </c>
      <c r="O83" s="101">
        <f t="shared" si="5"/>
        <v>0</v>
      </c>
      <c r="P83" s="101">
        <f t="shared" si="5"/>
        <v>0</v>
      </c>
      <c r="Q83" s="101">
        <f t="shared" si="5"/>
        <v>0</v>
      </c>
      <c r="R83" s="101">
        <f t="shared" si="5"/>
        <v>0</v>
      </c>
      <c r="S83" s="101">
        <f t="shared" si="5"/>
        <v>0</v>
      </c>
      <c r="T83" s="101">
        <f t="shared" si="5"/>
        <v>0</v>
      </c>
      <c r="U83" s="101">
        <f t="shared" si="5"/>
        <v>8.74459489120105</v>
      </c>
      <c r="V83" s="101">
        <f t="shared" si="5"/>
        <v>10.791835128460974</v>
      </c>
      <c r="W83" s="101">
        <f t="shared" si="5"/>
        <v>12.369639898498342</v>
      </c>
      <c r="X83" s="101">
        <f t="shared" si="5"/>
        <v>0</v>
      </c>
      <c r="Y83" s="101">
        <f t="shared" si="5"/>
        <v>0</v>
      </c>
      <c r="Z83" s="101">
        <f t="shared" si="5"/>
        <v>0</v>
      </c>
      <c r="AA83" s="101">
        <f t="shared" si="5"/>
        <v>0</v>
      </c>
      <c r="AB83" s="101">
        <f t="shared" si="5"/>
        <v>0</v>
      </c>
      <c r="AC83" s="101">
        <f t="shared" si="5"/>
        <v>0</v>
      </c>
      <c r="AD83" s="101">
        <f t="shared" si="5"/>
        <v>0</v>
      </c>
      <c r="AE83" s="101">
        <f t="shared" si="5"/>
        <v>0</v>
      </c>
      <c r="AF83" s="101">
        <f t="shared" si="5"/>
        <v>0</v>
      </c>
      <c r="AG83" s="101">
        <f t="shared" si="5"/>
        <v>0</v>
      </c>
      <c r="AH83" s="101">
        <f t="shared" si="5"/>
        <v>0</v>
      </c>
      <c r="AI83" s="101">
        <f t="shared" si="5"/>
        <v>0</v>
      </c>
      <c r="AJ83" s="101">
        <f t="shared" si="5"/>
        <v>0</v>
      </c>
      <c r="AK83" s="101">
        <f t="shared" si="5"/>
        <v>0</v>
      </c>
      <c r="AL83" s="101">
        <f t="shared" si="5"/>
        <v>0</v>
      </c>
      <c r="AM83" s="101">
        <f t="shared" si="5"/>
        <v>0</v>
      </c>
      <c r="AN83" s="101">
        <f t="shared" si="5"/>
        <v>0</v>
      </c>
      <c r="AO83" s="101">
        <f t="shared" si="5"/>
        <v>0</v>
      </c>
      <c r="AP83" s="101">
        <f t="shared" si="5"/>
        <v>0</v>
      </c>
    </row>
    <row r="84" spans="3:44" x14ac:dyDescent="0.25">
      <c r="D84"/>
      <c r="E84" s="91"/>
      <c r="F84" s="37" t="s">
        <v>198</v>
      </c>
      <c r="G84" s="37" t="s">
        <v>330</v>
      </c>
      <c r="H84" s="323"/>
      <c r="I84" s="308"/>
      <c r="J84" s="324">
        <f t="shared" ref="J84:AP84" si="6">J26+J38</f>
        <v>0</v>
      </c>
      <c r="K84" s="324">
        <f t="shared" si="6"/>
        <v>0</v>
      </c>
      <c r="L84" s="324">
        <f t="shared" si="6"/>
        <v>0</v>
      </c>
      <c r="M84" s="324">
        <f t="shared" si="6"/>
        <v>0</v>
      </c>
      <c r="N84" s="324">
        <f t="shared" si="6"/>
        <v>0</v>
      </c>
      <c r="O84" s="324">
        <f t="shared" si="6"/>
        <v>0</v>
      </c>
      <c r="P84" s="324">
        <f t="shared" si="6"/>
        <v>0</v>
      </c>
      <c r="Q84" s="324">
        <f t="shared" si="6"/>
        <v>0</v>
      </c>
      <c r="R84" s="324">
        <f t="shared" si="6"/>
        <v>0</v>
      </c>
      <c r="S84" s="324">
        <f t="shared" si="6"/>
        <v>0</v>
      </c>
      <c r="T84" s="324">
        <f t="shared" si="6"/>
        <v>0</v>
      </c>
      <c r="U84" s="324">
        <f t="shared" si="6"/>
        <v>0.27302916255585569</v>
      </c>
      <c r="V84" s="324">
        <f t="shared" si="6"/>
        <v>0.13743063341796527</v>
      </c>
      <c r="W84" s="324">
        <f t="shared" si="6"/>
        <v>9.1281039164551034E-2</v>
      </c>
      <c r="X84" s="324">
        <f t="shared" si="6"/>
        <v>0</v>
      </c>
      <c r="Y84" s="324">
        <f t="shared" si="6"/>
        <v>0</v>
      </c>
      <c r="Z84" s="324">
        <f t="shared" si="6"/>
        <v>0</v>
      </c>
      <c r="AA84" s="324">
        <f t="shared" si="6"/>
        <v>0</v>
      </c>
      <c r="AB84" s="324">
        <f t="shared" si="6"/>
        <v>0</v>
      </c>
      <c r="AC84" s="324">
        <f t="shared" si="6"/>
        <v>0</v>
      </c>
      <c r="AD84" s="324">
        <f t="shared" si="6"/>
        <v>0</v>
      </c>
      <c r="AE84" s="324">
        <f t="shared" si="6"/>
        <v>0.26528190408582319</v>
      </c>
      <c r="AF84" s="324">
        <f t="shared" si="6"/>
        <v>0</v>
      </c>
      <c r="AG84" s="324">
        <f t="shared" si="6"/>
        <v>0.26528190408582319</v>
      </c>
      <c r="AH84" s="324">
        <f t="shared" si="6"/>
        <v>0</v>
      </c>
      <c r="AI84" s="324">
        <f t="shared" si="6"/>
        <v>0.22477736432656778</v>
      </c>
      <c r="AJ84" s="324">
        <f t="shared" si="6"/>
        <v>0</v>
      </c>
      <c r="AK84" s="324">
        <f t="shared" si="6"/>
        <v>0.22477736432656778</v>
      </c>
      <c r="AL84" s="324">
        <f t="shared" si="6"/>
        <v>0</v>
      </c>
      <c r="AM84" s="324">
        <f t="shared" si="6"/>
        <v>0.20598367886563043</v>
      </c>
      <c r="AN84" s="324">
        <f t="shared" si="6"/>
        <v>0</v>
      </c>
      <c r="AO84" s="324">
        <f t="shared" si="6"/>
        <v>0.20598367886563043</v>
      </c>
      <c r="AP84" s="324">
        <f t="shared" si="6"/>
        <v>0</v>
      </c>
      <c r="AQ84" s="304"/>
      <c r="AR84" s="304"/>
    </row>
    <row r="85" spans="3:44" x14ac:dyDescent="0.25">
      <c r="D85" s="32"/>
      <c r="E85"/>
      <c r="J85" s="92"/>
      <c r="K85" s="92"/>
      <c r="L85" s="92"/>
      <c r="M85" s="92"/>
      <c r="N85" s="92"/>
      <c r="O85" s="92"/>
      <c r="P85" s="92"/>
      <c r="Q85" s="92"/>
      <c r="R85" s="92"/>
      <c r="S85" s="92"/>
      <c r="T85" s="92"/>
      <c r="U85" s="92"/>
      <c r="V85" s="92"/>
      <c r="W85" s="92"/>
      <c r="X85" s="92"/>
      <c r="Y85" s="92"/>
      <c r="Z85" s="92"/>
      <c r="AA85" s="92"/>
      <c r="AB85" s="92"/>
      <c r="AC85" s="92"/>
      <c r="AD85" s="92"/>
      <c r="AE85" s="92"/>
      <c r="AF85" s="92"/>
      <c r="AG85" s="92"/>
      <c r="AH85" s="92"/>
      <c r="AI85" s="92"/>
      <c r="AJ85" s="92"/>
      <c r="AK85" s="92"/>
      <c r="AL85" s="92"/>
      <c r="AM85" s="92"/>
      <c r="AN85" s="92"/>
      <c r="AO85" s="92"/>
      <c r="AP85" s="92"/>
    </row>
    <row r="86" spans="3:44" x14ac:dyDescent="0.25">
      <c r="C86" s="31" t="str">
        <f ca="1">INDEX('Version control'!$H$34:$H$56,MATCH($A$1,'Version control'!$F$34:$F$56,0),1)&amp;"-F: tariff forecast, post-rounding"</f>
        <v>Section 116-F: tariff forecast, post-rounding</v>
      </c>
      <c r="D86" s="31"/>
      <c r="E86" s="31"/>
      <c r="F86" s="31"/>
      <c r="G86" s="31"/>
      <c r="H86" s="31"/>
      <c r="I86" s="31"/>
      <c r="J86" s="93"/>
      <c r="K86" s="93"/>
      <c r="L86" s="93"/>
      <c r="M86" s="93"/>
      <c r="N86" s="93"/>
      <c r="O86" s="93"/>
      <c r="P86" s="93"/>
      <c r="Q86" s="93"/>
      <c r="R86" s="93"/>
      <c r="S86" s="93"/>
      <c r="T86" s="93"/>
      <c r="U86" s="93"/>
      <c r="V86" s="93"/>
      <c r="W86" s="93"/>
      <c r="X86" s="93"/>
      <c r="Y86" s="93"/>
      <c r="Z86" s="93"/>
      <c r="AA86" s="93"/>
      <c r="AB86" s="93"/>
      <c r="AC86" s="93"/>
      <c r="AD86" s="93"/>
      <c r="AE86" s="93"/>
      <c r="AF86" s="93"/>
      <c r="AG86" s="93"/>
      <c r="AH86" s="93"/>
      <c r="AI86" s="93"/>
      <c r="AJ86" s="93"/>
      <c r="AK86" s="93"/>
      <c r="AL86" s="93"/>
      <c r="AM86" s="93"/>
      <c r="AN86" s="93"/>
      <c r="AO86" s="93"/>
      <c r="AP86" s="93"/>
      <c r="AQ86" s="31"/>
      <c r="AR86" s="31"/>
    </row>
    <row r="87" spans="3:44" x14ac:dyDescent="0.25">
      <c r="J87" s="92"/>
      <c r="K87" s="92"/>
      <c r="L87" s="92"/>
      <c r="M87" s="92"/>
      <c r="N87" s="92"/>
      <c r="O87" s="92"/>
      <c r="P87" s="92"/>
      <c r="Q87" s="92"/>
      <c r="R87" s="92"/>
      <c r="S87" s="92"/>
      <c r="T87" s="92"/>
      <c r="U87" s="92"/>
      <c r="V87" s="92"/>
      <c r="W87" s="92"/>
      <c r="X87" s="92"/>
      <c r="Y87" s="92"/>
      <c r="Z87" s="92"/>
      <c r="AA87" s="92"/>
      <c r="AB87" s="92"/>
      <c r="AC87" s="92"/>
      <c r="AD87" s="92"/>
      <c r="AE87" s="92"/>
      <c r="AF87" s="92"/>
      <c r="AG87" s="92"/>
      <c r="AH87" s="92"/>
      <c r="AI87" s="92"/>
      <c r="AJ87" s="92"/>
      <c r="AK87" s="92"/>
      <c r="AL87" s="92"/>
      <c r="AM87" s="92"/>
      <c r="AN87" s="92"/>
      <c r="AO87" s="92"/>
      <c r="AP87" s="92"/>
    </row>
    <row r="88" spans="3:44" x14ac:dyDescent="0.25">
      <c r="E88" s="32" t="s">
        <v>1045</v>
      </c>
      <c r="F88" s="32"/>
      <c r="I88" t="s">
        <v>190</v>
      </c>
      <c r="J88" s="92"/>
      <c r="K88" s="92"/>
      <c r="L88" s="92"/>
      <c r="M88" s="92"/>
      <c r="N88" s="92"/>
      <c r="O88" s="92"/>
      <c r="P88" s="92"/>
      <c r="Q88" s="92"/>
      <c r="R88" s="92"/>
      <c r="S88" s="92"/>
      <c r="T88" s="92"/>
      <c r="U88" s="92"/>
      <c r="V88" s="92"/>
      <c r="W88" s="92"/>
      <c r="X88" s="92"/>
      <c r="Y88" s="92"/>
      <c r="Z88" s="92"/>
      <c r="AA88" s="92"/>
      <c r="AB88" s="92"/>
      <c r="AC88" s="92"/>
      <c r="AD88" s="92"/>
      <c r="AE88" s="92"/>
      <c r="AF88" s="92"/>
      <c r="AG88" s="92"/>
      <c r="AH88" s="92"/>
      <c r="AI88" s="92"/>
      <c r="AJ88" s="92"/>
      <c r="AK88" s="92"/>
      <c r="AL88" s="92"/>
      <c r="AM88" s="92"/>
      <c r="AN88" s="92"/>
      <c r="AO88" s="92"/>
      <c r="AP88" s="92"/>
      <c r="AR88" t="s">
        <v>191</v>
      </c>
    </row>
    <row r="89" spans="3:44" x14ac:dyDescent="0.25">
      <c r="E89" s="91"/>
      <c r="F89" s="23" t="s">
        <v>192</v>
      </c>
      <c r="G89" s="23" t="s">
        <v>327</v>
      </c>
      <c r="H89" s="318"/>
      <c r="I89" s="302"/>
      <c r="J89" s="311">
        <f>ROUND(J78,$H63)</f>
        <v>3.6629999999999998</v>
      </c>
      <c r="K89" s="311">
        <f t="shared" ref="K89:AP89" si="7">ROUND(K78,$H63)</f>
        <v>4.008</v>
      </c>
      <c r="L89" s="311">
        <f t="shared" si="7"/>
        <v>2.339</v>
      </c>
      <c r="M89" s="311">
        <f t="shared" si="7"/>
        <v>3.722</v>
      </c>
      <c r="N89" s="311">
        <f t="shared" si="7"/>
        <v>3.9180000000000001</v>
      </c>
      <c r="O89" s="311">
        <f t="shared" si="7"/>
        <v>2.2589999999999999</v>
      </c>
      <c r="P89" s="311">
        <f t="shared" si="7"/>
        <v>3.5950000000000002</v>
      </c>
      <c r="Q89" s="311">
        <f t="shared" si="7"/>
        <v>3.0259999999999998</v>
      </c>
      <c r="R89" s="311">
        <f t="shared" si="7"/>
        <v>2.2679999999999998</v>
      </c>
      <c r="S89" s="311">
        <f t="shared" si="7"/>
        <v>10.768000000000001</v>
      </c>
      <c r="T89" s="311">
        <f t="shared" si="7"/>
        <v>11.629</v>
      </c>
      <c r="U89" s="311">
        <f t="shared" si="7"/>
        <v>8.2940000000000005</v>
      </c>
      <c r="V89" s="311">
        <f t="shared" si="7"/>
        <v>5.5010000000000003</v>
      </c>
      <c r="W89" s="311">
        <f t="shared" si="7"/>
        <v>4.0730000000000004</v>
      </c>
      <c r="X89" s="311">
        <f t="shared" si="7"/>
        <v>4.7549999999999999</v>
      </c>
      <c r="Y89" s="311">
        <f t="shared" si="7"/>
        <v>4.8419999999999996</v>
      </c>
      <c r="Z89" s="311">
        <f t="shared" si="7"/>
        <v>5.7080000000000002</v>
      </c>
      <c r="AA89" s="311">
        <f t="shared" si="7"/>
        <v>4.758</v>
      </c>
      <c r="AB89" s="311">
        <f t="shared" si="7"/>
        <v>19.914000000000001</v>
      </c>
      <c r="AC89" s="311">
        <f t="shared" si="7"/>
        <v>-1.284</v>
      </c>
      <c r="AD89" s="311">
        <f t="shared" si="7"/>
        <v>-1.1519999999999999</v>
      </c>
      <c r="AE89" s="311">
        <f t="shared" si="7"/>
        <v>-1.284</v>
      </c>
      <c r="AF89" s="311">
        <f t="shared" si="7"/>
        <v>-1.284</v>
      </c>
      <c r="AG89" s="311">
        <f t="shared" si="7"/>
        <v>-6.7720000000000002</v>
      </c>
      <c r="AH89" s="311">
        <f t="shared" si="7"/>
        <v>-6.7720000000000002</v>
      </c>
      <c r="AI89" s="311">
        <f t="shared" si="7"/>
        <v>-1.1519999999999999</v>
      </c>
      <c r="AJ89" s="311">
        <f t="shared" si="7"/>
        <v>-1.1519999999999999</v>
      </c>
      <c r="AK89" s="311">
        <f t="shared" si="7"/>
        <v>-6.0880000000000001</v>
      </c>
      <c r="AL89" s="311">
        <f t="shared" si="7"/>
        <v>-6.0880000000000001</v>
      </c>
      <c r="AM89" s="311">
        <f t="shared" si="7"/>
        <v>-0.61599999999999999</v>
      </c>
      <c r="AN89" s="311">
        <f t="shared" si="7"/>
        <v>-0.61599999999999999</v>
      </c>
      <c r="AO89" s="311">
        <f t="shared" si="7"/>
        <v>-3.327</v>
      </c>
      <c r="AP89" s="311">
        <f t="shared" si="7"/>
        <v>-3.327</v>
      </c>
      <c r="AQ89" s="304"/>
      <c r="AR89" s="304"/>
    </row>
    <row r="90" spans="3:44" x14ac:dyDescent="0.25">
      <c r="E90" s="91"/>
      <c r="F90" t="s">
        <v>193</v>
      </c>
      <c r="G90" t="s">
        <v>327</v>
      </c>
      <c r="H90" s="319"/>
      <c r="I90" s="304"/>
      <c r="J90" s="312">
        <f t="shared" ref="J90:AP90" si="8">ROUND(J79,$H64)</f>
        <v>0</v>
      </c>
      <c r="K90" s="312">
        <f t="shared" si="8"/>
        <v>2.3559999999999999</v>
      </c>
      <c r="L90" s="312">
        <f t="shared" si="8"/>
        <v>0</v>
      </c>
      <c r="M90" s="312">
        <f t="shared" si="8"/>
        <v>0</v>
      </c>
      <c r="N90" s="312">
        <f t="shared" si="8"/>
        <v>2.226</v>
      </c>
      <c r="O90" s="312">
        <f t="shared" si="8"/>
        <v>0</v>
      </c>
      <c r="P90" s="312">
        <f t="shared" si="8"/>
        <v>2.1819999999999999</v>
      </c>
      <c r="Q90" s="312">
        <f t="shared" si="8"/>
        <v>1.992</v>
      </c>
      <c r="R90" s="312">
        <f t="shared" si="8"/>
        <v>1.7270000000000001</v>
      </c>
      <c r="S90" s="312">
        <f t="shared" si="8"/>
        <v>2.9119999999999999</v>
      </c>
      <c r="T90" s="312">
        <f t="shared" si="8"/>
        <v>3.044</v>
      </c>
      <c r="U90" s="312">
        <f t="shared" si="8"/>
        <v>2.5219999999999998</v>
      </c>
      <c r="V90" s="312">
        <f t="shared" si="8"/>
        <v>2.0750000000000002</v>
      </c>
      <c r="W90" s="312">
        <f t="shared" si="8"/>
        <v>1.849</v>
      </c>
      <c r="X90" s="312">
        <f t="shared" si="8"/>
        <v>0</v>
      </c>
      <c r="Y90" s="312">
        <f t="shared" si="8"/>
        <v>0</v>
      </c>
      <c r="Z90" s="312">
        <f t="shared" si="8"/>
        <v>0</v>
      </c>
      <c r="AA90" s="312">
        <f t="shared" si="8"/>
        <v>0</v>
      </c>
      <c r="AB90" s="312">
        <f t="shared" si="8"/>
        <v>4.7190000000000003</v>
      </c>
      <c r="AC90" s="312">
        <f t="shared" si="8"/>
        <v>0</v>
      </c>
      <c r="AD90" s="312">
        <f t="shared" si="8"/>
        <v>0</v>
      </c>
      <c r="AE90" s="312">
        <f t="shared" si="8"/>
        <v>0</v>
      </c>
      <c r="AF90" s="312">
        <f t="shared" si="8"/>
        <v>0</v>
      </c>
      <c r="AG90" s="312">
        <f t="shared" si="8"/>
        <v>-1.0429999999999999</v>
      </c>
      <c r="AH90" s="312">
        <f t="shared" si="8"/>
        <v>-1.0429999999999999</v>
      </c>
      <c r="AI90" s="312">
        <f t="shared" si="8"/>
        <v>0</v>
      </c>
      <c r="AJ90" s="312">
        <f t="shared" si="8"/>
        <v>0</v>
      </c>
      <c r="AK90" s="312">
        <f t="shared" si="8"/>
        <v>-0.93400000000000005</v>
      </c>
      <c r="AL90" s="312">
        <f t="shared" si="8"/>
        <v>-0.93400000000000005</v>
      </c>
      <c r="AM90" s="312">
        <f t="shared" si="8"/>
        <v>0</v>
      </c>
      <c r="AN90" s="312">
        <f t="shared" si="8"/>
        <v>0</v>
      </c>
      <c r="AO90" s="312">
        <f t="shared" si="8"/>
        <v>-0.49099999999999999</v>
      </c>
      <c r="AP90" s="312">
        <f t="shared" si="8"/>
        <v>-0.49099999999999999</v>
      </c>
      <c r="AQ90" s="304"/>
      <c r="AR90" s="304"/>
    </row>
    <row r="91" spans="3:44" x14ac:dyDescent="0.25">
      <c r="E91" s="91"/>
      <c r="F91" t="s">
        <v>194</v>
      </c>
      <c r="G91" t="s">
        <v>327</v>
      </c>
      <c r="H91" s="319"/>
      <c r="I91" s="304"/>
      <c r="J91" s="312">
        <f t="shared" ref="J91:AP91" si="9">ROUND(J80,$H65)</f>
        <v>0</v>
      </c>
      <c r="K91" s="312">
        <f t="shared" si="9"/>
        <v>0</v>
      </c>
      <c r="L91" s="312">
        <f t="shared" si="9"/>
        <v>0</v>
      </c>
      <c r="M91" s="312">
        <f t="shared" si="9"/>
        <v>0</v>
      </c>
      <c r="N91" s="312">
        <f t="shared" si="9"/>
        <v>0</v>
      </c>
      <c r="O91" s="312">
        <f t="shared" si="9"/>
        <v>0</v>
      </c>
      <c r="P91" s="312">
        <f t="shared" si="9"/>
        <v>0</v>
      </c>
      <c r="Q91" s="312">
        <f t="shared" si="9"/>
        <v>0</v>
      </c>
      <c r="R91" s="312">
        <f t="shared" si="9"/>
        <v>0</v>
      </c>
      <c r="S91" s="312">
        <f t="shared" si="9"/>
        <v>2.1509999999999998</v>
      </c>
      <c r="T91" s="312">
        <f t="shared" si="9"/>
        <v>2.2130000000000001</v>
      </c>
      <c r="U91" s="312">
        <f t="shared" si="9"/>
        <v>1.968</v>
      </c>
      <c r="V91" s="312">
        <f t="shared" si="9"/>
        <v>1.758</v>
      </c>
      <c r="W91" s="312">
        <f t="shared" si="9"/>
        <v>1.6519999999999999</v>
      </c>
      <c r="X91" s="312">
        <f t="shared" si="9"/>
        <v>0</v>
      </c>
      <c r="Y91" s="312">
        <f t="shared" si="9"/>
        <v>0</v>
      </c>
      <c r="Z91" s="312">
        <f t="shared" si="9"/>
        <v>0</v>
      </c>
      <c r="AA91" s="312">
        <f t="shared" si="9"/>
        <v>0</v>
      </c>
      <c r="AB91" s="312">
        <f t="shared" si="9"/>
        <v>3.8780000000000001</v>
      </c>
      <c r="AC91" s="312">
        <f t="shared" si="9"/>
        <v>0</v>
      </c>
      <c r="AD91" s="312">
        <f t="shared" si="9"/>
        <v>0</v>
      </c>
      <c r="AE91" s="312">
        <f t="shared" si="9"/>
        <v>0</v>
      </c>
      <c r="AF91" s="312">
        <f t="shared" si="9"/>
        <v>0</v>
      </c>
      <c r="AG91" s="312">
        <f t="shared" si="9"/>
        <v>-0.48799999999999999</v>
      </c>
      <c r="AH91" s="312">
        <f t="shared" si="9"/>
        <v>-0.48799999999999999</v>
      </c>
      <c r="AI91" s="312">
        <f t="shared" si="9"/>
        <v>0</v>
      </c>
      <c r="AJ91" s="312">
        <f t="shared" si="9"/>
        <v>0</v>
      </c>
      <c r="AK91" s="312">
        <f t="shared" si="9"/>
        <v>-0.437</v>
      </c>
      <c r="AL91" s="312">
        <f t="shared" si="9"/>
        <v>-0.437</v>
      </c>
      <c r="AM91" s="312">
        <f t="shared" si="9"/>
        <v>0</v>
      </c>
      <c r="AN91" s="312">
        <f t="shared" si="9"/>
        <v>0</v>
      </c>
      <c r="AO91" s="312">
        <f t="shared" si="9"/>
        <v>-0.22900000000000001</v>
      </c>
      <c r="AP91" s="312">
        <f t="shared" si="9"/>
        <v>-0.22900000000000001</v>
      </c>
      <c r="AQ91" s="304"/>
      <c r="AR91" s="304"/>
    </row>
    <row r="92" spans="3:44" x14ac:dyDescent="0.25">
      <c r="E92" s="91"/>
      <c r="F92" t="s">
        <v>195</v>
      </c>
      <c r="G92" t="s">
        <v>328</v>
      </c>
      <c r="H92" s="51"/>
      <c r="J92" s="124">
        <f t="shared" ref="J92:AP92" si="10">ROUND(J81,$H66)</f>
        <v>6.72</v>
      </c>
      <c r="K92" s="124">
        <f t="shared" si="10"/>
        <v>6.72</v>
      </c>
      <c r="L92" s="124">
        <f t="shared" si="10"/>
        <v>0</v>
      </c>
      <c r="M92" s="124">
        <f t="shared" si="10"/>
        <v>9.49</v>
      </c>
      <c r="N92" s="124">
        <f t="shared" si="10"/>
        <v>9.49</v>
      </c>
      <c r="O92" s="124">
        <f t="shared" si="10"/>
        <v>0</v>
      </c>
      <c r="P92" s="124">
        <f t="shared" si="10"/>
        <v>82.38</v>
      </c>
      <c r="Q92" s="124">
        <f t="shared" si="10"/>
        <v>50.97</v>
      </c>
      <c r="R92" s="124">
        <f t="shared" si="10"/>
        <v>2503.06</v>
      </c>
      <c r="S92" s="124">
        <f t="shared" si="10"/>
        <v>6.72</v>
      </c>
      <c r="T92" s="124">
        <f t="shared" si="10"/>
        <v>9.49</v>
      </c>
      <c r="U92" s="124">
        <f t="shared" si="10"/>
        <v>26.85</v>
      </c>
      <c r="V92" s="124">
        <f t="shared" si="10"/>
        <v>50.97</v>
      </c>
      <c r="W92" s="124">
        <f t="shared" si="10"/>
        <v>298.74</v>
      </c>
      <c r="X92" s="124">
        <f t="shared" si="10"/>
        <v>0</v>
      </c>
      <c r="Y92" s="124">
        <f t="shared" si="10"/>
        <v>0</v>
      </c>
      <c r="Z92" s="124">
        <f t="shared" si="10"/>
        <v>0</v>
      </c>
      <c r="AA92" s="124">
        <f t="shared" si="10"/>
        <v>0</v>
      </c>
      <c r="AB92" s="124">
        <f t="shared" si="10"/>
        <v>0</v>
      </c>
      <c r="AC92" s="124">
        <f t="shared" si="10"/>
        <v>0</v>
      </c>
      <c r="AD92" s="124">
        <f t="shared" si="10"/>
        <v>0</v>
      </c>
      <c r="AE92" s="124">
        <f t="shared" si="10"/>
        <v>0</v>
      </c>
      <c r="AF92" s="124">
        <f t="shared" si="10"/>
        <v>0</v>
      </c>
      <c r="AG92" s="124">
        <f t="shared" si="10"/>
        <v>0</v>
      </c>
      <c r="AH92" s="124">
        <f t="shared" si="10"/>
        <v>0</v>
      </c>
      <c r="AI92" s="124">
        <f t="shared" si="10"/>
        <v>0</v>
      </c>
      <c r="AJ92" s="124">
        <f t="shared" si="10"/>
        <v>0</v>
      </c>
      <c r="AK92" s="124">
        <f t="shared" si="10"/>
        <v>0</v>
      </c>
      <c r="AL92" s="124">
        <f t="shared" si="10"/>
        <v>0</v>
      </c>
      <c r="AM92" s="124">
        <f t="shared" si="10"/>
        <v>414.59</v>
      </c>
      <c r="AN92" s="124">
        <f t="shared" si="10"/>
        <v>414.59</v>
      </c>
      <c r="AO92" s="124">
        <f t="shared" si="10"/>
        <v>414.59</v>
      </c>
      <c r="AP92" s="124">
        <f t="shared" si="10"/>
        <v>414.59</v>
      </c>
    </row>
    <row r="93" spans="3:44" x14ac:dyDescent="0.25">
      <c r="E93" s="91"/>
      <c r="F93" t="s">
        <v>196</v>
      </c>
      <c r="G93" t="s">
        <v>329</v>
      </c>
      <c r="H93" s="51"/>
      <c r="J93" s="124">
        <f t="shared" ref="J93:AP93" si="11">ROUND(J82,$H67)</f>
        <v>0</v>
      </c>
      <c r="K93" s="124">
        <f t="shared" si="11"/>
        <v>0</v>
      </c>
      <c r="L93" s="124">
        <f t="shared" si="11"/>
        <v>0</v>
      </c>
      <c r="M93" s="124">
        <f t="shared" si="11"/>
        <v>0</v>
      </c>
      <c r="N93" s="124">
        <f t="shared" si="11"/>
        <v>0</v>
      </c>
      <c r="O93" s="124">
        <f t="shared" si="11"/>
        <v>0</v>
      </c>
      <c r="P93" s="124">
        <f t="shared" si="11"/>
        <v>0</v>
      </c>
      <c r="Q93" s="124">
        <f t="shared" si="11"/>
        <v>0</v>
      </c>
      <c r="R93" s="124">
        <f t="shared" si="11"/>
        <v>0</v>
      </c>
      <c r="S93" s="124">
        <f t="shared" si="11"/>
        <v>0</v>
      </c>
      <c r="T93" s="124">
        <f t="shared" si="11"/>
        <v>0</v>
      </c>
      <c r="U93" s="124">
        <f t="shared" si="11"/>
        <v>4.76</v>
      </c>
      <c r="V93" s="124">
        <f t="shared" si="11"/>
        <v>7.79</v>
      </c>
      <c r="W93" s="124">
        <f t="shared" si="11"/>
        <v>10.49</v>
      </c>
      <c r="X93" s="124">
        <f t="shared" si="11"/>
        <v>0</v>
      </c>
      <c r="Y93" s="124">
        <f t="shared" si="11"/>
        <v>0</v>
      </c>
      <c r="Z93" s="124">
        <f t="shared" si="11"/>
        <v>0</v>
      </c>
      <c r="AA93" s="124">
        <f t="shared" si="11"/>
        <v>0</v>
      </c>
      <c r="AB93" s="124">
        <f t="shared" si="11"/>
        <v>0</v>
      </c>
      <c r="AC93" s="124">
        <f t="shared" si="11"/>
        <v>0</v>
      </c>
      <c r="AD93" s="124">
        <f t="shared" si="11"/>
        <v>0</v>
      </c>
      <c r="AE93" s="124">
        <f t="shared" si="11"/>
        <v>0</v>
      </c>
      <c r="AF93" s="124">
        <f t="shared" si="11"/>
        <v>0</v>
      </c>
      <c r="AG93" s="124">
        <f t="shared" si="11"/>
        <v>0</v>
      </c>
      <c r="AH93" s="124">
        <f t="shared" si="11"/>
        <v>0</v>
      </c>
      <c r="AI93" s="124">
        <f t="shared" si="11"/>
        <v>0</v>
      </c>
      <c r="AJ93" s="124">
        <f t="shared" si="11"/>
        <v>0</v>
      </c>
      <c r="AK93" s="124">
        <f t="shared" si="11"/>
        <v>0</v>
      </c>
      <c r="AL93" s="124">
        <f t="shared" si="11"/>
        <v>0</v>
      </c>
      <c r="AM93" s="124">
        <f t="shared" si="11"/>
        <v>0</v>
      </c>
      <c r="AN93" s="124">
        <f t="shared" si="11"/>
        <v>0</v>
      </c>
      <c r="AO93" s="124">
        <f t="shared" si="11"/>
        <v>0</v>
      </c>
      <c r="AP93" s="124">
        <f t="shared" si="11"/>
        <v>0</v>
      </c>
    </row>
    <row r="94" spans="3:44" x14ac:dyDescent="0.25">
      <c r="E94" s="91"/>
      <c r="F94" t="s">
        <v>197</v>
      </c>
      <c r="G94" t="s">
        <v>329</v>
      </c>
      <c r="H94" s="51"/>
      <c r="J94" s="124">
        <f t="shared" ref="J94:AP94" si="12">ROUND(J83,$H68)</f>
        <v>0</v>
      </c>
      <c r="K94" s="124">
        <f t="shared" si="12"/>
        <v>0</v>
      </c>
      <c r="L94" s="124">
        <f t="shared" si="12"/>
        <v>0</v>
      </c>
      <c r="M94" s="124">
        <f t="shared" si="12"/>
        <v>0</v>
      </c>
      <c r="N94" s="124">
        <f t="shared" si="12"/>
        <v>0</v>
      </c>
      <c r="O94" s="124">
        <f t="shared" si="12"/>
        <v>0</v>
      </c>
      <c r="P94" s="124">
        <f t="shared" si="12"/>
        <v>0</v>
      </c>
      <c r="Q94" s="124">
        <f t="shared" si="12"/>
        <v>0</v>
      </c>
      <c r="R94" s="124">
        <f t="shared" si="12"/>
        <v>0</v>
      </c>
      <c r="S94" s="124">
        <f t="shared" si="12"/>
        <v>0</v>
      </c>
      <c r="T94" s="124">
        <f t="shared" si="12"/>
        <v>0</v>
      </c>
      <c r="U94" s="124">
        <f t="shared" si="12"/>
        <v>8.74</v>
      </c>
      <c r="V94" s="124">
        <f t="shared" si="12"/>
        <v>10.79</v>
      </c>
      <c r="W94" s="124">
        <f t="shared" si="12"/>
        <v>12.37</v>
      </c>
      <c r="X94" s="124">
        <f t="shared" si="12"/>
        <v>0</v>
      </c>
      <c r="Y94" s="124">
        <f t="shared" si="12"/>
        <v>0</v>
      </c>
      <c r="Z94" s="124">
        <f t="shared" si="12"/>
        <v>0</v>
      </c>
      <c r="AA94" s="124">
        <f t="shared" si="12"/>
        <v>0</v>
      </c>
      <c r="AB94" s="124">
        <f t="shared" si="12"/>
        <v>0</v>
      </c>
      <c r="AC94" s="124">
        <f t="shared" si="12"/>
        <v>0</v>
      </c>
      <c r="AD94" s="124">
        <f t="shared" si="12"/>
        <v>0</v>
      </c>
      <c r="AE94" s="124">
        <f t="shared" si="12"/>
        <v>0</v>
      </c>
      <c r="AF94" s="124">
        <f t="shared" si="12"/>
        <v>0</v>
      </c>
      <c r="AG94" s="124">
        <f t="shared" si="12"/>
        <v>0</v>
      </c>
      <c r="AH94" s="124">
        <f t="shared" si="12"/>
        <v>0</v>
      </c>
      <c r="AI94" s="124">
        <f t="shared" si="12"/>
        <v>0</v>
      </c>
      <c r="AJ94" s="124">
        <f t="shared" si="12"/>
        <v>0</v>
      </c>
      <c r="AK94" s="124">
        <f t="shared" si="12"/>
        <v>0</v>
      </c>
      <c r="AL94" s="124">
        <f t="shared" si="12"/>
        <v>0</v>
      </c>
      <c r="AM94" s="124">
        <f t="shared" si="12"/>
        <v>0</v>
      </c>
      <c r="AN94" s="124">
        <f t="shared" si="12"/>
        <v>0</v>
      </c>
      <c r="AO94" s="124">
        <f t="shared" si="12"/>
        <v>0</v>
      </c>
      <c r="AP94" s="124">
        <f t="shared" si="12"/>
        <v>0</v>
      </c>
    </row>
    <row r="95" spans="3:44" x14ac:dyDescent="0.25">
      <c r="E95" s="91"/>
      <c r="F95" s="37" t="s">
        <v>198</v>
      </c>
      <c r="G95" s="37" t="s">
        <v>330</v>
      </c>
      <c r="H95" s="323"/>
      <c r="I95" s="308"/>
      <c r="J95" s="313">
        <f t="shared" ref="J95:AP95" si="13">ROUND(J84,$H69)</f>
        <v>0</v>
      </c>
      <c r="K95" s="313">
        <f t="shared" si="13"/>
        <v>0</v>
      </c>
      <c r="L95" s="313">
        <f t="shared" si="13"/>
        <v>0</v>
      </c>
      <c r="M95" s="313">
        <f t="shared" si="13"/>
        <v>0</v>
      </c>
      <c r="N95" s="313">
        <f t="shared" si="13"/>
        <v>0</v>
      </c>
      <c r="O95" s="313">
        <f t="shared" si="13"/>
        <v>0</v>
      </c>
      <c r="P95" s="313">
        <f t="shared" si="13"/>
        <v>0</v>
      </c>
      <c r="Q95" s="313">
        <f t="shared" si="13"/>
        <v>0</v>
      </c>
      <c r="R95" s="313">
        <f t="shared" si="13"/>
        <v>0</v>
      </c>
      <c r="S95" s="313">
        <f t="shared" si="13"/>
        <v>0</v>
      </c>
      <c r="T95" s="313">
        <f t="shared" si="13"/>
        <v>0</v>
      </c>
      <c r="U95" s="313">
        <f t="shared" si="13"/>
        <v>0.27300000000000002</v>
      </c>
      <c r="V95" s="313">
        <f t="shared" si="13"/>
        <v>0.13700000000000001</v>
      </c>
      <c r="W95" s="313">
        <f t="shared" si="13"/>
        <v>9.0999999999999998E-2</v>
      </c>
      <c r="X95" s="313">
        <f t="shared" si="13"/>
        <v>0</v>
      </c>
      <c r="Y95" s="313">
        <f t="shared" si="13"/>
        <v>0</v>
      </c>
      <c r="Z95" s="313">
        <f t="shared" si="13"/>
        <v>0</v>
      </c>
      <c r="AA95" s="313">
        <f t="shared" si="13"/>
        <v>0</v>
      </c>
      <c r="AB95" s="313">
        <f t="shared" si="13"/>
        <v>0</v>
      </c>
      <c r="AC95" s="313">
        <f t="shared" si="13"/>
        <v>0</v>
      </c>
      <c r="AD95" s="313">
        <f t="shared" si="13"/>
        <v>0</v>
      </c>
      <c r="AE95" s="313">
        <f t="shared" si="13"/>
        <v>0.26500000000000001</v>
      </c>
      <c r="AF95" s="313">
        <f t="shared" si="13"/>
        <v>0</v>
      </c>
      <c r="AG95" s="313">
        <f t="shared" si="13"/>
        <v>0.26500000000000001</v>
      </c>
      <c r="AH95" s="313">
        <f t="shared" si="13"/>
        <v>0</v>
      </c>
      <c r="AI95" s="313">
        <f t="shared" si="13"/>
        <v>0.22500000000000001</v>
      </c>
      <c r="AJ95" s="313">
        <f t="shared" si="13"/>
        <v>0</v>
      </c>
      <c r="AK95" s="313">
        <f t="shared" si="13"/>
        <v>0.22500000000000001</v>
      </c>
      <c r="AL95" s="313">
        <f t="shared" si="13"/>
        <v>0</v>
      </c>
      <c r="AM95" s="313">
        <f t="shared" si="13"/>
        <v>0.20599999999999999</v>
      </c>
      <c r="AN95" s="313">
        <f t="shared" si="13"/>
        <v>0</v>
      </c>
      <c r="AO95" s="313">
        <f t="shared" si="13"/>
        <v>0.20599999999999999</v>
      </c>
      <c r="AP95" s="313">
        <f t="shared" si="13"/>
        <v>0</v>
      </c>
      <c r="AQ95" s="304"/>
      <c r="AR95" s="304"/>
    </row>
    <row r="96" spans="3:44" x14ac:dyDescent="0.25">
      <c r="E96" s="32"/>
      <c r="J96" s="92"/>
      <c r="K96" s="92"/>
      <c r="L96" s="92"/>
      <c r="M96" s="92"/>
      <c r="N96" s="92"/>
      <c r="O96" s="92"/>
      <c r="P96" s="92"/>
      <c r="Q96" s="92"/>
      <c r="R96" s="92"/>
      <c r="S96" s="92"/>
      <c r="T96" s="92"/>
      <c r="U96" s="92"/>
      <c r="V96" s="92"/>
      <c r="W96" s="92"/>
      <c r="X96" s="92"/>
      <c r="Y96" s="92"/>
      <c r="Z96" s="92"/>
      <c r="AA96" s="92"/>
      <c r="AB96" s="92"/>
      <c r="AC96" s="92"/>
      <c r="AD96" s="92"/>
      <c r="AE96" s="92"/>
      <c r="AF96" s="92"/>
      <c r="AG96" s="92"/>
      <c r="AH96" s="92"/>
      <c r="AI96" s="92"/>
      <c r="AJ96" s="92"/>
      <c r="AK96" s="92"/>
      <c r="AL96" s="92"/>
      <c r="AM96" s="92"/>
      <c r="AN96" s="92"/>
      <c r="AO96" s="92"/>
      <c r="AP96" s="92"/>
    </row>
    <row r="97" spans="3:44" x14ac:dyDescent="0.25">
      <c r="E97" s="32" t="s">
        <v>1046</v>
      </c>
      <c r="I97" t="s">
        <v>190</v>
      </c>
      <c r="J97" s="92"/>
      <c r="K97" s="92"/>
      <c r="L97" s="92"/>
      <c r="M97" s="92"/>
      <c r="N97" s="92"/>
      <c r="O97" s="92"/>
      <c r="P97" s="92"/>
      <c r="Q97" s="92"/>
      <c r="R97" s="92"/>
      <c r="S97" s="92"/>
      <c r="T97" s="92"/>
      <c r="U97" s="92"/>
      <c r="V97" s="92"/>
      <c r="W97" s="92"/>
      <c r="X97" s="92"/>
      <c r="Y97" s="92"/>
      <c r="Z97" s="92"/>
      <c r="AA97" s="92"/>
      <c r="AB97" s="92"/>
      <c r="AC97" s="92"/>
      <c r="AD97" s="92"/>
      <c r="AE97" s="92"/>
      <c r="AF97" s="92"/>
      <c r="AG97" s="92"/>
      <c r="AH97" s="92"/>
      <c r="AI97" s="92"/>
      <c r="AJ97" s="92"/>
      <c r="AK97" s="92"/>
      <c r="AL97" s="92"/>
      <c r="AM97" s="92"/>
      <c r="AN97" s="92"/>
      <c r="AO97" s="92"/>
      <c r="AP97" s="92"/>
      <c r="AR97" t="s">
        <v>191</v>
      </c>
    </row>
    <row r="98" spans="3:44" x14ac:dyDescent="0.25">
      <c r="E98" s="91"/>
      <c r="F98" s="23" t="s">
        <v>192</v>
      </c>
      <c r="G98" s="23" t="s">
        <v>327</v>
      </c>
      <c r="H98" s="318"/>
      <c r="I98" s="302"/>
      <c r="J98" s="311">
        <f t="shared" ref="J98:P104" si="14">ROUND(J89*(1-J43),$H63)</f>
        <v>2.5859999999999999</v>
      </c>
      <c r="K98" s="311">
        <f t="shared" si="14"/>
        <v>2.83</v>
      </c>
      <c r="L98" s="311">
        <f t="shared" si="14"/>
        <v>1.651</v>
      </c>
      <c r="M98" s="311">
        <f t="shared" si="14"/>
        <v>2.6280000000000001</v>
      </c>
      <c r="N98" s="311">
        <f t="shared" si="14"/>
        <v>2.766</v>
      </c>
      <c r="O98" s="311">
        <f t="shared" si="14"/>
        <v>1.595</v>
      </c>
      <c r="P98" s="311">
        <f t="shared" si="14"/>
        <v>2.5379999999999998</v>
      </c>
      <c r="Q98" s="320"/>
      <c r="R98" s="320"/>
      <c r="S98" s="311">
        <f t="shared" ref="S98:U104" si="15">ROUND(S89*(1-S43),$H63)</f>
        <v>7.6020000000000003</v>
      </c>
      <c r="T98" s="311">
        <f t="shared" si="15"/>
        <v>8.2100000000000009</v>
      </c>
      <c r="U98" s="311">
        <f t="shared" si="15"/>
        <v>5.8559999999999999</v>
      </c>
      <c r="V98" s="320"/>
      <c r="W98" s="320"/>
      <c r="X98" s="311">
        <f t="shared" ref="X98:AC104" si="16">ROUND(X89*(1-X43),$H63)</f>
        <v>3.3570000000000002</v>
      </c>
      <c r="Y98" s="311">
        <f t="shared" si="16"/>
        <v>3.4180000000000001</v>
      </c>
      <c r="Z98" s="311">
        <f t="shared" si="16"/>
        <v>4.03</v>
      </c>
      <c r="AA98" s="311">
        <f t="shared" si="16"/>
        <v>3.359</v>
      </c>
      <c r="AB98" s="311">
        <f t="shared" si="16"/>
        <v>14.058999999999999</v>
      </c>
      <c r="AC98" s="311">
        <f t="shared" si="16"/>
        <v>-1.284</v>
      </c>
      <c r="AD98" s="320"/>
      <c r="AE98" s="311">
        <f t="shared" ref="AE98:AE104" si="17">ROUND(AE89*(1-AE43),$H63)</f>
        <v>-1.284</v>
      </c>
      <c r="AF98" s="320"/>
      <c r="AG98" s="311">
        <f t="shared" ref="AG98:AG104" si="18">ROUND(AG89*(1-AG43),$H63)</f>
        <v>-6.7720000000000002</v>
      </c>
      <c r="AH98" s="320"/>
      <c r="AI98" s="320"/>
      <c r="AJ98" s="320"/>
      <c r="AK98" s="320"/>
      <c r="AL98" s="320"/>
      <c r="AM98" s="320"/>
      <c r="AN98" s="320"/>
      <c r="AO98" s="320"/>
      <c r="AP98" s="320"/>
      <c r="AQ98" s="304"/>
      <c r="AR98" s="304"/>
    </row>
    <row r="99" spans="3:44" x14ac:dyDescent="0.25">
      <c r="E99" s="91"/>
      <c r="F99" t="s">
        <v>193</v>
      </c>
      <c r="G99" t="s">
        <v>327</v>
      </c>
      <c r="H99" s="319"/>
      <c r="I99" s="304"/>
      <c r="J99" s="312">
        <f t="shared" si="14"/>
        <v>0</v>
      </c>
      <c r="K99" s="312">
        <f t="shared" si="14"/>
        <v>1.663</v>
      </c>
      <c r="L99" s="312">
        <f t="shared" si="14"/>
        <v>0</v>
      </c>
      <c r="M99" s="312">
        <f t="shared" si="14"/>
        <v>0</v>
      </c>
      <c r="N99" s="312">
        <f t="shared" si="14"/>
        <v>1.5720000000000001</v>
      </c>
      <c r="O99" s="312">
        <f t="shared" si="14"/>
        <v>0</v>
      </c>
      <c r="P99" s="312">
        <f t="shared" si="14"/>
        <v>1.54</v>
      </c>
      <c r="Q99" s="305"/>
      <c r="R99" s="305"/>
      <c r="S99" s="312">
        <f t="shared" si="15"/>
        <v>2.056</v>
      </c>
      <c r="T99" s="312">
        <f t="shared" si="15"/>
        <v>2.149</v>
      </c>
      <c r="U99" s="312">
        <f t="shared" si="15"/>
        <v>1.7809999999999999</v>
      </c>
      <c r="V99" s="305"/>
      <c r="W99" s="305"/>
      <c r="X99" s="312">
        <f t="shared" si="16"/>
        <v>0</v>
      </c>
      <c r="Y99" s="312">
        <f t="shared" si="16"/>
        <v>0</v>
      </c>
      <c r="Z99" s="312">
        <f t="shared" si="16"/>
        <v>0</v>
      </c>
      <c r="AA99" s="312">
        <f t="shared" si="16"/>
        <v>0</v>
      </c>
      <c r="AB99" s="312">
        <f t="shared" si="16"/>
        <v>3.3319999999999999</v>
      </c>
      <c r="AC99" s="312">
        <f t="shared" si="16"/>
        <v>0</v>
      </c>
      <c r="AD99" s="305"/>
      <c r="AE99" s="312">
        <f t="shared" si="17"/>
        <v>0</v>
      </c>
      <c r="AF99" s="305"/>
      <c r="AG99" s="312">
        <f t="shared" si="18"/>
        <v>-1.0429999999999999</v>
      </c>
      <c r="AH99" s="305"/>
      <c r="AI99" s="305"/>
      <c r="AJ99" s="305"/>
      <c r="AK99" s="305"/>
      <c r="AL99" s="305"/>
      <c r="AM99" s="305"/>
      <c r="AN99" s="305"/>
      <c r="AO99" s="305"/>
      <c r="AP99" s="305"/>
      <c r="AQ99" s="304"/>
      <c r="AR99" s="304"/>
    </row>
    <row r="100" spans="3:44" x14ac:dyDescent="0.25">
      <c r="E100" s="91"/>
      <c r="F100" t="s">
        <v>194</v>
      </c>
      <c r="G100" t="s">
        <v>327</v>
      </c>
      <c r="H100" s="319"/>
      <c r="I100" s="304"/>
      <c r="J100" s="312">
        <f t="shared" si="14"/>
        <v>0</v>
      </c>
      <c r="K100" s="312">
        <f t="shared" si="14"/>
        <v>0</v>
      </c>
      <c r="L100" s="312">
        <f t="shared" si="14"/>
        <v>0</v>
      </c>
      <c r="M100" s="312">
        <f t="shared" si="14"/>
        <v>0</v>
      </c>
      <c r="N100" s="312">
        <f t="shared" si="14"/>
        <v>0</v>
      </c>
      <c r="O100" s="312">
        <f t="shared" si="14"/>
        <v>0</v>
      </c>
      <c r="P100" s="312">
        <f t="shared" si="14"/>
        <v>0</v>
      </c>
      <c r="Q100" s="305"/>
      <c r="R100" s="305"/>
      <c r="S100" s="312">
        <f t="shared" si="15"/>
        <v>1.5189999999999999</v>
      </c>
      <c r="T100" s="312">
        <f t="shared" si="15"/>
        <v>1.5620000000000001</v>
      </c>
      <c r="U100" s="312">
        <f t="shared" si="15"/>
        <v>1.389</v>
      </c>
      <c r="V100" s="305"/>
      <c r="W100" s="305"/>
      <c r="X100" s="312">
        <f t="shared" si="16"/>
        <v>0</v>
      </c>
      <c r="Y100" s="312">
        <f t="shared" si="16"/>
        <v>0</v>
      </c>
      <c r="Z100" s="312">
        <f t="shared" si="16"/>
        <v>0</v>
      </c>
      <c r="AA100" s="312">
        <f t="shared" si="16"/>
        <v>0</v>
      </c>
      <c r="AB100" s="312">
        <f t="shared" si="16"/>
        <v>2.738</v>
      </c>
      <c r="AC100" s="312">
        <f t="shared" si="16"/>
        <v>0</v>
      </c>
      <c r="AD100" s="305"/>
      <c r="AE100" s="312">
        <f t="shared" si="17"/>
        <v>0</v>
      </c>
      <c r="AF100" s="305"/>
      <c r="AG100" s="312">
        <f t="shared" si="18"/>
        <v>-0.48799999999999999</v>
      </c>
      <c r="AH100" s="305"/>
      <c r="AI100" s="305"/>
      <c r="AJ100" s="305"/>
      <c r="AK100" s="305"/>
      <c r="AL100" s="305"/>
      <c r="AM100" s="305"/>
      <c r="AN100" s="305"/>
      <c r="AO100" s="305"/>
      <c r="AP100" s="305"/>
      <c r="AQ100" s="304"/>
      <c r="AR100" s="304"/>
    </row>
    <row r="101" spans="3:44" x14ac:dyDescent="0.25">
      <c r="E101" s="91"/>
      <c r="F101" t="s">
        <v>195</v>
      </c>
      <c r="G101" t="s">
        <v>328</v>
      </c>
      <c r="H101" s="51"/>
      <c r="J101" s="124">
        <f t="shared" si="14"/>
        <v>4.74</v>
      </c>
      <c r="K101" s="124">
        <f t="shared" si="14"/>
        <v>4.74</v>
      </c>
      <c r="L101" s="124">
        <f t="shared" si="14"/>
        <v>0</v>
      </c>
      <c r="M101" s="124">
        <f t="shared" si="14"/>
        <v>6.7</v>
      </c>
      <c r="N101" s="124">
        <f t="shared" si="14"/>
        <v>6.7</v>
      </c>
      <c r="O101" s="124">
        <f t="shared" si="14"/>
        <v>0</v>
      </c>
      <c r="P101" s="124">
        <f t="shared" si="14"/>
        <v>58.16</v>
      </c>
      <c r="Q101" s="79"/>
      <c r="R101" s="79"/>
      <c r="S101" s="124">
        <f t="shared" si="15"/>
        <v>4.74</v>
      </c>
      <c r="T101" s="124">
        <f t="shared" si="15"/>
        <v>6.7</v>
      </c>
      <c r="U101" s="124">
        <f t="shared" si="15"/>
        <v>18.96</v>
      </c>
      <c r="V101" s="79"/>
      <c r="W101" s="79"/>
      <c r="X101" s="124">
        <f t="shared" si="16"/>
        <v>0</v>
      </c>
      <c r="Y101" s="124">
        <f t="shared" si="16"/>
        <v>0</v>
      </c>
      <c r="Z101" s="124">
        <f t="shared" si="16"/>
        <v>0</v>
      </c>
      <c r="AA101" s="124">
        <f t="shared" si="16"/>
        <v>0</v>
      </c>
      <c r="AB101" s="124">
        <f t="shared" si="16"/>
        <v>0</v>
      </c>
      <c r="AC101" s="124">
        <f t="shared" si="16"/>
        <v>0</v>
      </c>
      <c r="AD101" s="79"/>
      <c r="AE101" s="124">
        <f t="shared" si="17"/>
        <v>0</v>
      </c>
      <c r="AF101" s="79"/>
      <c r="AG101" s="124">
        <f t="shared" si="18"/>
        <v>0</v>
      </c>
      <c r="AH101" s="79"/>
      <c r="AI101" s="79"/>
      <c r="AJ101" s="79"/>
      <c r="AK101" s="79"/>
      <c r="AL101" s="79"/>
      <c r="AM101" s="79"/>
      <c r="AN101" s="79"/>
      <c r="AO101" s="79"/>
      <c r="AP101" s="79"/>
    </row>
    <row r="102" spans="3:44" x14ac:dyDescent="0.25">
      <c r="E102" s="91"/>
      <c r="F102" t="s">
        <v>196</v>
      </c>
      <c r="G102" t="s">
        <v>329</v>
      </c>
      <c r="H102" s="51"/>
      <c r="J102" s="124">
        <f t="shared" si="14"/>
        <v>0</v>
      </c>
      <c r="K102" s="124">
        <f t="shared" si="14"/>
        <v>0</v>
      </c>
      <c r="L102" s="124">
        <f t="shared" si="14"/>
        <v>0</v>
      </c>
      <c r="M102" s="124">
        <f t="shared" si="14"/>
        <v>0</v>
      </c>
      <c r="N102" s="124">
        <f t="shared" si="14"/>
        <v>0</v>
      </c>
      <c r="O102" s="124">
        <f t="shared" si="14"/>
        <v>0</v>
      </c>
      <c r="P102" s="124">
        <f t="shared" si="14"/>
        <v>0</v>
      </c>
      <c r="Q102" s="79"/>
      <c r="R102" s="79"/>
      <c r="S102" s="124">
        <f t="shared" si="15"/>
        <v>0</v>
      </c>
      <c r="T102" s="124">
        <f t="shared" si="15"/>
        <v>0</v>
      </c>
      <c r="U102" s="124">
        <f t="shared" si="15"/>
        <v>3.36</v>
      </c>
      <c r="V102" s="79"/>
      <c r="W102" s="79"/>
      <c r="X102" s="124">
        <f t="shared" si="16"/>
        <v>0</v>
      </c>
      <c r="Y102" s="124">
        <f t="shared" si="16"/>
        <v>0</v>
      </c>
      <c r="Z102" s="124">
        <f t="shared" si="16"/>
        <v>0</v>
      </c>
      <c r="AA102" s="124">
        <f t="shared" si="16"/>
        <v>0</v>
      </c>
      <c r="AB102" s="124">
        <f t="shared" si="16"/>
        <v>0</v>
      </c>
      <c r="AC102" s="124">
        <f t="shared" si="16"/>
        <v>0</v>
      </c>
      <c r="AD102" s="79"/>
      <c r="AE102" s="124">
        <f t="shared" si="17"/>
        <v>0</v>
      </c>
      <c r="AF102" s="79"/>
      <c r="AG102" s="124">
        <f t="shared" si="18"/>
        <v>0</v>
      </c>
      <c r="AH102" s="79"/>
      <c r="AI102" s="79"/>
      <c r="AJ102" s="79"/>
      <c r="AK102" s="79"/>
      <c r="AL102" s="79"/>
      <c r="AM102" s="79"/>
      <c r="AN102" s="79"/>
      <c r="AO102" s="79"/>
      <c r="AP102" s="79"/>
    </row>
    <row r="103" spans="3:44" x14ac:dyDescent="0.25">
      <c r="E103" s="91"/>
      <c r="F103" t="s">
        <v>197</v>
      </c>
      <c r="G103" t="s">
        <v>329</v>
      </c>
      <c r="H103" s="51"/>
      <c r="J103" s="124">
        <f t="shared" si="14"/>
        <v>0</v>
      </c>
      <c r="K103" s="124">
        <f t="shared" si="14"/>
        <v>0</v>
      </c>
      <c r="L103" s="124">
        <f t="shared" si="14"/>
        <v>0</v>
      </c>
      <c r="M103" s="124">
        <f t="shared" si="14"/>
        <v>0</v>
      </c>
      <c r="N103" s="124">
        <f t="shared" si="14"/>
        <v>0</v>
      </c>
      <c r="O103" s="124">
        <f t="shared" si="14"/>
        <v>0</v>
      </c>
      <c r="P103" s="124">
        <f t="shared" si="14"/>
        <v>0</v>
      </c>
      <c r="Q103" s="79"/>
      <c r="R103" s="79"/>
      <c r="S103" s="124">
        <f t="shared" si="15"/>
        <v>0</v>
      </c>
      <c r="T103" s="124">
        <f t="shared" si="15"/>
        <v>0</v>
      </c>
      <c r="U103" s="124">
        <f t="shared" si="15"/>
        <v>6.17</v>
      </c>
      <c r="V103" s="79"/>
      <c r="W103" s="79"/>
      <c r="X103" s="124">
        <f t="shared" si="16"/>
        <v>0</v>
      </c>
      <c r="Y103" s="124">
        <f t="shared" si="16"/>
        <v>0</v>
      </c>
      <c r="Z103" s="124">
        <f t="shared" si="16"/>
        <v>0</v>
      </c>
      <c r="AA103" s="124">
        <f t="shared" si="16"/>
        <v>0</v>
      </c>
      <c r="AB103" s="124">
        <f t="shared" si="16"/>
        <v>0</v>
      </c>
      <c r="AC103" s="124">
        <f t="shared" si="16"/>
        <v>0</v>
      </c>
      <c r="AD103" s="79"/>
      <c r="AE103" s="124">
        <f t="shared" si="17"/>
        <v>0</v>
      </c>
      <c r="AF103" s="79"/>
      <c r="AG103" s="124">
        <f t="shared" si="18"/>
        <v>0</v>
      </c>
      <c r="AH103" s="79"/>
      <c r="AI103" s="79"/>
      <c r="AJ103" s="79"/>
      <c r="AK103" s="79"/>
      <c r="AL103" s="79"/>
      <c r="AM103" s="79"/>
      <c r="AN103" s="79"/>
      <c r="AO103" s="79"/>
      <c r="AP103" s="79"/>
    </row>
    <row r="104" spans="3:44" x14ac:dyDescent="0.25">
      <c r="E104" s="91"/>
      <c r="F104" s="37" t="s">
        <v>198</v>
      </c>
      <c r="G104" s="37" t="s">
        <v>330</v>
      </c>
      <c r="H104" s="323"/>
      <c r="I104" s="308"/>
      <c r="J104" s="313">
        <f t="shared" si="14"/>
        <v>0</v>
      </c>
      <c r="K104" s="313">
        <f t="shared" si="14"/>
        <v>0</v>
      </c>
      <c r="L104" s="313">
        <f t="shared" si="14"/>
        <v>0</v>
      </c>
      <c r="M104" s="313">
        <f t="shared" si="14"/>
        <v>0</v>
      </c>
      <c r="N104" s="313">
        <f t="shared" si="14"/>
        <v>0</v>
      </c>
      <c r="O104" s="313">
        <f t="shared" si="14"/>
        <v>0</v>
      </c>
      <c r="P104" s="313">
        <f t="shared" si="14"/>
        <v>0</v>
      </c>
      <c r="Q104" s="309"/>
      <c r="R104" s="309"/>
      <c r="S104" s="313">
        <f t="shared" si="15"/>
        <v>0</v>
      </c>
      <c r="T104" s="313">
        <f t="shared" si="15"/>
        <v>0</v>
      </c>
      <c r="U104" s="313">
        <f t="shared" si="15"/>
        <v>0.193</v>
      </c>
      <c r="V104" s="309"/>
      <c r="W104" s="309"/>
      <c r="X104" s="313">
        <f t="shared" si="16"/>
        <v>0</v>
      </c>
      <c r="Y104" s="313">
        <f t="shared" si="16"/>
        <v>0</v>
      </c>
      <c r="Z104" s="313">
        <f t="shared" si="16"/>
        <v>0</v>
      </c>
      <c r="AA104" s="313">
        <f t="shared" si="16"/>
        <v>0</v>
      </c>
      <c r="AB104" s="313">
        <f t="shared" si="16"/>
        <v>0</v>
      </c>
      <c r="AC104" s="313">
        <f t="shared" si="16"/>
        <v>0</v>
      </c>
      <c r="AD104" s="309"/>
      <c r="AE104" s="313">
        <f t="shared" si="17"/>
        <v>0.26500000000000001</v>
      </c>
      <c r="AF104" s="309"/>
      <c r="AG104" s="313">
        <f t="shared" si="18"/>
        <v>0.26500000000000001</v>
      </c>
      <c r="AH104" s="309"/>
      <c r="AI104" s="309"/>
      <c r="AJ104" s="309"/>
      <c r="AK104" s="309"/>
      <c r="AL104" s="309"/>
      <c r="AM104" s="309"/>
      <c r="AN104" s="309"/>
      <c r="AO104" s="309"/>
      <c r="AP104" s="309"/>
      <c r="AQ104" s="304"/>
      <c r="AR104" s="304"/>
    </row>
    <row r="105" spans="3:44" x14ac:dyDescent="0.25">
      <c r="E105" s="91"/>
      <c r="J105" s="92"/>
      <c r="K105" s="92"/>
      <c r="L105" s="92"/>
      <c r="M105" s="92"/>
      <c r="N105" s="92"/>
      <c r="O105" s="92"/>
      <c r="P105" s="92"/>
      <c r="Q105" s="92"/>
      <c r="R105" s="92"/>
      <c r="S105" s="92"/>
      <c r="T105" s="92"/>
      <c r="U105" s="92"/>
      <c r="V105" s="92"/>
      <c r="W105" s="92"/>
      <c r="X105" s="92"/>
      <c r="Y105" s="92"/>
      <c r="Z105" s="92"/>
      <c r="AA105" s="92"/>
      <c r="AB105" s="92"/>
      <c r="AC105" s="92"/>
      <c r="AD105" s="92"/>
      <c r="AE105" s="92"/>
      <c r="AF105" s="92"/>
      <c r="AG105" s="92"/>
      <c r="AH105" s="92"/>
      <c r="AI105" s="92"/>
      <c r="AJ105" s="92"/>
      <c r="AK105" s="92"/>
      <c r="AL105" s="92"/>
      <c r="AM105" s="92"/>
      <c r="AN105" s="92"/>
      <c r="AO105" s="92"/>
      <c r="AP105" s="92"/>
    </row>
    <row r="106" spans="3:44" x14ac:dyDescent="0.25">
      <c r="E106" s="32" t="s">
        <v>1047</v>
      </c>
      <c r="I106" t="s">
        <v>190</v>
      </c>
      <c r="J106" s="92"/>
      <c r="K106" s="92"/>
      <c r="L106" s="92"/>
      <c r="M106" s="92"/>
      <c r="N106" s="92"/>
      <c r="O106" s="92"/>
      <c r="P106" s="92"/>
      <c r="Q106" s="92"/>
      <c r="R106" s="92"/>
      <c r="S106" s="92"/>
      <c r="T106" s="92"/>
      <c r="U106" s="92"/>
      <c r="V106" s="92"/>
      <c r="W106" s="92"/>
      <c r="X106" s="92"/>
      <c r="Y106" s="92"/>
      <c r="Z106" s="92"/>
      <c r="AA106" s="92"/>
      <c r="AB106" s="92"/>
      <c r="AC106" s="92"/>
      <c r="AD106" s="92"/>
      <c r="AE106" s="92"/>
      <c r="AF106" s="92"/>
      <c r="AG106" s="92"/>
      <c r="AH106" s="92"/>
      <c r="AI106" s="92"/>
      <c r="AJ106" s="92"/>
      <c r="AK106" s="92"/>
      <c r="AL106" s="92"/>
      <c r="AM106" s="92"/>
      <c r="AN106" s="92"/>
      <c r="AO106" s="92"/>
      <c r="AP106" s="92"/>
      <c r="AR106" t="s">
        <v>191</v>
      </c>
    </row>
    <row r="107" spans="3:44" x14ac:dyDescent="0.25">
      <c r="C107" s="91"/>
      <c r="F107" s="23" t="s">
        <v>192</v>
      </c>
      <c r="G107" s="23" t="s">
        <v>327</v>
      </c>
      <c r="H107" s="318"/>
      <c r="I107" s="302"/>
      <c r="J107" s="311">
        <f t="shared" ref="J107:P113" si="19">ROUND(J89*(1-J52),$H63)</f>
        <v>1.5329999999999999</v>
      </c>
      <c r="K107" s="311">
        <f t="shared" si="19"/>
        <v>1.677</v>
      </c>
      <c r="L107" s="311">
        <f t="shared" si="19"/>
        <v>0.97899999999999998</v>
      </c>
      <c r="M107" s="311">
        <f t="shared" si="19"/>
        <v>1.5569999999999999</v>
      </c>
      <c r="N107" s="311">
        <f t="shared" si="19"/>
        <v>1.639</v>
      </c>
      <c r="O107" s="311">
        <f t="shared" si="19"/>
        <v>0.94499999999999995</v>
      </c>
      <c r="P107" s="311">
        <f t="shared" si="19"/>
        <v>1.504</v>
      </c>
      <c r="Q107" s="320"/>
      <c r="R107" s="320"/>
      <c r="S107" s="311">
        <f t="shared" ref="S107:AE107" si="20">ROUND(S89*(1-S52),$H63)</f>
        <v>4.5049999999999999</v>
      </c>
      <c r="T107" s="311">
        <f t="shared" si="20"/>
        <v>4.8659999999999997</v>
      </c>
      <c r="U107" s="311">
        <f t="shared" si="20"/>
        <v>3.47</v>
      </c>
      <c r="V107" s="311">
        <f t="shared" si="20"/>
        <v>3.3330000000000002</v>
      </c>
      <c r="W107" s="311">
        <f t="shared" si="20"/>
        <v>2.6989999999999998</v>
      </c>
      <c r="X107" s="311">
        <f t="shared" si="20"/>
        <v>1.99</v>
      </c>
      <c r="Y107" s="311">
        <f t="shared" si="20"/>
        <v>2.0259999999999998</v>
      </c>
      <c r="Z107" s="311">
        <f t="shared" si="20"/>
        <v>2.3879999999999999</v>
      </c>
      <c r="AA107" s="311">
        <f t="shared" si="20"/>
        <v>1.9910000000000001</v>
      </c>
      <c r="AB107" s="311">
        <f t="shared" si="20"/>
        <v>8.3320000000000007</v>
      </c>
      <c r="AC107" s="311">
        <f t="shared" si="20"/>
        <v>-1.284</v>
      </c>
      <c r="AD107" s="311">
        <f t="shared" si="20"/>
        <v>-1.1519999999999999</v>
      </c>
      <c r="AE107" s="311">
        <f t="shared" si="20"/>
        <v>-1.284</v>
      </c>
      <c r="AF107" s="320"/>
      <c r="AG107" s="311">
        <f t="shared" ref="AG107:AG113" si="21">ROUND(AG89*(1-AG52),$H63)</f>
        <v>-6.7720000000000002</v>
      </c>
      <c r="AH107" s="320"/>
      <c r="AI107" s="311">
        <f t="shared" ref="AI107:AI113" si="22">ROUND(AI89*(1-AI52),$H63)</f>
        <v>-1.1519999999999999</v>
      </c>
      <c r="AJ107" s="320"/>
      <c r="AK107" s="311">
        <f t="shared" ref="AK107:AK113" si="23">ROUND(AK89*(1-AK52),$H63)</f>
        <v>-6.0880000000000001</v>
      </c>
      <c r="AL107" s="320"/>
      <c r="AM107" s="311">
        <f t="shared" ref="AM107:AM113" si="24">ROUND(AM89*(1-AM52),$H63)</f>
        <v>-0.61599999999999999</v>
      </c>
      <c r="AN107" s="320"/>
      <c r="AO107" s="311">
        <f t="shared" ref="AO107:AO113" si="25">ROUND(AO89*(1-AO52),$H63)</f>
        <v>-3.327</v>
      </c>
      <c r="AP107" s="320"/>
      <c r="AQ107" s="304"/>
      <c r="AR107" s="304"/>
    </row>
    <row r="108" spans="3:44" x14ac:dyDescent="0.25">
      <c r="C108" s="91"/>
      <c r="F108" t="s">
        <v>193</v>
      </c>
      <c r="G108" t="s">
        <v>327</v>
      </c>
      <c r="H108" s="319"/>
      <c r="I108" s="304"/>
      <c r="J108" s="312">
        <f t="shared" si="19"/>
        <v>0</v>
      </c>
      <c r="K108" s="312">
        <f t="shared" si="19"/>
        <v>0.98599999999999999</v>
      </c>
      <c r="L108" s="312">
        <f t="shared" si="19"/>
        <v>0</v>
      </c>
      <c r="M108" s="312">
        <f t="shared" si="19"/>
        <v>0</v>
      </c>
      <c r="N108" s="312">
        <f t="shared" si="19"/>
        <v>0.93100000000000005</v>
      </c>
      <c r="O108" s="312">
        <f t="shared" si="19"/>
        <v>0</v>
      </c>
      <c r="P108" s="312">
        <f t="shared" si="19"/>
        <v>0.91300000000000003</v>
      </c>
      <c r="Q108" s="305"/>
      <c r="R108" s="305"/>
      <c r="S108" s="312">
        <f t="shared" ref="S108:AE108" si="26">ROUND(S90*(1-S53),$H64)</f>
        <v>1.218</v>
      </c>
      <c r="T108" s="312">
        <f t="shared" si="26"/>
        <v>1.274</v>
      </c>
      <c r="U108" s="312">
        <f t="shared" si="26"/>
        <v>1.0549999999999999</v>
      </c>
      <c r="V108" s="312">
        <f t="shared" si="26"/>
        <v>1.2569999999999999</v>
      </c>
      <c r="W108" s="312">
        <f t="shared" si="26"/>
        <v>1.2250000000000001</v>
      </c>
      <c r="X108" s="312">
        <f t="shared" si="26"/>
        <v>0</v>
      </c>
      <c r="Y108" s="312">
        <f t="shared" si="26"/>
        <v>0</v>
      </c>
      <c r="Z108" s="312">
        <f t="shared" si="26"/>
        <v>0</v>
      </c>
      <c r="AA108" s="312">
        <f t="shared" si="26"/>
        <v>0</v>
      </c>
      <c r="AB108" s="312">
        <f t="shared" si="26"/>
        <v>1.974</v>
      </c>
      <c r="AC108" s="312">
        <f t="shared" si="26"/>
        <v>0</v>
      </c>
      <c r="AD108" s="312">
        <f t="shared" si="26"/>
        <v>0</v>
      </c>
      <c r="AE108" s="312">
        <f t="shared" si="26"/>
        <v>0</v>
      </c>
      <c r="AF108" s="305"/>
      <c r="AG108" s="312">
        <f t="shared" si="21"/>
        <v>-1.0429999999999999</v>
      </c>
      <c r="AH108" s="305"/>
      <c r="AI108" s="312">
        <f t="shared" si="22"/>
        <v>0</v>
      </c>
      <c r="AJ108" s="305"/>
      <c r="AK108" s="312">
        <f t="shared" si="23"/>
        <v>-0.93400000000000005</v>
      </c>
      <c r="AL108" s="305"/>
      <c r="AM108" s="312">
        <f t="shared" si="24"/>
        <v>0</v>
      </c>
      <c r="AN108" s="305"/>
      <c r="AO108" s="312">
        <f t="shared" si="25"/>
        <v>-0.49099999999999999</v>
      </c>
      <c r="AP108" s="305"/>
      <c r="AQ108" s="304"/>
      <c r="AR108" s="304"/>
    </row>
    <row r="109" spans="3:44" x14ac:dyDescent="0.25">
      <c r="C109" s="91"/>
      <c r="F109" t="s">
        <v>194</v>
      </c>
      <c r="G109" t="s">
        <v>327</v>
      </c>
      <c r="H109" s="319"/>
      <c r="I109" s="304"/>
      <c r="J109" s="312">
        <f t="shared" si="19"/>
        <v>0</v>
      </c>
      <c r="K109" s="312">
        <f t="shared" si="19"/>
        <v>0</v>
      </c>
      <c r="L109" s="312">
        <f t="shared" si="19"/>
        <v>0</v>
      </c>
      <c r="M109" s="312">
        <f t="shared" si="19"/>
        <v>0</v>
      </c>
      <c r="N109" s="312">
        <f t="shared" si="19"/>
        <v>0</v>
      </c>
      <c r="O109" s="312">
        <f t="shared" si="19"/>
        <v>0</v>
      </c>
      <c r="P109" s="312">
        <f t="shared" si="19"/>
        <v>0</v>
      </c>
      <c r="Q109" s="305"/>
      <c r="R109" s="305"/>
      <c r="S109" s="312">
        <f t="shared" ref="S109:AE109" si="27">ROUND(S91*(1-S54),$H65)</f>
        <v>0.9</v>
      </c>
      <c r="T109" s="312">
        <f t="shared" si="27"/>
        <v>0.92600000000000005</v>
      </c>
      <c r="U109" s="312">
        <f t="shared" si="27"/>
        <v>0.82299999999999995</v>
      </c>
      <c r="V109" s="312">
        <f t="shared" si="27"/>
        <v>1.0649999999999999</v>
      </c>
      <c r="W109" s="312">
        <f t="shared" si="27"/>
        <v>1.095</v>
      </c>
      <c r="X109" s="312">
        <f t="shared" si="27"/>
        <v>0</v>
      </c>
      <c r="Y109" s="312">
        <f t="shared" si="27"/>
        <v>0</v>
      </c>
      <c r="Z109" s="312">
        <f t="shared" si="27"/>
        <v>0</v>
      </c>
      <c r="AA109" s="312">
        <f t="shared" si="27"/>
        <v>0</v>
      </c>
      <c r="AB109" s="312">
        <f t="shared" si="27"/>
        <v>1.623</v>
      </c>
      <c r="AC109" s="312">
        <f t="shared" si="27"/>
        <v>0</v>
      </c>
      <c r="AD109" s="312">
        <f t="shared" si="27"/>
        <v>0</v>
      </c>
      <c r="AE109" s="312">
        <f t="shared" si="27"/>
        <v>0</v>
      </c>
      <c r="AF109" s="305"/>
      <c r="AG109" s="312">
        <f t="shared" si="21"/>
        <v>-0.48799999999999999</v>
      </c>
      <c r="AH109" s="305"/>
      <c r="AI109" s="312">
        <f t="shared" si="22"/>
        <v>0</v>
      </c>
      <c r="AJ109" s="305"/>
      <c r="AK109" s="312">
        <f t="shared" si="23"/>
        <v>-0.437</v>
      </c>
      <c r="AL109" s="305"/>
      <c r="AM109" s="312">
        <f t="shared" si="24"/>
        <v>0</v>
      </c>
      <c r="AN109" s="305"/>
      <c r="AO109" s="312">
        <f t="shared" si="25"/>
        <v>-0.22900000000000001</v>
      </c>
      <c r="AP109" s="305"/>
      <c r="AQ109" s="304"/>
      <c r="AR109" s="304"/>
    </row>
    <row r="110" spans="3:44" x14ac:dyDescent="0.25">
      <c r="C110" s="91"/>
      <c r="F110" t="s">
        <v>195</v>
      </c>
      <c r="G110" t="s">
        <v>328</v>
      </c>
      <c r="H110" s="51"/>
      <c r="J110" s="124">
        <f t="shared" si="19"/>
        <v>2.81</v>
      </c>
      <c r="K110" s="124">
        <f t="shared" si="19"/>
        <v>2.81</v>
      </c>
      <c r="L110" s="124">
        <f t="shared" si="19"/>
        <v>0</v>
      </c>
      <c r="M110" s="124">
        <f t="shared" si="19"/>
        <v>3.97</v>
      </c>
      <c r="N110" s="124">
        <f t="shared" si="19"/>
        <v>3.97</v>
      </c>
      <c r="O110" s="124">
        <f t="shared" si="19"/>
        <v>0</v>
      </c>
      <c r="P110" s="124">
        <f t="shared" si="19"/>
        <v>34.47</v>
      </c>
      <c r="Q110" s="79"/>
      <c r="R110" s="79"/>
      <c r="S110" s="124">
        <f t="shared" ref="S110:AE110" si="28">ROUND(S92*(1-S55),$H66)</f>
        <v>2.81</v>
      </c>
      <c r="T110" s="124">
        <f t="shared" si="28"/>
        <v>3.97</v>
      </c>
      <c r="U110" s="124">
        <f t="shared" si="28"/>
        <v>11.23</v>
      </c>
      <c r="V110" s="124">
        <f t="shared" si="28"/>
        <v>30.88</v>
      </c>
      <c r="W110" s="124">
        <f t="shared" si="28"/>
        <v>197.99</v>
      </c>
      <c r="X110" s="124">
        <f t="shared" si="28"/>
        <v>0</v>
      </c>
      <c r="Y110" s="124">
        <f t="shared" si="28"/>
        <v>0</v>
      </c>
      <c r="Z110" s="124">
        <f t="shared" si="28"/>
        <v>0</v>
      </c>
      <c r="AA110" s="124">
        <f t="shared" si="28"/>
        <v>0</v>
      </c>
      <c r="AB110" s="124">
        <f t="shared" si="28"/>
        <v>0</v>
      </c>
      <c r="AC110" s="124">
        <f t="shared" si="28"/>
        <v>0</v>
      </c>
      <c r="AD110" s="124">
        <f t="shared" si="28"/>
        <v>0</v>
      </c>
      <c r="AE110" s="124">
        <f t="shared" si="28"/>
        <v>0</v>
      </c>
      <c r="AF110" s="79"/>
      <c r="AG110" s="124">
        <f t="shared" si="21"/>
        <v>0</v>
      </c>
      <c r="AH110" s="79"/>
      <c r="AI110" s="124">
        <f t="shared" si="22"/>
        <v>0</v>
      </c>
      <c r="AJ110" s="79"/>
      <c r="AK110" s="124">
        <f t="shared" si="23"/>
        <v>0</v>
      </c>
      <c r="AL110" s="79"/>
      <c r="AM110" s="124">
        <f t="shared" si="24"/>
        <v>0</v>
      </c>
      <c r="AN110" s="79"/>
      <c r="AO110" s="124">
        <f t="shared" si="25"/>
        <v>0</v>
      </c>
      <c r="AP110" s="79"/>
    </row>
    <row r="111" spans="3:44" x14ac:dyDescent="0.25">
      <c r="C111" s="91"/>
      <c r="F111" t="s">
        <v>196</v>
      </c>
      <c r="G111" t="s">
        <v>329</v>
      </c>
      <c r="H111" s="51"/>
      <c r="J111" s="124">
        <f t="shared" si="19"/>
        <v>0</v>
      </c>
      <c r="K111" s="124">
        <f t="shared" si="19"/>
        <v>0</v>
      </c>
      <c r="L111" s="124">
        <f t="shared" si="19"/>
        <v>0</v>
      </c>
      <c r="M111" s="124">
        <f t="shared" si="19"/>
        <v>0</v>
      </c>
      <c r="N111" s="124">
        <f t="shared" si="19"/>
        <v>0</v>
      </c>
      <c r="O111" s="124">
        <f t="shared" si="19"/>
        <v>0</v>
      </c>
      <c r="P111" s="124">
        <f t="shared" si="19"/>
        <v>0</v>
      </c>
      <c r="Q111" s="79"/>
      <c r="R111" s="79"/>
      <c r="S111" s="124">
        <f t="shared" ref="S111:AE111" si="29">ROUND(S93*(1-S56),$H67)</f>
        <v>0</v>
      </c>
      <c r="T111" s="124">
        <f t="shared" si="29"/>
        <v>0</v>
      </c>
      <c r="U111" s="124">
        <f t="shared" si="29"/>
        <v>1.99</v>
      </c>
      <c r="V111" s="124">
        <f t="shared" si="29"/>
        <v>4.72</v>
      </c>
      <c r="W111" s="124">
        <f t="shared" si="29"/>
        <v>6.95</v>
      </c>
      <c r="X111" s="124">
        <f t="shared" si="29"/>
        <v>0</v>
      </c>
      <c r="Y111" s="124">
        <f t="shared" si="29"/>
        <v>0</v>
      </c>
      <c r="Z111" s="124">
        <f t="shared" si="29"/>
        <v>0</v>
      </c>
      <c r="AA111" s="124">
        <f t="shared" si="29"/>
        <v>0</v>
      </c>
      <c r="AB111" s="124">
        <f t="shared" si="29"/>
        <v>0</v>
      </c>
      <c r="AC111" s="124">
        <f t="shared" si="29"/>
        <v>0</v>
      </c>
      <c r="AD111" s="124">
        <f t="shared" si="29"/>
        <v>0</v>
      </c>
      <c r="AE111" s="124">
        <f t="shared" si="29"/>
        <v>0</v>
      </c>
      <c r="AF111" s="79"/>
      <c r="AG111" s="124">
        <f t="shared" si="21"/>
        <v>0</v>
      </c>
      <c r="AH111" s="79"/>
      <c r="AI111" s="124">
        <f t="shared" si="22"/>
        <v>0</v>
      </c>
      <c r="AJ111" s="79"/>
      <c r="AK111" s="124">
        <f t="shared" si="23"/>
        <v>0</v>
      </c>
      <c r="AL111" s="79"/>
      <c r="AM111" s="124">
        <f t="shared" si="24"/>
        <v>0</v>
      </c>
      <c r="AN111" s="79"/>
      <c r="AO111" s="124">
        <f t="shared" si="25"/>
        <v>0</v>
      </c>
      <c r="AP111" s="79"/>
    </row>
    <row r="112" spans="3:44" x14ac:dyDescent="0.25">
      <c r="C112" s="91"/>
      <c r="F112" t="s">
        <v>197</v>
      </c>
      <c r="G112" t="s">
        <v>329</v>
      </c>
      <c r="H112" s="51"/>
      <c r="J112" s="124">
        <f t="shared" si="19"/>
        <v>0</v>
      </c>
      <c r="K112" s="124">
        <f t="shared" si="19"/>
        <v>0</v>
      </c>
      <c r="L112" s="124">
        <f t="shared" si="19"/>
        <v>0</v>
      </c>
      <c r="M112" s="124">
        <f t="shared" si="19"/>
        <v>0</v>
      </c>
      <c r="N112" s="124">
        <f t="shared" si="19"/>
        <v>0</v>
      </c>
      <c r="O112" s="124">
        <f t="shared" si="19"/>
        <v>0</v>
      </c>
      <c r="P112" s="124">
        <f t="shared" si="19"/>
        <v>0</v>
      </c>
      <c r="Q112" s="79"/>
      <c r="R112" s="79"/>
      <c r="S112" s="124">
        <f t="shared" ref="S112:AE112" si="30">ROUND(S94*(1-S57),$H68)</f>
        <v>0</v>
      </c>
      <c r="T112" s="124">
        <f t="shared" si="30"/>
        <v>0</v>
      </c>
      <c r="U112" s="124">
        <f t="shared" si="30"/>
        <v>3.66</v>
      </c>
      <c r="V112" s="124">
        <f t="shared" si="30"/>
        <v>6.54</v>
      </c>
      <c r="W112" s="124">
        <f t="shared" si="30"/>
        <v>8.1999999999999993</v>
      </c>
      <c r="X112" s="124">
        <f t="shared" si="30"/>
        <v>0</v>
      </c>
      <c r="Y112" s="124">
        <f t="shared" si="30"/>
        <v>0</v>
      </c>
      <c r="Z112" s="124">
        <f t="shared" si="30"/>
        <v>0</v>
      </c>
      <c r="AA112" s="124">
        <f t="shared" si="30"/>
        <v>0</v>
      </c>
      <c r="AB112" s="124">
        <f t="shared" si="30"/>
        <v>0</v>
      </c>
      <c r="AC112" s="124">
        <f t="shared" si="30"/>
        <v>0</v>
      </c>
      <c r="AD112" s="124">
        <f t="shared" si="30"/>
        <v>0</v>
      </c>
      <c r="AE112" s="124">
        <f t="shared" si="30"/>
        <v>0</v>
      </c>
      <c r="AF112" s="79"/>
      <c r="AG112" s="124">
        <f t="shared" si="21"/>
        <v>0</v>
      </c>
      <c r="AH112" s="79"/>
      <c r="AI112" s="124">
        <f t="shared" si="22"/>
        <v>0</v>
      </c>
      <c r="AJ112" s="79"/>
      <c r="AK112" s="124">
        <f t="shared" si="23"/>
        <v>0</v>
      </c>
      <c r="AL112" s="79"/>
      <c r="AM112" s="124">
        <f t="shared" si="24"/>
        <v>0</v>
      </c>
      <c r="AN112" s="79"/>
      <c r="AO112" s="124">
        <f t="shared" si="25"/>
        <v>0</v>
      </c>
      <c r="AP112" s="79"/>
    </row>
    <row r="113" spans="2:44" x14ac:dyDescent="0.25">
      <c r="C113" s="91"/>
      <c r="F113" s="37" t="s">
        <v>198</v>
      </c>
      <c r="G113" s="37" t="s">
        <v>330</v>
      </c>
      <c r="H113" s="323"/>
      <c r="I113" s="308"/>
      <c r="J113" s="313">
        <f t="shared" si="19"/>
        <v>0</v>
      </c>
      <c r="K113" s="313">
        <f t="shared" si="19"/>
        <v>0</v>
      </c>
      <c r="L113" s="313">
        <f t="shared" si="19"/>
        <v>0</v>
      </c>
      <c r="M113" s="313">
        <f t="shared" si="19"/>
        <v>0</v>
      </c>
      <c r="N113" s="313">
        <f t="shared" si="19"/>
        <v>0</v>
      </c>
      <c r="O113" s="313">
        <f t="shared" si="19"/>
        <v>0</v>
      </c>
      <c r="P113" s="313">
        <f t="shared" si="19"/>
        <v>0</v>
      </c>
      <c r="Q113" s="309"/>
      <c r="R113" s="309"/>
      <c r="S113" s="313">
        <f t="shared" ref="S113:AE113" si="31">ROUND(S95*(1-S58),$H69)</f>
        <v>0</v>
      </c>
      <c r="T113" s="313">
        <f t="shared" si="31"/>
        <v>0</v>
      </c>
      <c r="U113" s="313">
        <f t="shared" si="31"/>
        <v>0.114</v>
      </c>
      <c r="V113" s="313">
        <f t="shared" si="31"/>
        <v>8.3000000000000004E-2</v>
      </c>
      <c r="W113" s="313">
        <f t="shared" si="31"/>
        <v>0.06</v>
      </c>
      <c r="X113" s="313">
        <f t="shared" si="31"/>
        <v>0</v>
      </c>
      <c r="Y113" s="313">
        <f t="shared" si="31"/>
        <v>0</v>
      </c>
      <c r="Z113" s="313">
        <f t="shared" si="31"/>
        <v>0</v>
      </c>
      <c r="AA113" s="313">
        <f t="shared" si="31"/>
        <v>0</v>
      </c>
      <c r="AB113" s="313">
        <f t="shared" si="31"/>
        <v>0</v>
      </c>
      <c r="AC113" s="313">
        <f t="shared" si="31"/>
        <v>0</v>
      </c>
      <c r="AD113" s="313">
        <f t="shared" si="31"/>
        <v>0</v>
      </c>
      <c r="AE113" s="313">
        <f t="shared" si="31"/>
        <v>0.26500000000000001</v>
      </c>
      <c r="AF113" s="309"/>
      <c r="AG113" s="313">
        <f t="shared" si="21"/>
        <v>0.26500000000000001</v>
      </c>
      <c r="AH113" s="309"/>
      <c r="AI113" s="313">
        <f t="shared" si="22"/>
        <v>0.22500000000000001</v>
      </c>
      <c r="AJ113" s="309"/>
      <c r="AK113" s="313">
        <f t="shared" si="23"/>
        <v>0.22500000000000001</v>
      </c>
      <c r="AL113" s="309"/>
      <c r="AM113" s="313">
        <f t="shared" si="24"/>
        <v>0.20599999999999999</v>
      </c>
      <c r="AN113" s="309"/>
      <c r="AO113" s="313">
        <f t="shared" si="25"/>
        <v>0.20599999999999999</v>
      </c>
      <c r="AP113" s="309"/>
      <c r="AQ113" s="304"/>
      <c r="AR113" s="304"/>
    </row>
    <row r="114" spans="2:44" x14ac:dyDescent="0.25">
      <c r="C114" s="91"/>
    </row>
    <row r="115" spans="2:44" x14ac:dyDescent="0.25">
      <c r="B115" s="30" t="s">
        <v>280</v>
      </c>
      <c r="C115" s="30"/>
      <c r="D115" s="30"/>
      <c r="E115" s="30"/>
      <c r="F115" s="30"/>
      <c r="G115" s="30"/>
      <c r="H115" s="30"/>
      <c r="I115" s="30"/>
      <c r="J115" s="30"/>
      <c r="K115" s="30"/>
      <c r="L115" s="30"/>
      <c r="M115" s="30"/>
      <c r="N115" s="30"/>
      <c r="O115" s="30"/>
      <c r="P115" s="30"/>
      <c r="Q115" s="30"/>
      <c r="R115" s="30"/>
      <c r="S115" s="30"/>
      <c r="T115" s="30"/>
      <c r="U115" s="30"/>
      <c r="V115" s="30"/>
      <c r="W115" s="30"/>
      <c r="X115" s="30"/>
      <c r="Y115" s="30"/>
      <c r="Z115" s="30"/>
      <c r="AA115" s="30"/>
      <c r="AB115" s="30"/>
      <c r="AC115" s="30"/>
      <c r="AD115" s="30"/>
      <c r="AE115" s="30"/>
      <c r="AF115" s="30"/>
      <c r="AG115" s="30"/>
      <c r="AH115" s="30"/>
      <c r="AI115" s="30"/>
      <c r="AJ115" s="30"/>
      <c r="AK115" s="30"/>
      <c r="AL115" s="30"/>
      <c r="AM115" s="30"/>
      <c r="AN115" s="30"/>
      <c r="AO115" s="30"/>
      <c r="AP115" s="30"/>
      <c r="AQ115" s="30"/>
      <c r="AR115" s="30"/>
    </row>
    <row r="117" spans="2:44" x14ac:dyDescent="0.25">
      <c r="E117" t="s">
        <v>281</v>
      </c>
      <c r="G117" s="6" t="s">
        <v>56</v>
      </c>
      <c r="H117" s="26">
        <f t="array" ref="H117">SUM(IF(ISERROR(H20:AP113), 1))</f>
        <v>0</v>
      </c>
    </row>
    <row r="119" spans="2:44" x14ac:dyDescent="0.25">
      <c r="B119" s="30" t="s">
        <v>107</v>
      </c>
      <c r="C119" s="30"/>
      <c r="D119" s="30"/>
      <c r="E119" s="30"/>
      <c r="F119" s="30"/>
      <c r="G119" s="30"/>
      <c r="H119" s="30"/>
      <c r="I119" s="30"/>
      <c r="J119" s="30"/>
      <c r="K119" s="30"/>
      <c r="L119" s="30"/>
      <c r="M119" s="30"/>
      <c r="N119" s="30"/>
      <c r="O119" s="30"/>
      <c r="P119" s="30"/>
      <c r="Q119" s="30"/>
      <c r="R119" s="30"/>
      <c r="S119" s="30"/>
      <c r="T119" s="30"/>
      <c r="U119" s="30"/>
      <c r="V119" s="30"/>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row>
  </sheetData>
  <sheetProtection sheet="1" objects="1" formatCells="0" formatColumns="0" formatRows="0" sort="0" autoFilter="0"/>
  <conditionalFormatting sqref="H117">
    <cfRule type="cellIs" dxfId="7" priority="2" operator="greaterThan">
      <formula>0</formula>
    </cfRule>
  </conditionalFormatting>
  <conditionalFormatting sqref="A4:XFD4">
    <cfRule type="expression" dxfId="6" priority="1">
      <formula>LEFT($A$4,1) &lt;&gt; "0"</formula>
    </cfRule>
  </conditionalFormatting>
  <hyperlinks>
    <hyperlink ref="B5:F5" location="'Model map'!A1" display="Click here to return to model map"/>
    <hyperlink ref="AR62" location="'Aggreg'!B314" display="x1 = 3308. Unit rate 1 p/kWh (total) (in Summary of charges before revenue matching)"/>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1">
    <tabColor theme="4" tint="0.59999389629810485"/>
  </sheetPr>
  <dimension ref="A1:AS197"/>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Net revenue summary</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H195 &amp; IF(H195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1048</v>
      </c>
    </row>
    <row r="10" spans="1:44" x14ac:dyDescent="0.25">
      <c r="C10" s="28"/>
    </row>
    <row r="11" spans="1:44" x14ac:dyDescent="0.25">
      <c r="B11" s="30" t="s">
        <v>1049</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
      <c r="E12" s="2"/>
    </row>
    <row r="13" spans="1:44" x14ac:dyDescent="0.25">
      <c r="C13" s="31" t="str">
        <f ca="1">INDEX('Version control'!$H$34:$H$56,MATCH($A$1,'Version control'!$F$34:$F$56,0),1)&amp;"-A: Volume forecasts"</f>
        <v>Section 117-A: Volume forecasts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4" spans="1:44" x14ac:dyDescent="0.25">
      <c r="D14" s="32"/>
    </row>
    <row r="15" spans="1:44" x14ac:dyDescent="0.25">
      <c r="E15" s="32" t="s">
        <v>295</v>
      </c>
      <c r="I15" t="s">
        <v>190</v>
      </c>
      <c r="AR15" t="s">
        <v>296</v>
      </c>
    </row>
    <row r="16" spans="1:44" x14ac:dyDescent="0.25">
      <c r="F16" s="78" t="s">
        <v>297</v>
      </c>
      <c r="G16" s="78" t="s">
        <v>243</v>
      </c>
      <c r="H16" s="23"/>
      <c r="I16" s="23"/>
      <c r="J16" s="127">
        <f>'Inputs by customer type'!J21</f>
        <v>2349262.6932613654</v>
      </c>
      <c r="K16" s="127">
        <f>'Inputs by customer type'!K21</f>
        <v>241249.49660951272</v>
      </c>
      <c r="L16" s="127">
        <f>'Inputs by customer type'!L21</f>
        <v>423055.87757845432</v>
      </c>
      <c r="M16" s="127">
        <f>'Inputs by customer type'!M21</f>
        <v>836959.28982839268</v>
      </c>
      <c r="N16" s="127">
        <f>'Inputs by customer type'!N21</f>
        <v>152179.51963638922</v>
      </c>
      <c r="O16" s="127">
        <f>'Inputs by customer type'!O21</f>
        <v>28141.504302703608</v>
      </c>
      <c r="P16" s="127">
        <f>'Inputs by customer type'!P21</f>
        <v>29913.305426474391</v>
      </c>
      <c r="Q16" s="127">
        <f>'Inputs by customer type'!Q21</f>
        <v>0</v>
      </c>
      <c r="R16" s="127">
        <f>'Inputs by customer type'!R21</f>
        <v>548.35018676020832</v>
      </c>
      <c r="S16" s="127">
        <f>'Inputs by customer type'!S21</f>
        <v>54.029994132566102</v>
      </c>
      <c r="T16" s="127">
        <f>'Inputs by customer type'!T21</f>
        <v>7839.6449077915986</v>
      </c>
      <c r="U16" s="127">
        <f>'Inputs by customer type'!U21</f>
        <v>168073.62358307646</v>
      </c>
      <c r="V16" s="127">
        <f>'Inputs by customer type'!V21</f>
        <v>11310.842475894939</v>
      </c>
      <c r="W16" s="127">
        <f>'Inputs by customer type'!W21</f>
        <v>88351.013324953004</v>
      </c>
      <c r="X16" s="127">
        <f>'Inputs by customer type'!X21</f>
        <v>14143.024463568723</v>
      </c>
      <c r="Y16" s="127">
        <f>'Inputs by customer type'!Y21</f>
        <v>17279.078681801653</v>
      </c>
      <c r="Z16" s="127">
        <f>'Inputs by customer type'!Z21</f>
        <v>3520.726250029109</v>
      </c>
      <c r="AA16" s="127">
        <f>'Inputs by customer type'!AA21</f>
        <v>44.247535426088803</v>
      </c>
      <c r="AB16" s="127">
        <f>'Inputs by customer type'!AB21</f>
        <v>4621.3412299929805</v>
      </c>
      <c r="AC16" s="127">
        <f>'Inputs by customer type'!AC21</f>
        <v>6412.5597704205047</v>
      </c>
      <c r="AD16" s="127">
        <f>'Inputs by customer type'!AD21</f>
        <v>0</v>
      </c>
      <c r="AE16" s="127">
        <f>'Inputs by customer type'!AE21</f>
        <v>359281.93051380559</v>
      </c>
      <c r="AF16" s="127">
        <f>'Inputs by customer type'!AF21</f>
        <v>0</v>
      </c>
      <c r="AG16" s="127">
        <f>'Inputs by customer type'!AG21</f>
        <v>5139.8693554110105</v>
      </c>
      <c r="AH16" s="127">
        <f>'Inputs by customer type'!AH21</f>
        <v>0</v>
      </c>
      <c r="AI16" s="127">
        <f>'Inputs by customer type'!AI21</f>
        <v>3513.2890000000002</v>
      </c>
      <c r="AJ16" s="127">
        <f>'Inputs by customer type'!AJ21</f>
        <v>0</v>
      </c>
      <c r="AK16" s="127">
        <f>'Inputs by customer type'!AK21</f>
        <v>0</v>
      </c>
      <c r="AL16" s="127">
        <f>'Inputs by customer type'!AL21</f>
        <v>0</v>
      </c>
      <c r="AM16" s="127">
        <f>'Inputs by customer type'!AM21</f>
        <v>652626.70721495803</v>
      </c>
      <c r="AN16" s="127">
        <f>'Inputs by customer type'!AN21</f>
        <v>0</v>
      </c>
      <c r="AO16" s="127">
        <f>'Inputs by customer type'!AO21</f>
        <v>92924.847805563244</v>
      </c>
      <c r="AP16" s="127">
        <f>'Inputs by customer type'!AP21</f>
        <v>0</v>
      </c>
    </row>
    <row r="17" spans="5:44" x14ac:dyDescent="0.25">
      <c r="E17" s="28"/>
      <c r="F17" s="72" t="s">
        <v>298</v>
      </c>
      <c r="G17" s="72" t="s">
        <v>243</v>
      </c>
      <c r="J17" s="123">
        <f>'Inputs by customer type'!J22</f>
        <v>0</v>
      </c>
      <c r="K17" s="123">
        <f>'Inputs by customer type'!K22</f>
        <v>204221.84737614822</v>
      </c>
      <c r="L17" s="123">
        <f>'Inputs by customer type'!L22</f>
        <v>0</v>
      </c>
      <c r="M17" s="123">
        <f>'Inputs by customer type'!M22</f>
        <v>0</v>
      </c>
      <c r="N17" s="123">
        <f>'Inputs by customer type'!N22</f>
        <v>82289.749092955753</v>
      </c>
      <c r="O17" s="123">
        <f>'Inputs by customer type'!O22</f>
        <v>0</v>
      </c>
      <c r="P17" s="123">
        <f>'Inputs by customer type'!P22</f>
        <v>10042.285925586189</v>
      </c>
      <c r="Q17" s="123">
        <f>'Inputs by customer type'!Q22</f>
        <v>0</v>
      </c>
      <c r="R17" s="123">
        <f>'Inputs by customer type'!R22</f>
        <v>269.81773904335392</v>
      </c>
      <c r="S17" s="123">
        <f>'Inputs by customer type'!S22</f>
        <v>136.73224650179375</v>
      </c>
      <c r="T17" s="123">
        <f>'Inputs by customer type'!T22</f>
        <v>39067.558275099967</v>
      </c>
      <c r="U17" s="123">
        <f>'Inputs by customer type'!U22</f>
        <v>813210.32764091226</v>
      </c>
      <c r="V17" s="123">
        <f>'Inputs by customer type'!V22</f>
        <v>55543.411198687601</v>
      </c>
      <c r="W17" s="123">
        <f>'Inputs by customer type'!W22</f>
        <v>428873.62609942525</v>
      </c>
      <c r="X17" s="123">
        <f>'Inputs by customer type'!X22</f>
        <v>0</v>
      </c>
      <c r="Y17" s="123">
        <f>'Inputs by customer type'!Y22</f>
        <v>0</v>
      </c>
      <c r="Z17" s="123">
        <f>'Inputs by customer type'!Z22</f>
        <v>0</v>
      </c>
      <c r="AA17" s="123">
        <f>'Inputs by customer type'!AA22</f>
        <v>0</v>
      </c>
      <c r="AB17" s="123">
        <f>'Inputs by customer type'!AB22</f>
        <v>15832.064594910415</v>
      </c>
      <c r="AC17" s="123">
        <f>'Inputs by customer type'!AC22</f>
        <v>0</v>
      </c>
      <c r="AD17" s="123">
        <f>'Inputs by customer type'!AD22</f>
        <v>0</v>
      </c>
      <c r="AE17" s="123">
        <f>'Inputs by customer type'!AE22</f>
        <v>0</v>
      </c>
      <c r="AF17" s="123">
        <f>'Inputs by customer type'!AF22</f>
        <v>0</v>
      </c>
      <c r="AG17" s="123">
        <f>'Inputs by customer type'!AG22</f>
        <v>22429.580480403067</v>
      </c>
      <c r="AH17" s="123">
        <f>'Inputs by customer type'!AH22</f>
        <v>0</v>
      </c>
      <c r="AI17" s="123">
        <f>'Inputs by customer type'!AI22</f>
        <v>0</v>
      </c>
      <c r="AJ17" s="123">
        <f>'Inputs by customer type'!AJ22</f>
        <v>0</v>
      </c>
      <c r="AK17" s="123">
        <f>'Inputs by customer type'!AK22</f>
        <v>0</v>
      </c>
      <c r="AL17" s="123">
        <f>'Inputs by customer type'!AL22</f>
        <v>0</v>
      </c>
      <c r="AM17" s="123">
        <f>'Inputs by customer type'!AM22</f>
        <v>0</v>
      </c>
      <c r="AN17" s="123">
        <f>'Inputs by customer type'!AN22</f>
        <v>0</v>
      </c>
      <c r="AO17" s="123">
        <f>'Inputs by customer type'!AO22</f>
        <v>385063.70152251818</v>
      </c>
      <c r="AP17" s="123">
        <f>'Inputs by customer type'!AP22</f>
        <v>0</v>
      </c>
    </row>
    <row r="18" spans="5:44" x14ac:dyDescent="0.25">
      <c r="E18" s="28"/>
      <c r="F18" s="72" t="s">
        <v>299</v>
      </c>
      <c r="G18" s="72" t="s">
        <v>243</v>
      </c>
      <c r="J18" s="123">
        <f>'Inputs by customer type'!J23</f>
        <v>0</v>
      </c>
      <c r="K18" s="123">
        <f>'Inputs by customer type'!K23</f>
        <v>0</v>
      </c>
      <c r="L18" s="123">
        <f>'Inputs by customer type'!L23</f>
        <v>0</v>
      </c>
      <c r="M18" s="123">
        <f>'Inputs by customer type'!M23</f>
        <v>0</v>
      </c>
      <c r="N18" s="123">
        <f>'Inputs by customer type'!N23</f>
        <v>0</v>
      </c>
      <c r="O18" s="123">
        <f>'Inputs by customer type'!O23</f>
        <v>0</v>
      </c>
      <c r="P18" s="123">
        <f>'Inputs by customer type'!P23</f>
        <v>0</v>
      </c>
      <c r="Q18" s="123">
        <f>'Inputs by customer type'!Q23</f>
        <v>0</v>
      </c>
      <c r="R18" s="123">
        <f>'Inputs by customer type'!R23</f>
        <v>0</v>
      </c>
      <c r="S18" s="123">
        <f>'Inputs by customer type'!S23</f>
        <v>165.30614809900308</v>
      </c>
      <c r="T18" s="123">
        <f>'Inputs by customer type'!T23</f>
        <v>27199.510570379593</v>
      </c>
      <c r="U18" s="123">
        <f>'Inputs by customer type'!U23</f>
        <v>617575.92856148328</v>
      </c>
      <c r="V18" s="123">
        <f>'Inputs by customer type'!V23</f>
        <v>56991.393995636892</v>
      </c>
      <c r="W18" s="123">
        <f>'Inputs by customer type'!W23</f>
        <v>401128.44876738428</v>
      </c>
      <c r="X18" s="123">
        <f>'Inputs by customer type'!X23</f>
        <v>0</v>
      </c>
      <c r="Y18" s="123">
        <f>'Inputs by customer type'!Y23</f>
        <v>0</v>
      </c>
      <c r="Z18" s="123">
        <f>'Inputs by customer type'!Z23</f>
        <v>0</v>
      </c>
      <c r="AA18" s="123">
        <f>'Inputs by customer type'!AA23</f>
        <v>0</v>
      </c>
      <c r="AB18" s="123">
        <f>'Inputs by customer type'!AB23</f>
        <v>62407.524160774294</v>
      </c>
      <c r="AC18" s="123">
        <f>'Inputs by customer type'!AC23</f>
        <v>0</v>
      </c>
      <c r="AD18" s="123">
        <f>'Inputs by customer type'!AD23</f>
        <v>0</v>
      </c>
      <c r="AE18" s="123">
        <f>'Inputs by customer type'!AE23</f>
        <v>0</v>
      </c>
      <c r="AF18" s="123">
        <f>'Inputs by customer type'!AF23</f>
        <v>0</v>
      </c>
      <c r="AG18" s="123">
        <f>'Inputs by customer type'!AG23</f>
        <v>25751.216289277676</v>
      </c>
      <c r="AH18" s="123">
        <f>'Inputs by customer type'!AH23</f>
        <v>0</v>
      </c>
      <c r="AI18" s="123">
        <f>'Inputs by customer type'!AI23</f>
        <v>0</v>
      </c>
      <c r="AJ18" s="123">
        <f>'Inputs by customer type'!AJ23</f>
        <v>0</v>
      </c>
      <c r="AK18" s="123">
        <f>'Inputs by customer type'!AK23</f>
        <v>0</v>
      </c>
      <c r="AL18" s="123">
        <f>'Inputs by customer type'!AL23</f>
        <v>0</v>
      </c>
      <c r="AM18" s="123">
        <f>'Inputs by customer type'!AM23</f>
        <v>0</v>
      </c>
      <c r="AN18" s="123">
        <f>'Inputs by customer type'!AN23</f>
        <v>0</v>
      </c>
      <c r="AO18" s="123">
        <f>'Inputs by customer type'!AO23</f>
        <v>361762.50157246564</v>
      </c>
      <c r="AP18" s="123">
        <f>'Inputs by customer type'!AP23</f>
        <v>0</v>
      </c>
    </row>
    <row r="19" spans="5:44" x14ac:dyDescent="0.25">
      <c r="E19" s="28"/>
      <c r="F19" s="72" t="s">
        <v>248</v>
      </c>
      <c r="G19" s="72" t="s">
        <v>248</v>
      </c>
      <c r="J19" s="123">
        <f>'Inputs by customer type'!J24</f>
        <v>644589.33333333326</v>
      </c>
      <c r="K19" s="123">
        <f>'Inputs by customer type'!K24</f>
        <v>62320.756400064245</v>
      </c>
      <c r="L19" s="123">
        <f>'Inputs by customer type'!L24</f>
        <v>74712.24696844838</v>
      </c>
      <c r="M19" s="123">
        <f>'Inputs by customer type'!M24</f>
        <v>61993.405337657059</v>
      </c>
      <c r="N19" s="123">
        <f>'Inputs by customer type'!N24</f>
        <v>10120.901457473723</v>
      </c>
      <c r="O19" s="123">
        <f>'Inputs by customer type'!O24</f>
        <v>2439.6302539687426</v>
      </c>
      <c r="P19" s="123">
        <f>'Inputs by customer type'!P24</f>
        <v>408.11128582133045</v>
      </c>
      <c r="Q19" s="123">
        <f>'Inputs by customer type'!Q24</f>
        <v>0</v>
      </c>
      <c r="R19" s="123">
        <f>'Inputs by customer type'!R24</f>
        <v>1</v>
      </c>
      <c r="S19" s="123">
        <f>'Inputs by customer type'!S24</f>
        <v>72.364170019668492</v>
      </c>
      <c r="T19" s="123">
        <f>'Inputs by customer type'!T24</f>
        <v>972.04369291698447</v>
      </c>
      <c r="U19" s="123">
        <f>'Inputs by customer type'!U24</f>
        <v>6687.6539205867348</v>
      </c>
      <c r="V19" s="123">
        <f>'Inputs by customer type'!V24</f>
        <v>89.749543719368091</v>
      </c>
      <c r="W19" s="123">
        <f>'Inputs by customer type'!W24</f>
        <v>723.15193655095402</v>
      </c>
      <c r="X19" s="123">
        <f>'Inputs by customer type'!X24</f>
        <v>261</v>
      </c>
      <c r="Y19" s="123">
        <f>'Inputs by customer type'!Y24</f>
        <v>2329.333333333333</v>
      </c>
      <c r="Z19" s="123">
        <f>'Inputs by customer type'!Z24</f>
        <v>1406</v>
      </c>
      <c r="AA19" s="123">
        <f>'Inputs by customer type'!AA24</f>
        <v>6</v>
      </c>
      <c r="AB19" s="123">
        <f>'Inputs by customer type'!AB24</f>
        <v>14</v>
      </c>
      <c r="AC19" s="123">
        <f>'Inputs by customer type'!AC24</f>
        <v>404.27777777777777</v>
      </c>
      <c r="AD19" s="123">
        <f>'Inputs by customer type'!AD24</f>
        <v>0</v>
      </c>
      <c r="AE19" s="123">
        <f>'Inputs by customer type'!AE24</f>
        <v>779.57731074699097</v>
      </c>
      <c r="AF19" s="123">
        <f>'Inputs by customer type'!AF24</f>
        <v>0</v>
      </c>
      <c r="AG19" s="123">
        <f>'Inputs by customer type'!AG24</f>
        <v>44.041666727513075</v>
      </c>
      <c r="AH19" s="123">
        <f>'Inputs by customer type'!AH24</f>
        <v>0</v>
      </c>
      <c r="AI19" s="123">
        <f>'Inputs by customer type'!AI24</f>
        <v>2</v>
      </c>
      <c r="AJ19" s="123">
        <f>'Inputs by customer type'!AJ24</f>
        <v>0</v>
      </c>
      <c r="AK19" s="123">
        <f>'Inputs by customer type'!AK24</f>
        <v>0</v>
      </c>
      <c r="AL19" s="123">
        <f>'Inputs by customer type'!AL24</f>
        <v>0</v>
      </c>
      <c r="AM19" s="123">
        <f>'Inputs by customer type'!AM24</f>
        <v>293</v>
      </c>
      <c r="AN19" s="123">
        <f>'Inputs by customer type'!AN24</f>
        <v>0</v>
      </c>
      <c r="AO19" s="123">
        <f>'Inputs by customer type'!AO24</f>
        <v>100</v>
      </c>
      <c r="AP19" s="123">
        <f>'Inputs by customer type'!AP24</f>
        <v>0</v>
      </c>
    </row>
    <row r="20" spans="5:44" x14ac:dyDescent="0.25">
      <c r="E20" s="28"/>
      <c r="F20" s="72" t="s">
        <v>300</v>
      </c>
      <c r="G20" s="72" t="s">
        <v>301</v>
      </c>
      <c r="J20" s="123">
        <f>'Inputs by customer type'!J25</f>
        <v>0</v>
      </c>
      <c r="K20" s="123">
        <f>'Inputs by customer type'!K25</f>
        <v>0</v>
      </c>
      <c r="L20" s="123">
        <f>'Inputs by customer type'!L25</f>
        <v>0</v>
      </c>
      <c r="M20" s="123">
        <f>'Inputs by customer type'!M25</f>
        <v>0</v>
      </c>
      <c r="N20" s="123">
        <f>'Inputs by customer type'!N25</f>
        <v>0</v>
      </c>
      <c r="O20" s="123">
        <f>'Inputs by customer type'!O25</f>
        <v>0</v>
      </c>
      <c r="P20" s="123">
        <f>'Inputs by customer type'!P25</f>
        <v>0</v>
      </c>
      <c r="Q20" s="123">
        <f>'Inputs by customer type'!Q25</f>
        <v>0</v>
      </c>
      <c r="R20" s="123">
        <f>'Inputs by customer type'!R25</f>
        <v>0</v>
      </c>
      <c r="S20" s="123">
        <f>'Inputs by customer type'!S25</f>
        <v>0</v>
      </c>
      <c r="T20" s="123">
        <f>'Inputs by customer type'!T25</f>
        <v>0</v>
      </c>
      <c r="U20" s="123">
        <f>'Inputs by customer type'!U25</f>
        <v>864032.64025708009</v>
      </c>
      <c r="V20" s="123">
        <f>'Inputs by customer type'!V25</f>
        <v>31725.680154948222</v>
      </c>
      <c r="W20" s="123">
        <f>'Inputs by customer type'!W25</f>
        <v>417431.11194524198</v>
      </c>
      <c r="X20" s="123">
        <f>'Inputs by customer type'!X25</f>
        <v>0</v>
      </c>
      <c r="Y20" s="123">
        <f>'Inputs by customer type'!Y25</f>
        <v>0</v>
      </c>
      <c r="Z20" s="123">
        <f>'Inputs by customer type'!Z25</f>
        <v>0</v>
      </c>
      <c r="AA20" s="123">
        <f>'Inputs by customer type'!AA25</f>
        <v>0</v>
      </c>
      <c r="AB20" s="123">
        <f>'Inputs by customer type'!AB25</f>
        <v>0</v>
      </c>
      <c r="AC20" s="123">
        <f>'Inputs by customer type'!AC25</f>
        <v>0</v>
      </c>
      <c r="AD20" s="123">
        <f>'Inputs by customer type'!AD25</f>
        <v>0</v>
      </c>
      <c r="AE20" s="123">
        <f>'Inputs by customer type'!AE25</f>
        <v>0</v>
      </c>
      <c r="AF20" s="123">
        <f>'Inputs by customer type'!AF25</f>
        <v>0</v>
      </c>
      <c r="AG20" s="123">
        <f>'Inputs by customer type'!AG25</f>
        <v>0</v>
      </c>
      <c r="AH20" s="123">
        <f>'Inputs by customer type'!AH25</f>
        <v>0</v>
      </c>
      <c r="AI20" s="123">
        <f>'Inputs by customer type'!AI25</f>
        <v>0</v>
      </c>
      <c r="AJ20" s="123">
        <f>'Inputs by customer type'!AJ25</f>
        <v>0</v>
      </c>
      <c r="AK20" s="123">
        <f>'Inputs by customer type'!AK25</f>
        <v>0</v>
      </c>
      <c r="AL20" s="123">
        <f>'Inputs by customer type'!AL25</f>
        <v>0</v>
      </c>
      <c r="AM20" s="123">
        <f>'Inputs by customer type'!AM25</f>
        <v>0</v>
      </c>
      <c r="AN20" s="123">
        <f>'Inputs by customer type'!AN25</f>
        <v>0</v>
      </c>
      <c r="AO20" s="123">
        <f>'Inputs by customer type'!AO25</f>
        <v>0</v>
      </c>
      <c r="AP20" s="123">
        <f>'Inputs by customer type'!AP25</f>
        <v>0</v>
      </c>
    </row>
    <row r="21" spans="5:44" x14ac:dyDescent="0.25">
      <c r="E21" s="28"/>
      <c r="F21" s="72" t="s">
        <v>302</v>
      </c>
      <c r="G21" s="72" t="s">
        <v>301</v>
      </c>
      <c r="J21" s="123">
        <f>'Inputs by customer type'!J26</f>
        <v>0</v>
      </c>
      <c r="K21" s="123">
        <f>'Inputs by customer type'!K26</f>
        <v>0</v>
      </c>
      <c r="L21" s="123">
        <f>'Inputs by customer type'!L26</f>
        <v>0</v>
      </c>
      <c r="M21" s="123">
        <f>'Inputs by customer type'!M26</f>
        <v>0</v>
      </c>
      <c r="N21" s="123">
        <f>'Inputs by customer type'!N26</f>
        <v>0</v>
      </c>
      <c r="O21" s="123">
        <f>'Inputs by customer type'!O26</f>
        <v>0</v>
      </c>
      <c r="P21" s="123">
        <f>'Inputs by customer type'!P26</f>
        <v>0</v>
      </c>
      <c r="Q21" s="123">
        <f>'Inputs by customer type'!Q26</f>
        <v>0</v>
      </c>
      <c r="R21" s="123">
        <f>'Inputs by customer type'!R26</f>
        <v>0</v>
      </c>
      <c r="S21" s="123">
        <f>'Inputs by customer type'!S26</f>
        <v>0</v>
      </c>
      <c r="T21" s="123">
        <f>'Inputs by customer type'!T26</f>
        <v>0</v>
      </c>
      <c r="U21" s="123">
        <f>'Inputs by customer type'!U26</f>
        <v>19860.688270861865</v>
      </c>
      <c r="V21" s="123">
        <f>'Inputs by customer type'!V26</f>
        <v>1241.120857125464</v>
      </c>
      <c r="W21" s="123">
        <f>'Inputs by customer type'!W26</f>
        <v>11113.625162499586</v>
      </c>
      <c r="X21" s="123">
        <f>'Inputs by customer type'!X26</f>
        <v>0</v>
      </c>
      <c r="Y21" s="123">
        <f>'Inputs by customer type'!Y26</f>
        <v>0</v>
      </c>
      <c r="Z21" s="123">
        <f>'Inputs by customer type'!Z26</f>
        <v>0</v>
      </c>
      <c r="AA21" s="123">
        <f>'Inputs by customer type'!AA26</f>
        <v>0</v>
      </c>
      <c r="AB21" s="123">
        <f>'Inputs by customer type'!AB26</f>
        <v>0</v>
      </c>
      <c r="AC21" s="123">
        <f>'Inputs by customer type'!AC26</f>
        <v>0</v>
      </c>
      <c r="AD21" s="123">
        <f>'Inputs by customer type'!AD26</f>
        <v>0</v>
      </c>
      <c r="AE21" s="123">
        <f>'Inputs by customer type'!AE26</f>
        <v>0</v>
      </c>
      <c r="AF21" s="123">
        <f>'Inputs by customer type'!AF26</f>
        <v>0</v>
      </c>
      <c r="AG21" s="123">
        <f>'Inputs by customer type'!AG26</f>
        <v>0</v>
      </c>
      <c r="AH21" s="123">
        <f>'Inputs by customer type'!AH26</f>
        <v>0</v>
      </c>
      <c r="AI21" s="123">
        <f>'Inputs by customer type'!AI26</f>
        <v>0</v>
      </c>
      <c r="AJ21" s="123">
        <f>'Inputs by customer type'!AJ26</f>
        <v>0</v>
      </c>
      <c r="AK21" s="123">
        <f>'Inputs by customer type'!AK26</f>
        <v>0</v>
      </c>
      <c r="AL21" s="123">
        <f>'Inputs by customer type'!AL26</f>
        <v>0</v>
      </c>
      <c r="AM21" s="123">
        <f>'Inputs by customer type'!AM26</f>
        <v>0</v>
      </c>
      <c r="AN21" s="123">
        <f>'Inputs by customer type'!AN26</f>
        <v>0</v>
      </c>
      <c r="AO21" s="123">
        <f>'Inputs by customer type'!AO26</f>
        <v>0</v>
      </c>
      <c r="AP21" s="123">
        <f>'Inputs by customer type'!AP26</f>
        <v>0</v>
      </c>
    </row>
    <row r="22" spans="5:44" x14ac:dyDescent="0.25">
      <c r="E22" s="28"/>
      <c r="F22" s="80" t="s">
        <v>303</v>
      </c>
      <c r="G22" s="80" t="s">
        <v>304</v>
      </c>
      <c r="H22" s="37"/>
      <c r="I22" s="37"/>
      <c r="J22" s="128">
        <f>'Inputs by customer type'!J27</f>
        <v>0</v>
      </c>
      <c r="K22" s="128">
        <f>'Inputs by customer type'!K27</f>
        <v>0</v>
      </c>
      <c r="L22" s="128">
        <f>'Inputs by customer type'!L27</f>
        <v>0</v>
      </c>
      <c r="M22" s="128">
        <f>'Inputs by customer type'!M27</f>
        <v>0</v>
      </c>
      <c r="N22" s="128">
        <f>'Inputs by customer type'!N27</f>
        <v>0</v>
      </c>
      <c r="O22" s="128">
        <f>'Inputs by customer type'!O27</f>
        <v>0</v>
      </c>
      <c r="P22" s="128">
        <f>'Inputs by customer type'!P27</f>
        <v>0</v>
      </c>
      <c r="Q22" s="128">
        <f>'Inputs by customer type'!Q27</f>
        <v>0</v>
      </c>
      <c r="R22" s="128">
        <f>'Inputs by customer type'!R27</f>
        <v>0</v>
      </c>
      <c r="S22" s="128">
        <f>'Inputs by customer type'!S27</f>
        <v>0</v>
      </c>
      <c r="T22" s="128">
        <f>'Inputs by customer type'!T27</f>
        <v>0</v>
      </c>
      <c r="U22" s="128">
        <f>'Inputs by customer type'!U27</f>
        <v>135320.58640173872</v>
      </c>
      <c r="V22" s="128">
        <f>'Inputs by customer type'!V27</f>
        <v>8352.9120220057539</v>
      </c>
      <c r="W22" s="128">
        <f>'Inputs by customer type'!W27</f>
        <v>159557.90273842067</v>
      </c>
      <c r="X22" s="128">
        <f>'Inputs by customer type'!X27</f>
        <v>0</v>
      </c>
      <c r="Y22" s="128">
        <f>'Inputs by customer type'!Y27</f>
        <v>0</v>
      </c>
      <c r="Z22" s="128">
        <f>'Inputs by customer type'!Z27</f>
        <v>0</v>
      </c>
      <c r="AA22" s="128">
        <f>'Inputs by customer type'!AA27</f>
        <v>0</v>
      </c>
      <c r="AB22" s="128">
        <f>'Inputs by customer type'!AB27</f>
        <v>0</v>
      </c>
      <c r="AC22" s="128">
        <f>'Inputs by customer type'!AC27</f>
        <v>0</v>
      </c>
      <c r="AD22" s="128">
        <f>'Inputs by customer type'!AD27</f>
        <v>0</v>
      </c>
      <c r="AE22" s="128">
        <f>'Inputs by customer type'!AE27</f>
        <v>12047.748992658477</v>
      </c>
      <c r="AF22" s="128">
        <f>'Inputs by customer type'!AF27</f>
        <v>0</v>
      </c>
      <c r="AG22" s="128">
        <f>'Inputs by customer type'!AG27</f>
        <v>1323.8326474736825</v>
      </c>
      <c r="AH22" s="128">
        <f>'Inputs by customer type'!AH27</f>
        <v>0</v>
      </c>
      <c r="AI22" s="128">
        <f>'Inputs by customer type'!AI27</f>
        <v>0</v>
      </c>
      <c r="AJ22" s="128">
        <f>'Inputs by customer type'!AJ27</f>
        <v>0</v>
      </c>
      <c r="AK22" s="128">
        <f>'Inputs by customer type'!AK27</f>
        <v>0</v>
      </c>
      <c r="AL22" s="128">
        <f>'Inputs by customer type'!AL27</f>
        <v>0</v>
      </c>
      <c r="AM22" s="128">
        <f>'Inputs by customer type'!AM27</f>
        <v>25810.491778498552</v>
      </c>
      <c r="AN22" s="128">
        <f>'Inputs by customer type'!AN27</f>
        <v>0</v>
      </c>
      <c r="AO22" s="128">
        <f>'Inputs by customer type'!AO27</f>
        <v>6845.2281192707514</v>
      </c>
      <c r="AP22" s="128">
        <f>'Inputs by customer type'!AP27</f>
        <v>0</v>
      </c>
    </row>
    <row r="23" spans="5:44" s="296" customFormat="1" x14ac:dyDescent="0.25">
      <c r="E23" s="300"/>
      <c r="F23" s="267"/>
      <c r="G23" s="267"/>
      <c r="J23" s="301"/>
      <c r="K23" s="301"/>
      <c r="L23" s="301"/>
      <c r="M23" s="301"/>
      <c r="N23" s="301"/>
      <c r="O23" s="301"/>
      <c r="P23" s="301"/>
      <c r="Q23" s="301"/>
      <c r="R23" s="301"/>
      <c r="S23" s="301"/>
      <c r="T23" s="301"/>
      <c r="U23" s="301"/>
      <c r="V23" s="301"/>
      <c r="W23" s="301"/>
      <c r="X23" s="301"/>
      <c r="Y23" s="301"/>
      <c r="Z23" s="301"/>
      <c r="AA23" s="301"/>
      <c r="AB23" s="301"/>
      <c r="AC23" s="301"/>
      <c r="AD23" s="301"/>
      <c r="AE23" s="301"/>
      <c r="AF23" s="301"/>
      <c r="AG23" s="301"/>
      <c r="AH23" s="301"/>
      <c r="AI23" s="301"/>
      <c r="AJ23" s="301"/>
      <c r="AK23" s="301"/>
      <c r="AL23" s="301"/>
      <c r="AM23" s="301"/>
      <c r="AN23" s="301"/>
      <c r="AO23" s="301"/>
      <c r="AP23" s="301"/>
    </row>
    <row r="24" spans="5:44" x14ac:dyDescent="0.25">
      <c r="E24" s="32" t="s">
        <v>305</v>
      </c>
      <c r="F24" s="80"/>
      <c r="G24" s="80"/>
      <c r="H24" s="37"/>
      <c r="I24" t="s">
        <v>190</v>
      </c>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82"/>
      <c r="AI24" s="82"/>
      <c r="AJ24" s="82"/>
      <c r="AK24" s="82"/>
      <c r="AL24" s="82"/>
      <c r="AM24" s="82"/>
      <c r="AN24" s="82"/>
      <c r="AO24" s="82"/>
      <c r="AP24" s="82"/>
      <c r="AR24" t="s">
        <v>296</v>
      </c>
    </row>
    <row r="25" spans="5:44" x14ac:dyDescent="0.25">
      <c r="F25" s="72" t="s">
        <v>297</v>
      </c>
      <c r="G25" s="72" t="s">
        <v>243</v>
      </c>
      <c r="I25" s="23"/>
      <c r="J25" s="127">
        <f>'Inputs by customer type'!J30</f>
        <v>7181.1549550215541</v>
      </c>
      <c r="K25" s="127">
        <f>'Inputs by customer type'!K30</f>
        <v>32.004623830279179</v>
      </c>
      <c r="L25" s="127">
        <f>'Inputs by customer type'!L30</f>
        <v>0</v>
      </c>
      <c r="M25" s="127">
        <f>'Inputs by customer type'!M30</f>
        <v>75.020659613542549</v>
      </c>
      <c r="N25" s="127">
        <f>'Inputs by customer type'!N30</f>
        <v>0</v>
      </c>
      <c r="O25" s="127">
        <f>'Inputs by customer type'!O30</f>
        <v>0</v>
      </c>
      <c r="P25" s="127">
        <f>'Inputs by customer type'!P30</f>
        <v>0</v>
      </c>
      <c r="Q25" s="127">
        <f>'Inputs by customer type'!Q30</f>
        <v>0</v>
      </c>
      <c r="R25" s="127">
        <f>'Inputs by customer type'!R30</f>
        <v>0</v>
      </c>
      <c r="S25" s="127">
        <f>'Inputs by customer type'!S30</f>
        <v>0</v>
      </c>
      <c r="T25" s="127">
        <f>'Inputs by customer type'!T30</f>
        <v>0</v>
      </c>
      <c r="U25" s="127">
        <f>'Inputs by customer type'!U30</f>
        <v>138.73525438149889</v>
      </c>
      <c r="V25" s="127">
        <f>'Inputs by customer type'!V30</f>
        <v>0</v>
      </c>
      <c r="W25" s="127">
        <f>'Inputs by customer type'!W30</f>
        <v>0</v>
      </c>
      <c r="X25" s="127">
        <f>'Inputs by customer type'!X30</f>
        <v>0</v>
      </c>
      <c r="Y25" s="127">
        <f>'Inputs by customer type'!Y30</f>
        <v>0</v>
      </c>
      <c r="Z25" s="127">
        <f>'Inputs by customer type'!Z30</f>
        <v>0</v>
      </c>
      <c r="AA25" s="127">
        <f>'Inputs by customer type'!AA30</f>
        <v>0</v>
      </c>
      <c r="AB25" s="127">
        <f>'Inputs by customer type'!AB30</f>
        <v>0</v>
      </c>
      <c r="AC25" s="127">
        <f>'Inputs by customer type'!AC30</f>
        <v>0</v>
      </c>
      <c r="AD25" s="127">
        <f>'Inputs by customer type'!AD30</f>
        <v>0</v>
      </c>
      <c r="AE25" s="127">
        <f>'Inputs by customer type'!AE30</f>
        <v>0</v>
      </c>
      <c r="AF25" s="127">
        <f>'Inputs by customer type'!AF30</f>
        <v>0</v>
      </c>
      <c r="AG25" s="127">
        <f>'Inputs by customer type'!AG30</f>
        <v>0</v>
      </c>
      <c r="AH25" s="127">
        <f>'Inputs by customer type'!AH30</f>
        <v>0</v>
      </c>
      <c r="AI25" s="127">
        <f>'Inputs by customer type'!AI30</f>
        <v>0</v>
      </c>
      <c r="AJ25" s="127">
        <f>'Inputs by customer type'!AJ30</f>
        <v>0</v>
      </c>
      <c r="AK25" s="127">
        <f>'Inputs by customer type'!AK30</f>
        <v>0</v>
      </c>
      <c r="AL25" s="127">
        <f>'Inputs by customer type'!AL30</f>
        <v>0</v>
      </c>
      <c r="AM25" s="127">
        <f>'Inputs by customer type'!AM30</f>
        <v>0</v>
      </c>
      <c r="AN25" s="127">
        <f>'Inputs by customer type'!AN30</f>
        <v>0</v>
      </c>
      <c r="AO25" s="127">
        <f>'Inputs by customer type'!AO30</f>
        <v>0</v>
      </c>
      <c r="AP25" s="127">
        <f>'Inputs by customer type'!AP30</f>
        <v>0</v>
      </c>
    </row>
    <row r="26" spans="5:44" x14ac:dyDescent="0.25">
      <c r="E26" s="28"/>
      <c r="F26" s="72" t="s">
        <v>298</v>
      </c>
      <c r="G26" s="72" t="s">
        <v>243</v>
      </c>
      <c r="J26" s="123">
        <f>'Inputs by customer type'!J31</f>
        <v>0</v>
      </c>
      <c r="K26" s="123">
        <f>'Inputs by customer type'!K31</f>
        <v>31.703541954711785</v>
      </c>
      <c r="L26" s="123">
        <f>'Inputs by customer type'!L31</f>
        <v>0</v>
      </c>
      <c r="M26" s="123">
        <f>'Inputs by customer type'!M31</f>
        <v>0</v>
      </c>
      <c r="N26" s="123">
        <f>'Inputs by customer type'!N31</f>
        <v>0</v>
      </c>
      <c r="O26" s="123">
        <f>'Inputs by customer type'!O31</f>
        <v>0</v>
      </c>
      <c r="P26" s="123">
        <f>'Inputs by customer type'!P31</f>
        <v>0</v>
      </c>
      <c r="Q26" s="123">
        <f>'Inputs by customer type'!Q31</f>
        <v>0</v>
      </c>
      <c r="R26" s="123">
        <f>'Inputs by customer type'!R31</f>
        <v>0</v>
      </c>
      <c r="S26" s="123">
        <f>'Inputs by customer type'!S31</f>
        <v>0</v>
      </c>
      <c r="T26" s="123">
        <f>'Inputs by customer type'!T31</f>
        <v>0</v>
      </c>
      <c r="U26" s="123">
        <f>'Inputs by customer type'!U31</f>
        <v>631.64847703906742</v>
      </c>
      <c r="V26" s="123">
        <f>'Inputs by customer type'!V31</f>
        <v>0</v>
      </c>
      <c r="W26" s="123">
        <f>'Inputs by customer type'!W31</f>
        <v>0</v>
      </c>
      <c r="X26" s="123">
        <f>'Inputs by customer type'!X31</f>
        <v>0</v>
      </c>
      <c r="Y26" s="123">
        <f>'Inputs by customer type'!Y31</f>
        <v>0</v>
      </c>
      <c r="Z26" s="123">
        <f>'Inputs by customer type'!Z31</f>
        <v>0</v>
      </c>
      <c r="AA26" s="123">
        <f>'Inputs by customer type'!AA31</f>
        <v>0</v>
      </c>
      <c r="AB26" s="123">
        <f>'Inputs by customer type'!AB31</f>
        <v>0</v>
      </c>
      <c r="AC26" s="123">
        <f>'Inputs by customer type'!AC31</f>
        <v>0</v>
      </c>
      <c r="AD26" s="123">
        <f>'Inputs by customer type'!AD31</f>
        <v>0</v>
      </c>
      <c r="AE26" s="123">
        <f>'Inputs by customer type'!AE31</f>
        <v>0</v>
      </c>
      <c r="AF26" s="123">
        <f>'Inputs by customer type'!AF31</f>
        <v>0</v>
      </c>
      <c r="AG26" s="123">
        <f>'Inputs by customer type'!AG31</f>
        <v>0</v>
      </c>
      <c r="AH26" s="123">
        <f>'Inputs by customer type'!AH31</f>
        <v>0</v>
      </c>
      <c r="AI26" s="123">
        <f>'Inputs by customer type'!AI31</f>
        <v>0</v>
      </c>
      <c r="AJ26" s="123">
        <f>'Inputs by customer type'!AJ31</f>
        <v>0</v>
      </c>
      <c r="AK26" s="123">
        <f>'Inputs by customer type'!AK31</f>
        <v>0</v>
      </c>
      <c r="AL26" s="123">
        <f>'Inputs by customer type'!AL31</f>
        <v>0</v>
      </c>
      <c r="AM26" s="123">
        <f>'Inputs by customer type'!AM31</f>
        <v>0</v>
      </c>
      <c r="AN26" s="123">
        <f>'Inputs by customer type'!AN31</f>
        <v>0</v>
      </c>
      <c r="AO26" s="123">
        <f>'Inputs by customer type'!AO31</f>
        <v>0</v>
      </c>
      <c r="AP26" s="123">
        <f>'Inputs by customer type'!AP31</f>
        <v>0</v>
      </c>
    </row>
    <row r="27" spans="5:44" x14ac:dyDescent="0.25">
      <c r="E27" s="28"/>
      <c r="F27" s="72" t="s">
        <v>299</v>
      </c>
      <c r="G27" s="72" t="s">
        <v>243</v>
      </c>
      <c r="J27" s="123">
        <f>'Inputs by customer type'!J32</f>
        <v>0</v>
      </c>
      <c r="K27" s="123">
        <f>'Inputs by customer type'!K32</f>
        <v>0</v>
      </c>
      <c r="L27" s="123">
        <f>'Inputs by customer type'!L32</f>
        <v>0</v>
      </c>
      <c r="M27" s="123">
        <f>'Inputs by customer type'!M32</f>
        <v>0</v>
      </c>
      <c r="N27" s="123">
        <f>'Inputs by customer type'!N32</f>
        <v>0</v>
      </c>
      <c r="O27" s="123">
        <f>'Inputs by customer type'!O32</f>
        <v>0</v>
      </c>
      <c r="P27" s="123">
        <f>'Inputs by customer type'!P32</f>
        <v>0</v>
      </c>
      <c r="Q27" s="123">
        <f>'Inputs by customer type'!Q32</f>
        <v>0</v>
      </c>
      <c r="R27" s="123">
        <f>'Inputs by customer type'!R32</f>
        <v>0</v>
      </c>
      <c r="S27" s="123">
        <f>'Inputs by customer type'!S32</f>
        <v>0</v>
      </c>
      <c r="T27" s="123">
        <f>'Inputs by customer type'!T32</f>
        <v>0</v>
      </c>
      <c r="U27" s="123">
        <f>'Inputs by customer type'!U32</f>
        <v>303.74096809783396</v>
      </c>
      <c r="V27" s="123">
        <f>'Inputs by customer type'!V32</f>
        <v>0</v>
      </c>
      <c r="W27" s="123">
        <f>'Inputs by customer type'!W32</f>
        <v>0</v>
      </c>
      <c r="X27" s="123">
        <f>'Inputs by customer type'!X32</f>
        <v>0</v>
      </c>
      <c r="Y27" s="123">
        <f>'Inputs by customer type'!Y32</f>
        <v>0</v>
      </c>
      <c r="Z27" s="123">
        <f>'Inputs by customer type'!Z32</f>
        <v>0</v>
      </c>
      <c r="AA27" s="123">
        <f>'Inputs by customer type'!AA32</f>
        <v>0</v>
      </c>
      <c r="AB27" s="123">
        <f>'Inputs by customer type'!AB32</f>
        <v>0</v>
      </c>
      <c r="AC27" s="123">
        <f>'Inputs by customer type'!AC32</f>
        <v>0</v>
      </c>
      <c r="AD27" s="123">
        <f>'Inputs by customer type'!AD32</f>
        <v>0</v>
      </c>
      <c r="AE27" s="123">
        <f>'Inputs by customer type'!AE32</f>
        <v>0</v>
      </c>
      <c r="AF27" s="123">
        <f>'Inputs by customer type'!AF32</f>
        <v>0</v>
      </c>
      <c r="AG27" s="123">
        <f>'Inputs by customer type'!AG32</f>
        <v>0</v>
      </c>
      <c r="AH27" s="123">
        <f>'Inputs by customer type'!AH32</f>
        <v>0</v>
      </c>
      <c r="AI27" s="123">
        <f>'Inputs by customer type'!AI32</f>
        <v>0</v>
      </c>
      <c r="AJ27" s="123">
        <f>'Inputs by customer type'!AJ32</f>
        <v>0</v>
      </c>
      <c r="AK27" s="123">
        <f>'Inputs by customer type'!AK32</f>
        <v>0</v>
      </c>
      <c r="AL27" s="123">
        <f>'Inputs by customer type'!AL32</f>
        <v>0</v>
      </c>
      <c r="AM27" s="123">
        <f>'Inputs by customer type'!AM32</f>
        <v>0</v>
      </c>
      <c r="AN27" s="123">
        <f>'Inputs by customer type'!AN32</f>
        <v>0</v>
      </c>
      <c r="AO27" s="123">
        <f>'Inputs by customer type'!AO32</f>
        <v>0</v>
      </c>
      <c r="AP27" s="123">
        <f>'Inputs by customer type'!AP32</f>
        <v>0</v>
      </c>
    </row>
    <row r="28" spans="5:44" x14ac:dyDescent="0.25">
      <c r="E28" s="28"/>
      <c r="F28" s="72" t="s">
        <v>248</v>
      </c>
      <c r="G28" s="72" t="s">
        <v>248</v>
      </c>
      <c r="J28" s="123">
        <f>'Inputs by customer type'!J33</f>
        <v>2391.1231469765908</v>
      </c>
      <c r="K28" s="123">
        <f>'Inputs by customer type'!K33</f>
        <v>7</v>
      </c>
      <c r="L28" s="123">
        <f>'Inputs by customer type'!L33</f>
        <v>0</v>
      </c>
      <c r="M28" s="123">
        <f>'Inputs by customer type'!M33</f>
        <v>17</v>
      </c>
      <c r="N28" s="123">
        <f>'Inputs by customer type'!N33</f>
        <v>0</v>
      </c>
      <c r="O28" s="123">
        <f>'Inputs by customer type'!O33</f>
        <v>0</v>
      </c>
      <c r="P28" s="123">
        <f>'Inputs by customer type'!P33</f>
        <v>0</v>
      </c>
      <c r="Q28" s="123">
        <f>'Inputs by customer type'!Q33</f>
        <v>0</v>
      </c>
      <c r="R28" s="123">
        <f>'Inputs by customer type'!R33</f>
        <v>0</v>
      </c>
      <c r="S28" s="123">
        <f>'Inputs by customer type'!S33</f>
        <v>0</v>
      </c>
      <c r="T28" s="123">
        <f>'Inputs by customer type'!T33</f>
        <v>0</v>
      </c>
      <c r="U28" s="123">
        <f>'Inputs by customer type'!U33</f>
        <v>4.3333333333333339</v>
      </c>
      <c r="V28" s="123">
        <f>'Inputs by customer type'!V33</f>
        <v>0</v>
      </c>
      <c r="W28" s="123">
        <f>'Inputs by customer type'!W33</f>
        <v>0</v>
      </c>
      <c r="X28" s="123">
        <f>'Inputs by customer type'!X33</f>
        <v>0</v>
      </c>
      <c r="Y28" s="123">
        <f>'Inputs by customer type'!Y33</f>
        <v>0</v>
      </c>
      <c r="Z28" s="123">
        <f>'Inputs by customer type'!Z33</f>
        <v>0</v>
      </c>
      <c r="AA28" s="123">
        <f>'Inputs by customer type'!AA33</f>
        <v>0</v>
      </c>
      <c r="AB28" s="123">
        <f>'Inputs by customer type'!AB33</f>
        <v>0</v>
      </c>
      <c r="AC28" s="123">
        <f>'Inputs by customer type'!AC33</f>
        <v>0</v>
      </c>
      <c r="AD28" s="123">
        <f>'Inputs by customer type'!AD33</f>
        <v>0</v>
      </c>
      <c r="AE28" s="123">
        <f>'Inputs by customer type'!AE33</f>
        <v>0</v>
      </c>
      <c r="AF28" s="123">
        <f>'Inputs by customer type'!AF33</f>
        <v>0</v>
      </c>
      <c r="AG28" s="123">
        <f>'Inputs by customer type'!AG33</f>
        <v>0</v>
      </c>
      <c r="AH28" s="123">
        <f>'Inputs by customer type'!AH33</f>
        <v>0</v>
      </c>
      <c r="AI28" s="123">
        <f>'Inputs by customer type'!AI33</f>
        <v>0</v>
      </c>
      <c r="AJ28" s="123">
        <f>'Inputs by customer type'!AJ33</f>
        <v>0</v>
      </c>
      <c r="AK28" s="123">
        <f>'Inputs by customer type'!AK33</f>
        <v>0</v>
      </c>
      <c r="AL28" s="123">
        <f>'Inputs by customer type'!AL33</f>
        <v>0</v>
      </c>
      <c r="AM28" s="123">
        <f>'Inputs by customer type'!AM33</f>
        <v>0</v>
      </c>
      <c r="AN28" s="123">
        <f>'Inputs by customer type'!AN33</f>
        <v>0</v>
      </c>
      <c r="AO28" s="123">
        <f>'Inputs by customer type'!AO33</f>
        <v>0</v>
      </c>
      <c r="AP28" s="123">
        <f>'Inputs by customer type'!AP33</f>
        <v>0</v>
      </c>
    </row>
    <row r="29" spans="5:44" x14ac:dyDescent="0.25">
      <c r="E29" s="28"/>
      <c r="F29" s="72" t="s">
        <v>300</v>
      </c>
      <c r="G29" s="72" t="s">
        <v>301</v>
      </c>
      <c r="J29" s="123">
        <f>'Inputs by customer type'!J34</f>
        <v>0</v>
      </c>
      <c r="K29" s="123">
        <f>'Inputs by customer type'!K34</f>
        <v>0</v>
      </c>
      <c r="L29" s="123">
        <f>'Inputs by customer type'!L34</f>
        <v>0</v>
      </c>
      <c r="M29" s="123">
        <f>'Inputs by customer type'!M34</f>
        <v>0</v>
      </c>
      <c r="N29" s="123">
        <f>'Inputs by customer type'!N34</f>
        <v>0</v>
      </c>
      <c r="O29" s="123">
        <f>'Inputs by customer type'!O34</f>
        <v>0</v>
      </c>
      <c r="P29" s="123">
        <f>'Inputs by customer type'!P34</f>
        <v>0</v>
      </c>
      <c r="Q29" s="123">
        <f>'Inputs by customer type'!Q34</f>
        <v>0</v>
      </c>
      <c r="R29" s="123">
        <f>'Inputs by customer type'!R34</f>
        <v>0</v>
      </c>
      <c r="S29" s="123">
        <f>'Inputs by customer type'!S34</f>
        <v>0</v>
      </c>
      <c r="T29" s="123">
        <f>'Inputs by customer type'!T34</f>
        <v>0</v>
      </c>
      <c r="U29" s="123">
        <f>'Inputs by customer type'!U34</f>
        <v>716.73333333333312</v>
      </c>
      <c r="V29" s="123">
        <f>'Inputs by customer type'!V34</f>
        <v>0</v>
      </c>
      <c r="W29" s="123">
        <f>'Inputs by customer type'!W34</f>
        <v>0</v>
      </c>
      <c r="X29" s="123">
        <f>'Inputs by customer type'!X34</f>
        <v>0</v>
      </c>
      <c r="Y29" s="123">
        <f>'Inputs by customer type'!Y34</f>
        <v>0</v>
      </c>
      <c r="Z29" s="123">
        <f>'Inputs by customer type'!Z34</f>
        <v>0</v>
      </c>
      <c r="AA29" s="123">
        <f>'Inputs by customer type'!AA34</f>
        <v>0</v>
      </c>
      <c r="AB29" s="123">
        <f>'Inputs by customer type'!AB34</f>
        <v>0</v>
      </c>
      <c r="AC29" s="123">
        <f>'Inputs by customer type'!AC34</f>
        <v>0</v>
      </c>
      <c r="AD29" s="123">
        <f>'Inputs by customer type'!AD34</f>
        <v>0</v>
      </c>
      <c r="AE29" s="123">
        <f>'Inputs by customer type'!AE34</f>
        <v>0</v>
      </c>
      <c r="AF29" s="123">
        <f>'Inputs by customer type'!AF34</f>
        <v>0</v>
      </c>
      <c r="AG29" s="123">
        <f>'Inputs by customer type'!AG34</f>
        <v>0</v>
      </c>
      <c r="AH29" s="123">
        <f>'Inputs by customer type'!AH34</f>
        <v>0</v>
      </c>
      <c r="AI29" s="123">
        <f>'Inputs by customer type'!AI34</f>
        <v>0</v>
      </c>
      <c r="AJ29" s="123">
        <f>'Inputs by customer type'!AJ34</f>
        <v>0</v>
      </c>
      <c r="AK29" s="123">
        <f>'Inputs by customer type'!AK34</f>
        <v>0</v>
      </c>
      <c r="AL29" s="123">
        <f>'Inputs by customer type'!AL34</f>
        <v>0</v>
      </c>
      <c r="AM29" s="123">
        <f>'Inputs by customer type'!AM34</f>
        <v>0</v>
      </c>
      <c r="AN29" s="123">
        <f>'Inputs by customer type'!AN34</f>
        <v>0</v>
      </c>
      <c r="AO29" s="123">
        <f>'Inputs by customer type'!AO34</f>
        <v>0</v>
      </c>
      <c r="AP29" s="123">
        <f>'Inputs by customer type'!AP34</f>
        <v>0</v>
      </c>
    </row>
    <row r="30" spans="5:44" x14ac:dyDescent="0.25">
      <c r="E30" s="28"/>
      <c r="F30" s="72" t="s">
        <v>302</v>
      </c>
      <c r="G30" s="72" t="s">
        <v>301</v>
      </c>
      <c r="J30" s="123">
        <f>'Inputs by customer type'!J35</f>
        <v>0</v>
      </c>
      <c r="K30" s="123">
        <f>'Inputs by customer type'!K35</f>
        <v>0</v>
      </c>
      <c r="L30" s="123">
        <f>'Inputs by customer type'!L35</f>
        <v>0</v>
      </c>
      <c r="M30" s="123">
        <f>'Inputs by customer type'!M35</f>
        <v>0</v>
      </c>
      <c r="N30" s="123">
        <f>'Inputs by customer type'!N35</f>
        <v>0</v>
      </c>
      <c r="O30" s="123">
        <f>'Inputs by customer type'!O35</f>
        <v>0</v>
      </c>
      <c r="P30" s="123">
        <f>'Inputs by customer type'!P35</f>
        <v>0</v>
      </c>
      <c r="Q30" s="123">
        <f>'Inputs by customer type'!Q35</f>
        <v>0</v>
      </c>
      <c r="R30" s="123">
        <f>'Inputs by customer type'!R35</f>
        <v>0</v>
      </c>
      <c r="S30" s="123">
        <f>'Inputs by customer type'!S35</f>
        <v>0</v>
      </c>
      <c r="T30" s="123">
        <f>'Inputs by customer type'!T35</f>
        <v>0</v>
      </c>
      <c r="U30" s="123">
        <f>'Inputs by customer type'!U35</f>
        <v>0</v>
      </c>
      <c r="V30" s="123">
        <f>'Inputs by customer type'!V35</f>
        <v>0</v>
      </c>
      <c r="W30" s="123">
        <f>'Inputs by customer type'!W35</f>
        <v>0</v>
      </c>
      <c r="X30" s="123">
        <f>'Inputs by customer type'!X35</f>
        <v>0</v>
      </c>
      <c r="Y30" s="123">
        <f>'Inputs by customer type'!Y35</f>
        <v>0</v>
      </c>
      <c r="Z30" s="123">
        <f>'Inputs by customer type'!Z35</f>
        <v>0</v>
      </c>
      <c r="AA30" s="123">
        <f>'Inputs by customer type'!AA35</f>
        <v>0</v>
      </c>
      <c r="AB30" s="123">
        <f>'Inputs by customer type'!AB35</f>
        <v>0</v>
      </c>
      <c r="AC30" s="123">
        <f>'Inputs by customer type'!AC35</f>
        <v>0</v>
      </c>
      <c r="AD30" s="123">
        <f>'Inputs by customer type'!AD35</f>
        <v>0</v>
      </c>
      <c r="AE30" s="123">
        <f>'Inputs by customer type'!AE35</f>
        <v>0</v>
      </c>
      <c r="AF30" s="123">
        <f>'Inputs by customer type'!AF35</f>
        <v>0</v>
      </c>
      <c r="AG30" s="123">
        <f>'Inputs by customer type'!AG35</f>
        <v>0</v>
      </c>
      <c r="AH30" s="123">
        <f>'Inputs by customer type'!AH35</f>
        <v>0</v>
      </c>
      <c r="AI30" s="123">
        <f>'Inputs by customer type'!AI35</f>
        <v>0</v>
      </c>
      <c r="AJ30" s="123">
        <f>'Inputs by customer type'!AJ35</f>
        <v>0</v>
      </c>
      <c r="AK30" s="123">
        <f>'Inputs by customer type'!AK35</f>
        <v>0</v>
      </c>
      <c r="AL30" s="123">
        <f>'Inputs by customer type'!AL35</f>
        <v>0</v>
      </c>
      <c r="AM30" s="123">
        <f>'Inputs by customer type'!AM35</f>
        <v>0</v>
      </c>
      <c r="AN30" s="123">
        <f>'Inputs by customer type'!AN35</f>
        <v>0</v>
      </c>
      <c r="AO30" s="123">
        <f>'Inputs by customer type'!AO35</f>
        <v>0</v>
      </c>
      <c r="AP30" s="123">
        <f>'Inputs by customer type'!AP35</f>
        <v>0</v>
      </c>
    </row>
    <row r="31" spans="5:44" x14ac:dyDescent="0.25">
      <c r="E31" s="28"/>
      <c r="F31" s="80" t="s">
        <v>303</v>
      </c>
      <c r="G31" s="80" t="s">
        <v>304</v>
      </c>
      <c r="H31" s="37"/>
      <c r="I31" s="37"/>
      <c r="J31" s="128">
        <f>'Inputs by customer type'!J36</f>
        <v>0</v>
      </c>
      <c r="K31" s="128">
        <f>'Inputs by customer type'!K36</f>
        <v>0</v>
      </c>
      <c r="L31" s="128">
        <f>'Inputs by customer type'!L36</f>
        <v>0</v>
      </c>
      <c r="M31" s="128">
        <f>'Inputs by customer type'!M36</f>
        <v>0</v>
      </c>
      <c r="N31" s="128">
        <f>'Inputs by customer type'!N36</f>
        <v>0</v>
      </c>
      <c r="O31" s="128">
        <f>'Inputs by customer type'!O36</f>
        <v>0</v>
      </c>
      <c r="P31" s="128">
        <f>'Inputs by customer type'!P36</f>
        <v>0</v>
      </c>
      <c r="Q31" s="128">
        <f>'Inputs by customer type'!Q36</f>
        <v>0</v>
      </c>
      <c r="R31" s="128">
        <f>'Inputs by customer type'!R36</f>
        <v>0</v>
      </c>
      <c r="S31" s="128">
        <f>'Inputs by customer type'!S36</f>
        <v>0</v>
      </c>
      <c r="T31" s="128">
        <f>'Inputs by customer type'!T36</f>
        <v>0</v>
      </c>
      <c r="U31" s="128">
        <f>'Inputs by customer type'!U36</f>
        <v>22.668209269518417</v>
      </c>
      <c r="V31" s="128">
        <f>'Inputs by customer type'!V36</f>
        <v>0</v>
      </c>
      <c r="W31" s="128">
        <f>'Inputs by customer type'!W36</f>
        <v>0</v>
      </c>
      <c r="X31" s="128">
        <f>'Inputs by customer type'!X36</f>
        <v>0</v>
      </c>
      <c r="Y31" s="128">
        <f>'Inputs by customer type'!Y36</f>
        <v>0</v>
      </c>
      <c r="Z31" s="128">
        <f>'Inputs by customer type'!Z36</f>
        <v>0</v>
      </c>
      <c r="AA31" s="128">
        <f>'Inputs by customer type'!AA36</f>
        <v>0</v>
      </c>
      <c r="AB31" s="128">
        <f>'Inputs by customer type'!AB36</f>
        <v>0</v>
      </c>
      <c r="AC31" s="128">
        <f>'Inputs by customer type'!AC36</f>
        <v>0</v>
      </c>
      <c r="AD31" s="128">
        <f>'Inputs by customer type'!AD36</f>
        <v>0</v>
      </c>
      <c r="AE31" s="128">
        <f>'Inputs by customer type'!AE36</f>
        <v>0</v>
      </c>
      <c r="AF31" s="128">
        <f>'Inputs by customer type'!AF36</f>
        <v>0</v>
      </c>
      <c r="AG31" s="128">
        <f>'Inputs by customer type'!AG36</f>
        <v>0</v>
      </c>
      <c r="AH31" s="128">
        <f>'Inputs by customer type'!AH36</f>
        <v>0</v>
      </c>
      <c r="AI31" s="128">
        <f>'Inputs by customer type'!AI36</f>
        <v>0</v>
      </c>
      <c r="AJ31" s="128">
        <f>'Inputs by customer type'!AJ36</f>
        <v>0</v>
      </c>
      <c r="AK31" s="128">
        <f>'Inputs by customer type'!AK36</f>
        <v>0</v>
      </c>
      <c r="AL31" s="128">
        <f>'Inputs by customer type'!AL36</f>
        <v>0</v>
      </c>
      <c r="AM31" s="128">
        <f>'Inputs by customer type'!AM36</f>
        <v>0</v>
      </c>
      <c r="AN31" s="128">
        <f>'Inputs by customer type'!AN36</f>
        <v>0</v>
      </c>
      <c r="AO31" s="128">
        <f>'Inputs by customer type'!AO36</f>
        <v>0</v>
      </c>
      <c r="AP31" s="128">
        <f>'Inputs by customer type'!AP36</f>
        <v>0</v>
      </c>
    </row>
    <row r="32" spans="5:44" s="296" customFormat="1" x14ac:dyDescent="0.25">
      <c r="E32" s="300"/>
      <c r="F32" s="267"/>
      <c r="G32" s="267"/>
      <c r="J32" s="301"/>
      <c r="K32" s="301"/>
      <c r="L32" s="301"/>
      <c r="M32" s="301"/>
      <c r="N32" s="301"/>
      <c r="O32" s="301"/>
      <c r="P32" s="301"/>
      <c r="Q32" s="301"/>
      <c r="R32" s="301"/>
      <c r="S32" s="301"/>
      <c r="T32" s="301"/>
      <c r="U32" s="301"/>
      <c r="V32" s="301"/>
      <c r="W32" s="301"/>
      <c r="X32" s="301"/>
      <c r="Y32" s="301"/>
      <c r="Z32" s="301"/>
      <c r="AA32" s="301"/>
      <c r="AB32" s="301"/>
      <c r="AC32" s="301"/>
      <c r="AD32" s="301"/>
      <c r="AE32" s="301"/>
      <c r="AF32" s="301"/>
      <c r="AG32" s="301"/>
      <c r="AH32" s="301"/>
      <c r="AI32" s="301"/>
      <c r="AJ32" s="301"/>
      <c r="AK32" s="301"/>
      <c r="AL32" s="301"/>
      <c r="AM32" s="301"/>
      <c r="AN32" s="301"/>
      <c r="AO32" s="301"/>
      <c r="AP32" s="301"/>
    </row>
    <row r="33" spans="3:44" x14ac:dyDescent="0.25">
      <c r="E33" s="32" t="s">
        <v>306</v>
      </c>
      <c r="F33" s="80"/>
      <c r="G33" s="80"/>
      <c r="H33" s="37"/>
      <c r="I33" t="s">
        <v>190</v>
      </c>
      <c r="J33" s="82"/>
      <c r="K33" s="82"/>
      <c r="L33" s="82"/>
      <c r="M33" s="82"/>
      <c r="N33" s="82"/>
      <c r="O33" s="82"/>
      <c r="P33" s="82"/>
      <c r="Q33" s="82"/>
      <c r="R33" s="82"/>
      <c r="S33" s="82"/>
      <c r="T33" s="82"/>
      <c r="U33" s="82"/>
      <c r="V33" s="82"/>
      <c r="W33" s="82"/>
      <c r="X33" s="82"/>
      <c r="Y33" s="82"/>
      <c r="Z33" s="82"/>
      <c r="AA33" s="82"/>
      <c r="AB33" s="82"/>
      <c r="AC33" s="82"/>
      <c r="AD33" s="82"/>
      <c r="AE33" s="82"/>
      <c r="AF33" s="82"/>
      <c r="AG33" s="82"/>
      <c r="AH33" s="82"/>
      <c r="AI33" s="82"/>
      <c r="AJ33" s="82"/>
      <c r="AK33" s="82"/>
      <c r="AL33" s="82"/>
      <c r="AM33" s="82"/>
      <c r="AN33" s="82"/>
      <c r="AO33" s="82"/>
      <c r="AP33" s="82"/>
      <c r="AR33" t="s">
        <v>296</v>
      </c>
    </row>
    <row r="34" spans="3:44" x14ac:dyDescent="0.25">
      <c r="E34" s="28"/>
      <c r="F34" s="72" t="s">
        <v>297</v>
      </c>
      <c r="G34" s="72" t="s">
        <v>243</v>
      </c>
      <c r="I34" s="23"/>
      <c r="J34" s="127">
        <f>'Inputs by customer type'!J39</f>
        <v>12017.139323785283</v>
      </c>
      <c r="K34" s="127">
        <f>'Inputs by customer type'!K39</f>
        <v>147.71628354770948</v>
      </c>
      <c r="L34" s="127">
        <f>'Inputs by customer type'!L39</f>
        <v>0</v>
      </c>
      <c r="M34" s="127">
        <f>'Inputs by customer type'!M39</f>
        <v>709.65343522263936</v>
      </c>
      <c r="N34" s="127">
        <f>'Inputs by customer type'!N39</f>
        <v>0</v>
      </c>
      <c r="O34" s="127">
        <f>'Inputs by customer type'!O39</f>
        <v>0</v>
      </c>
      <c r="P34" s="127">
        <f>'Inputs by customer type'!P39</f>
        <v>0</v>
      </c>
      <c r="Q34" s="127">
        <f>'Inputs by customer type'!Q39</f>
        <v>0</v>
      </c>
      <c r="R34" s="127">
        <f>'Inputs by customer type'!R39</f>
        <v>0</v>
      </c>
      <c r="S34" s="127">
        <f>'Inputs by customer type'!S39</f>
        <v>0</v>
      </c>
      <c r="T34" s="127">
        <f>'Inputs by customer type'!T39</f>
        <v>0</v>
      </c>
      <c r="U34" s="127">
        <f>'Inputs by customer type'!U39</f>
        <v>140.52099220025406</v>
      </c>
      <c r="V34" s="127">
        <f>'Inputs by customer type'!V39</f>
        <v>62.247221699127103</v>
      </c>
      <c r="W34" s="127">
        <f>'Inputs by customer type'!W39</f>
        <v>0</v>
      </c>
      <c r="X34" s="127">
        <f>'Inputs by customer type'!X39</f>
        <v>0</v>
      </c>
      <c r="Y34" s="127">
        <f>'Inputs by customer type'!Y39</f>
        <v>3.7270000000000003</v>
      </c>
      <c r="Z34" s="127">
        <f>'Inputs by customer type'!Z39</f>
        <v>0</v>
      </c>
      <c r="AA34" s="127">
        <f>'Inputs by customer type'!AA39</f>
        <v>0</v>
      </c>
      <c r="AB34" s="127">
        <f>'Inputs by customer type'!AB39</f>
        <v>0</v>
      </c>
      <c r="AC34" s="127">
        <f>'Inputs by customer type'!AC39</f>
        <v>0</v>
      </c>
      <c r="AD34" s="127">
        <f>'Inputs by customer type'!AD39</f>
        <v>0</v>
      </c>
      <c r="AE34" s="127">
        <f>'Inputs by customer type'!AE39</f>
        <v>0</v>
      </c>
      <c r="AF34" s="127">
        <f>'Inputs by customer type'!AF39</f>
        <v>0</v>
      </c>
      <c r="AG34" s="127">
        <f>'Inputs by customer type'!AG39</f>
        <v>0</v>
      </c>
      <c r="AH34" s="127">
        <f>'Inputs by customer type'!AH39</f>
        <v>0</v>
      </c>
      <c r="AI34" s="127">
        <f>'Inputs by customer type'!AI39</f>
        <v>0</v>
      </c>
      <c r="AJ34" s="127">
        <f>'Inputs by customer type'!AJ39</f>
        <v>0</v>
      </c>
      <c r="AK34" s="127">
        <f>'Inputs by customer type'!AK39</f>
        <v>0</v>
      </c>
      <c r="AL34" s="127">
        <f>'Inputs by customer type'!AL39</f>
        <v>0</v>
      </c>
      <c r="AM34" s="127">
        <f>'Inputs by customer type'!AM39</f>
        <v>0</v>
      </c>
      <c r="AN34" s="127">
        <f>'Inputs by customer type'!AN39</f>
        <v>0</v>
      </c>
      <c r="AO34" s="127">
        <f>'Inputs by customer type'!AO39</f>
        <v>0</v>
      </c>
      <c r="AP34" s="127">
        <f>'Inputs by customer type'!AP39</f>
        <v>0</v>
      </c>
    </row>
    <row r="35" spans="3:44" x14ac:dyDescent="0.25">
      <c r="E35" s="28"/>
      <c r="F35" s="72" t="s">
        <v>298</v>
      </c>
      <c r="G35" s="72" t="s">
        <v>243</v>
      </c>
      <c r="J35" s="123">
        <f>'Inputs by customer type'!J40</f>
        <v>0</v>
      </c>
      <c r="K35" s="123">
        <f>'Inputs by customer type'!K40</f>
        <v>109.38469506525284</v>
      </c>
      <c r="L35" s="123">
        <f>'Inputs by customer type'!L40</f>
        <v>0</v>
      </c>
      <c r="M35" s="123">
        <f>'Inputs by customer type'!M40</f>
        <v>0</v>
      </c>
      <c r="N35" s="123">
        <f>'Inputs by customer type'!N40</f>
        <v>0</v>
      </c>
      <c r="O35" s="123">
        <f>'Inputs by customer type'!O40</f>
        <v>0</v>
      </c>
      <c r="P35" s="123">
        <f>'Inputs by customer type'!P40</f>
        <v>0</v>
      </c>
      <c r="Q35" s="123">
        <f>'Inputs by customer type'!Q40</f>
        <v>0</v>
      </c>
      <c r="R35" s="123">
        <f>'Inputs by customer type'!R40</f>
        <v>0</v>
      </c>
      <c r="S35" s="123">
        <f>'Inputs by customer type'!S40</f>
        <v>0</v>
      </c>
      <c r="T35" s="123">
        <f>'Inputs by customer type'!T40</f>
        <v>0</v>
      </c>
      <c r="U35" s="123">
        <f>'Inputs by customer type'!U40</f>
        <v>720.12355589035235</v>
      </c>
      <c r="V35" s="123">
        <f>'Inputs by customer type'!V40</f>
        <v>246.29606869044625</v>
      </c>
      <c r="W35" s="123">
        <f>'Inputs by customer type'!W40</f>
        <v>0</v>
      </c>
      <c r="X35" s="123">
        <f>'Inputs by customer type'!X40</f>
        <v>0</v>
      </c>
      <c r="Y35" s="123">
        <f>'Inputs by customer type'!Y40</f>
        <v>0</v>
      </c>
      <c r="Z35" s="123">
        <f>'Inputs by customer type'!Z40</f>
        <v>0</v>
      </c>
      <c r="AA35" s="123">
        <f>'Inputs by customer type'!AA40</f>
        <v>0</v>
      </c>
      <c r="AB35" s="123">
        <f>'Inputs by customer type'!AB40</f>
        <v>0</v>
      </c>
      <c r="AC35" s="123">
        <f>'Inputs by customer type'!AC40</f>
        <v>0</v>
      </c>
      <c r="AD35" s="123">
        <f>'Inputs by customer type'!AD40</f>
        <v>0</v>
      </c>
      <c r="AE35" s="123">
        <f>'Inputs by customer type'!AE40</f>
        <v>0</v>
      </c>
      <c r="AF35" s="123">
        <f>'Inputs by customer type'!AF40</f>
        <v>0</v>
      </c>
      <c r="AG35" s="123">
        <f>'Inputs by customer type'!AG40</f>
        <v>0</v>
      </c>
      <c r="AH35" s="123">
        <f>'Inputs by customer type'!AH40</f>
        <v>0</v>
      </c>
      <c r="AI35" s="123">
        <f>'Inputs by customer type'!AI40</f>
        <v>0</v>
      </c>
      <c r="AJ35" s="123">
        <f>'Inputs by customer type'!AJ40</f>
        <v>0</v>
      </c>
      <c r="AK35" s="123">
        <f>'Inputs by customer type'!AK40</f>
        <v>0</v>
      </c>
      <c r="AL35" s="123">
        <f>'Inputs by customer type'!AL40</f>
        <v>0</v>
      </c>
      <c r="AM35" s="123">
        <f>'Inputs by customer type'!AM40</f>
        <v>0</v>
      </c>
      <c r="AN35" s="123">
        <f>'Inputs by customer type'!AN40</f>
        <v>0</v>
      </c>
      <c r="AO35" s="123">
        <f>'Inputs by customer type'!AO40</f>
        <v>0</v>
      </c>
      <c r="AP35" s="123">
        <f>'Inputs by customer type'!AP40</f>
        <v>0</v>
      </c>
    </row>
    <row r="36" spans="3:44" x14ac:dyDescent="0.25">
      <c r="E36" s="28"/>
      <c r="F36" s="72" t="s">
        <v>299</v>
      </c>
      <c r="G36" s="72" t="s">
        <v>243</v>
      </c>
      <c r="J36" s="123">
        <f>'Inputs by customer type'!J41</f>
        <v>0</v>
      </c>
      <c r="K36" s="123">
        <f>'Inputs by customer type'!K41</f>
        <v>0</v>
      </c>
      <c r="L36" s="123">
        <f>'Inputs by customer type'!L41</f>
        <v>0</v>
      </c>
      <c r="M36" s="123">
        <f>'Inputs by customer type'!M41</f>
        <v>0</v>
      </c>
      <c r="N36" s="123">
        <f>'Inputs by customer type'!N41</f>
        <v>0</v>
      </c>
      <c r="O36" s="123">
        <f>'Inputs by customer type'!O41</f>
        <v>0</v>
      </c>
      <c r="P36" s="123">
        <f>'Inputs by customer type'!P41</f>
        <v>0</v>
      </c>
      <c r="Q36" s="123">
        <f>'Inputs by customer type'!Q41</f>
        <v>0</v>
      </c>
      <c r="R36" s="123">
        <f>'Inputs by customer type'!R41</f>
        <v>0</v>
      </c>
      <c r="S36" s="123">
        <f>'Inputs by customer type'!S41</f>
        <v>0</v>
      </c>
      <c r="T36" s="123">
        <f>'Inputs by customer type'!T41</f>
        <v>0</v>
      </c>
      <c r="U36" s="123">
        <f>'Inputs by customer type'!U41</f>
        <v>516.84316448880031</v>
      </c>
      <c r="V36" s="123">
        <f>'Inputs by customer type'!V41</f>
        <v>266.38424524969162</v>
      </c>
      <c r="W36" s="123">
        <f>'Inputs by customer type'!W41</f>
        <v>0</v>
      </c>
      <c r="X36" s="123">
        <f>'Inputs by customer type'!X41</f>
        <v>0</v>
      </c>
      <c r="Y36" s="123">
        <f>'Inputs by customer type'!Y41</f>
        <v>0</v>
      </c>
      <c r="Z36" s="123">
        <f>'Inputs by customer type'!Z41</f>
        <v>0</v>
      </c>
      <c r="AA36" s="123">
        <f>'Inputs by customer type'!AA41</f>
        <v>0</v>
      </c>
      <c r="AB36" s="123">
        <f>'Inputs by customer type'!AB41</f>
        <v>0</v>
      </c>
      <c r="AC36" s="123">
        <f>'Inputs by customer type'!AC41</f>
        <v>0</v>
      </c>
      <c r="AD36" s="123">
        <f>'Inputs by customer type'!AD41</f>
        <v>0</v>
      </c>
      <c r="AE36" s="123">
        <f>'Inputs by customer type'!AE41</f>
        <v>0</v>
      </c>
      <c r="AF36" s="123">
        <f>'Inputs by customer type'!AF41</f>
        <v>0</v>
      </c>
      <c r="AG36" s="123">
        <f>'Inputs by customer type'!AG41</f>
        <v>0</v>
      </c>
      <c r="AH36" s="123">
        <f>'Inputs by customer type'!AH41</f>
        <v>0</v>
      </c>
      <c r="AI36" s="123">
        <f>'Inputs by customer type'!AI41</f>
        <v>0</v>
      </c>
      <c r="AJ36" s="123">
        <f>'Inputs by customer type'!AJ41</f>
        <v>0</v>
      </c>
      <c r="AK36" s="123">
        <f>'Inputs by customer type'!AK41</f>
        <v>0</v>
      </c>
      <c r="AL36" s="123">
        <f>'Inputs by customer type'!AL41</f>
        <v>0</v>
      </c>
      <c r="AM36" s="123">
        <f>'Inputs by customer type'!AM41</f>
        <v>0</v>
      </c>
      <c r="AN36" s="123">
        <f>'Inputs by customer type'!AN41</f>
        <v>0</v>
      </c>
      <c r="AO36" s="123">
        <f>'Inputs by customer type'!AO41</f>
        <v>0</v>
      </c>
      <c r="AP36" s="123">
        <f>'Inputs by customer type'!AP41</f>
        <v>0</v>
      </c>
    </row>
    <row r="37" spans="3:44" x14ac:dyDescent="0.25">
      <c r="E37" s="28"/>
      <c r="F37" s="72" t="s">
        <v>248</v>
      </c>
      <c r="G37" s="72" t="s">
        <v>248</v>
      </c>
      <c r="J37" s="123">
        <f>'Inputs by customer type'!J42</f>
        <v>4183.7256135925154</v>
      </c>
      <c r="K37" s="123">
        <f>'Inputs by customer type'!K42</f>
        <v>54</v>
      </c>
      <c r="L37" s="123">
        <f>'Inputs by customer type'!L42</f>
        <v>0</v>
      </c>
      <c r="M37" s="123">
        <f>'Inputs by customer type'!M42</f>
        <v>48.315233102239723</v>
      </c>
      <c r="N37" s="123">
        <f>'Inputs by customer type'!N42</f>
        <v>0</v>
      </c>
      <c r="O37" s="123">
        <f>'Inputs by customer type'!O42</f>
        <v>0</v>
      </c>
      <c r="P37" s="123">
        <f>'Inputs by customer type'!P42</f>
        <v>0</v>
      </c>
      <c r="Q37" s="123">
        <f>'Inputs by customer type'!Q42</f>
        <v>0</v>
      </c>
      <c r="R37" s="123">
        <f>'Inputs by customer type'!R42</f>
        <v>0</v>
      </c>
      <c r="S37" s="123">
        <f>'Inputs by customer type'!S42</f>
        <v>0</v>
      </c>
      <c r="T37" s="123">
        <f>'Inputs by customer type'!T42</f>
        <v>0</v>
      </c>
      <c r="U37" s="123">
        <f>'Inputs by customer type'!U42</f>
        <v>6.0370370370370372</v>
      </c>
      <c r="V37" s="123">
        <f>'Inputs by customer type'!V42</f>
        <v>1</v>
      </c>
      <c r="W37" s="123">
        <f>'Inputs by customer type'!W42</f>
        <v>0</v>
      </c>
      <c r="X37" s="123">
        <f>'Inputs by customer type'!X42</f>
        <v>0</v>
      </c>
      <c r="Y37" s="123">
        <f>'Inputs by customer type'!Y42</f>
        <v>2</v>
      </c>
      <c r="Z37" s="123">
        <f>'Inputs by customer type'!Z42</f>
        <v>0</v>
      </c>
      <c r="AA37" s="123">
        <f>'Inputs by customer type'!AA42</f>
        <v>0</v>
      </c>
      <c r="AB37" s="123">
        <f>'Inputs by customer type'!AB42</f>
        <v>0</v>
      </c>
      <c r="AC37" s="123">
        <f>'Inputs by customer type'!AC42</f>
        <v>0</v>
      </c>
      <c r="AD37" s="123">
        <f>'Inputs by customer type'!AD42</f>
        <v>0</v>
      </c>
      <c r="AE37" s="123">
        <f>'Inputs by customer type'!AE42</f>
        <v>0</v>
      </c>
      <c r="AF37" s="123">
        <f>'Inputs by customer type'!AF42</f>
        <v>0</v>
      </c>
      <c r="AG37" s="123">
        <f>'Inputs by customer type'!AG42</f>
        <v>0</v>
      </c>
      <c r="AH37" s="123">
        <f>'Inputs by customer type'!AH42</f>
        <v>0</v>
      </c>
      <c r="AI37" s="123">
        <f>'Inputs by customer type'!AI42</f>
        <v>0</v>
      </c>
      <c r="AJ37" s="123">
        <f>'Inputs by customer type'!AJ42</f>
        <v>0</v>
      </c>
      <c r="AK37" s="123">
        <f>'Inputs by customer type'!AK42</f>
        <v>0</v>
      </c>
      <c r="AL37" s="123">
        <f>'Inputs by customer type'!AL42</f>
        <v>0</v>
      </c>
      <c r="AM37" s="123">
        <f>'Inputs by customer type'!AM42</f>
        <v>0</v>
      </c>
      <c r="AN37" s="123">
        <f>'Inputs by customer type'!AN42</f>
        <v>0</v>
      </c>
      <c r="AO37" s="123">
        <f>'Inputs by customer type'!AO42</f>
        <v>0</v>
      </c>
      <c r="AP37" s="123">
        <f>'Inputs by customer type'!AP42</f>
        <v>0</v>
      </c>
    </row>
    <row r="38" spans="3:44" x14ac:dyDescent="0.25">
      <c r="E38" s="28"/>
      <c r="F38" s="72" t="s">
        <v>300</v>
      </c>
      <c r="G38" s="72" t="s">
        <v>301</v>
      </c>
      <c r="J38" s="123">
        <f>'Inputs by customer type'!J43</f>
        <v>0</v>
      </c>
      <c r="K38" s="123">
        <f>'Inputs by customer type'!K43</f>
        <v>0</v>
      </c>
      <c r="L38" s="123">
        <f>'Inputs by customer type'!L43</f>
        <v>0</v>
      </c>
      <c r="M38" s="123">
        <f>'Inputs by customer type'!M43</f>
        <v>0</v>
      </c>
      <c r="N38" s="123">
        <f>'Inputs by customer type'!N43</f>
        <v>0</v>
      </c>
      <c r="O38" s="123">
        <f>'Inputs by customer type'!O43</f>
        <v>0</v>
      </c>
      <c r="P38" s="123">
        <f>'Inputs by customer type'!P43</f>
        <v>0</v>
      </c>
      <c r="Q38" s="123">
        <f>'Inputs by customer type'!Q43</f>
        <v>0</v>
      </c>
      <c r="R38" s="123">
        <f>'Inputs by customer type'!R43</f>
        <v>0</v>
      </c>
      <c r="S38" s="123">
        <f>'Inputs by customer type'!S43</f>
        <v>0</v>
      </c>
      <c r="T38" s="123">
        <f>'Inputs by customer type'!T43</f>
        <v>0</v>
      </c>
      <c r="U38" s="123">
        <f>'Inputs by customer type'!U43</f>
        <v>1598.0899470899474</v>
      </c>
      <c r="V38" s="123">
        <f>'Inputs by customer type'!V43</f>
        <v>228.00000000000003</v>
      </c>
      <c r="W38" s="123">
        <f>'Inputs by customer type'!W43</f>
        <v>0</v>
      </c>
      <c r="X38" s="123">
        <f>'Inputs by customer type'!X43</f>
        <v>0</v>
      </c>
      <c r="Y38" s="123">
        <f>'Inputs by customer type'!Y43</f>
        <v>0</v>
      </c>
      <c r="Z38" s="123">
        <f>'Inputs by customer type'!Z43</f>
        <v>0</v>
      </c>
      <c r="AA38" s="123">
        <f>'Inputs by customer type'!AA43</f>
        <v>0</v>
      </c>
      <c r="AB38" s="123">
        <f>'Inputs by customer type'!AB43</f>
        <v>0</v>
      </c>
      <c r="AC38" s="123">
        <f>'Inputs by customer type'!AC43</f>
        <v>0</v>
      </c>
      <c r="AD38" s="123">
        <f>'Inputs by customer type'!AD43</f>
        <v>0</v>
      </c>
      <c r="AE38" s="123">
        <f>'Inputs by customer type'!AE43</f>
        <v>0</v>
      </c>
      <c r="AF38" s="123">
        <f>'Inputs by customer type'!AF43</f>
        <v>0</v>
      </c>
      <c r="AG38" s="123">
        <f>'Inputs by customer type'!AG43</f>
        <v>0</v>
      </c>
      <c r="AH38" s="123">
        <f>'Inputs by customer type'!AH43</f>
        <v>0</v>
      </c>
      <c r="AI38" s="123">
        <f>'Inputs by customer type'!AI43</f>
        <v>0</v>
      </c>
      <c r="AJ38" s="123">
        <f>'Inputs by customer type'!AJ43</f>
        <v>0</v>
      </c>
      <c r="AK38" s="123">
        <f>'Inputs by customer type'!AK43</f>
        <v>0</v>
      </c>
      <c r="AL38" s="123">
        <f>'Inputs by customer type'!AL43</f>
        <v>0</v>
      </c>
      <c r="AM38" s="123">
        <f>'Inputs by customer type'!AM43</f>
        <v>0</v>
      </c>
      <c r="AN38" s="123">
        <f>'Inputs by customer type'!AN43</f>
        <v>0</v>
      </c>
      <c r="AO38" s="123">
        <f>'Inputs by customer type'!AO43</f>
        <v>0</v>
      </c>
      <c r="AP38" s="123">
        <f>'Inputs by customer type'!AP43</f>
        <v>0</v>
      </c>
    </row>
    <row r="39" spans="3:44" x14ac:dyDescent="0.25">
      <c r="E39" s="28"/>
      <c r="F39" s="72" t="s">
        <v>302</v>
      </c>
      <c r="G39" s="72" t="s">
        <v>301</v>
      </c>
      <c r="J39" s="123">
        <f>'Inputs by customer type'!J44</f>
        <v>0</v>
      </c>
      <c r="K39" s="123">
        <f>'Inputs by customer type'!K44</f>
        <v>0</v>
      </c>
      <c r="L39" s="123">
        <f>'Inputs by customer type'!L44</f>
        <v>0</v>
      </c>
      <c r="M39" s="123">
        <f>'Inputs by customer type'!M44</f>
        <v>0</v>
      </c>
      <c r="N39" s="123">
        <f>'Inputs by customer type'!N44</f>
        <v>0</v>
      </c>
      <c r="O39" s="123">
        <f>'Inputs by customer type'!O44</f>
        <v>0</v>
      </c>
      <c r="P39" s="123">
        <f>'Inputs by customer type'!P44</f>
        <v>0</v>
      </c>
      <c r="Q39" s="123">
        <f>'Inputs by customer type'!Q44</f>
        <v>0</v>
      </c>
      <c r="R39" s="123">
        <f>'Inputs by customer type'!R44</f>
        <v>0</v>
      </c>
      <c r="S39" s="123">
        <f>'Inputs by customer type'!S44</f>
        <v>0</v>
      </c>
      <c r="T39" s="123">
        <f>'Inputs by customer type'!T44</f>
        <v>0</v>
      </c>
      <c r="U39" s="123">
        <f>'Inputs by customer type'!U44</f>
        <v>0</v>
      </c>
      <c r="V39" s="123">
        <f>'Inputs by customer type'!V44</f>
        <v>0</v>
      </c>
      <c r="W39" s="123">
        <f>'Inputs by customer type'!W44</f>
        <v>0</v>
      </c>
      <c r="X39" s="123">
        <f>'Inputs by customer type'!X44</f>
        <v>0</v>
      </c>
      <c r="Y39" s="123">
        <f>'Inputs by customer type'!Y44</f>
        <v>0</v>
      </c>
      <c r="Z39" s="123">
        <f>'Inputs by customer type'!Z44</f>
        <v>0</v>
      </c>
      <c r="AA39" s="123">
        <f>'Inputs by customer type'!AA44</f>
        <v>0</v>
      </c>
      <c r="AB39" s="123">
        <f>'Inputs by customer type'!AB44</f>
        <v>0</v>
      </c>
      <c r="AC39" s="123">
        <f>'Inputs by customer type'!AC44</f>
        <v>0</v>
      </c>
      <c r="AD39" s="123">
        <f>'Inputs by customer type'!AD44</f>
        <v>0</v>
      </c>
      <c r="AE39" s="123">
        <f>'Inputs by customer type'!AE44</f>
        <v>0</v>
      </c>
      <c r="AF39" s="123">
        <f>'Inputs by customer type'!AF44</f>
        <v>0</v>
      </c>
      <c r="AG39" s="123">
        <f>'Inputs by customer type'!AG44</f>
        <v>0</v>
      </c>
      <c r="AH39" s="123">
        <f>'Inputs by customer type'!AH44</f>
        <v>0</v>
      </c>
      <c r="AI39" s="123">
        <f>'Inputs by customer type'!AI44</f>
        <v>0</v>
      </c>
      <c r="AJ39" s="123">
        <f>'Inputs by customer type'!AJ44</f>
        <v>0</v>
      </c>
      <c r="AK39" s="123">
        <f>'Inputs by customer type'!AK44</f>
        <v>0</v>
      </c>
      <c r="AL39" s="123">
        <f>'Inputs by customer type'!AL44</f>
        <v>0</v>
      </c>
      <c r="AM39" s="123">
        <f>'Inputs by customer type'!AM44</f>
        <v>0</v>
      </c>
      <c r="AN39" s="123">
        <f>'Inputs by customer type'!AN44</f>
        <v>0</v>
      </c>
      <c r="AO39" s="123">
        <f>'Inputs by customer type'!AO44</f>
        <v>0</v>
      </c>
      <c r="AP39" s="123">
        <f>'Inputs by customer type'!AP44</f>
        <v>0</v>
      </c>
    </row>
    <row r="40" spans="3:44" x14ac:dyDescent="0.25">
      <c r="E40" s="28"/>
      <c r="F40" s="80" t="s">
        <v>303</v>
      </c>
      <c r="G40" s="80" t="s">
        <v>304</v>
      </c>
      <c r="H40" s="37"/>
      <c r="I40" s="37"/>
      <c r="J40" s="128">
        <f>'Inputs by customer type'!J45</f>
        <v>0</v>
      </c>
      <c r="K40" s="128">
        <f>'Inputs by customer type'!K45</f>
        <v>0</v>
      </c>
      <c r="L40" s="128">
        <f>'Inputs by customer type'!L45</f>
        <v>0</v>
      </c>
      <c r="M40" s="128">
        <f>'Inputs by customer type'!M45</f>
        <v>0</v>
      </c>
      <c r="N40" s="128">
        <f>'Inputs by customer type'!N45</f>
        <v>0</v>
      </c>
      <c r="O40" s="128">
        <f>'Inputs by customer type'!O45</f>
        <v>0</v>
      </c>
      <c r="P40" s="128">
        <f>'Inputs by customer type'!P45</f>
        <v>0</v>
      </c>
      <c r="Q40" s="128">
        <f>'Inputs by customer type'!Q45</f>
        <v>0</v>
      </c>
      <c r="R40" s="128">
        <f>'Inputs by customer type'!R45</f>
        <v>0</v>
      </c>
      <c r="S40" s="128">
        <f>'Inputs by customer type'!S45</f>
        <v>0</v>
      </c>
      <c r="T40" s="128">
        <f>'Inputs by customer type'!T45</f>
        <v>0</v>
      </c>
      <c r="U40" s="128">
        <f>'Inputs by customer type'!U45</f>
        <v>88.821499249387699</v>
      </c>
      <c r="V40" s="128">
        <f>'Inputs by customer type'!V45</f>
        <v>0</v>
      </c>
      <c r="W40" s="128">
        <f>'Inputs by customer type'!W45</f>
        <v>0</v>
      </c>
      <c r="X40" s="128">
        <f>'Inputs by customer type'!X45</f>
        <v>0</v>
      </c>
      <c r="Y40" s="128">
        <f>'Inputs by customer type'!Y45</f>
        <v>0</v>
      </c>
      <c r="Z40" s="128">
        <f>'Inputs by customer type'!Z45</f>
        <v>0</v>
      </c>
      <c r="AA40" s="128">
        <f>'Inputs by customer type'!AA45</f>
        <v>0</v>
      </c>
      <c r="AB40" s="128">
        <f>'Inputs by customer type'!AB45</f>
        <v>0</v>
      </c>
      <c r="AC40" s="128">
        <f>'Inputs by customer type'!AC45</f>
        <v>0</v>
      </c>
      <c r="AD40" s="128">
        <f>'Inputs by customer type'!AD45</f>
        <v>0</v>
      </c>
      <c r="AE40" s="128">
        <f>'Inputs by customer type'!AE45</f>
        <v>0</v>
      </c>
      <c r="AF40" s="128">
        <f>'Inputs by customer type'!AF45</f>
        <v>0</v>
      </c>
      <c r="AG40" s="128">
        <f>'Inputs by customer type'!AG45</f>
        <v>0</v>
      </c>
      <c r="AH40" s="128">
        <f>'Inputs by customer type'!AH45</f>
        <v>0</v>
      </c>
      <c r="AI40" s="128">
        <f>'Inputs by customer type'!AI45</f>
        <v>0</v>
      </c>
      <c r="AJ40" s="128">
        <f>'Inputs by customer type'!AJ45</f>
        <v>0</v>
      </c>
      <c r="AK40" s="128">
        <f>'Inputs by customer type'!AK45</f>
        <v>0</v>
      </c>
      <c r="AL40" s="128">
        <f>'Inputs by customer type'!AL45</f>
        <v>0</v>
      </c>
      <c r="AM40" s="128">
        <f>'Inputs by customer type'!AM45</f>
        <v>0</v>
      </c>
      <c r="AN40" s="128">
        <f>'Inputs by customer type'!AN45</f>
        <v>0</v>
      </c>
      <c r="AO40" s="128">
        <f>'Inputs by customer type'!AO45</f>
        <v>0</v>
      </c>
      <c r="AP40" s="128">
        <f>'Inputs by customer type'!AP45</f>
        <v>0</v>
      </c>
    </row>
    <row r="41" spans="3:44" x14ac:dyDescent="0.25">
      <c r="E41" s="28"/>
      <c r="G41" s="13"/>
      <c r="J41" s="92"/>
      <c r="K41" s="92"/>
      <c r="L41" s="92"/>
      <c r="M41" s="92"/>
      <c r="N41" s="92"/>
      <c r="O41" s="92"/>
      <c r="P41" s="92"/>
      <c r="Q41" s="92"/>
      <c r="R41" s="92"/>
      <c r="S41" s="92"/>
      <c r="T41" s="92"/>
      <c r="U41" s="92"/>
      <c r="V41" s="92"/>
      <c r="W41" s="92"/>
      <c r="X41" s="92"/>
      <c r="Y41" s="92"/>
      <c r="Z41" s="92"/>
      <c r="AA41" s="92"/>
      <c r="AB41" s="92"/>
      <c r="AC41" s="92"/>
      <c r="AD41" s="92"/>
      <c r="AE41" s="92"/>
      <c r="AF41" s="92"/>
      <c r="AG41" s="92"/>
      <c r="AH41" s="92"/>
      <c r="AI41" s="92"/>
      <c r="AJ41" s="92"/>
      <c r="AK41" s="92"/>
      <c r="AL41" s="92"/>
      <c r="AM41" s="92"/>
      <c r="AN41" s="92"/>
      <c r="AO41" s="92"/>
      <c r="AP41" s="92"/>
    </row>
    <row r="42" spans="3:44" x14ac:dyDescent="0.25">
      <c r="C42" s="31" t="str">
        <f ca="1">INDEX('Version control'!$H$34:$H$56,MATCH($A$1,'Version control'!$F$34:$F$56,0),1)&amp;"-B: Tariff forecast"</f>
        <v>Section 117-B: Tariff forecast</v>
      </c>
      <c r="D42" s="31"/>
      <c r="E42" s="31"/>
      <c r="F42" s="31"/>
      <c r="G42" s="31"/>
      <c r="H42" s="31"/>
      <c r="I42" s="31"/>
      <c r="J42" s="93"/>
      <c r="K42" s="93"/>
      <c r="L42" s="93"/>
      <c r="M42" s="93"/>
      <c r="N42" s="93"/>
      <c r="O42" s="93"/>
      <c r="P42" s="93"/>
      <c r="Q42" s="93"/>
      <c r="R42" s="93"/>
      <c r="S42" s="93"/>
      <c r="T42" s="93"/>
      <c r="U42" s="93"/>
      <c r="V42" s="93"/>
      <c r="W42" s="93"/>
      <c r="X42" s="93"/>
      <c r="Y42" s="93"/>
      <c r="Z42" s="93"/>
      <c r="AA42" s="93"/>
      <c r="AB42" s="93"/>
      <c r="AC42" s="93"/>
      <c r="AD42" s="93"/>
      <c r="AE42" s="93"/>
      <c r="AF42" s="93"/>
      <c r="AG42" s="93"/>
      <c r="AH42" s="93"/>
      <c r="AI42" s="93"/>
      <c r="AJ42" s="93"/>
      <c r="AK42" s="93"/>
      <c r="AL42" s="93"/>
      <c r="AM42" s="93"/>
      <c r="AN42" s="93"/>
      <c r="AO42" s="93"/>
      <c r="AP42" s="93"/>
      <c r="AQ42" s="31"/>
      <c r="AR42" s="31"/>
    </row>
    <row r="43" spans="3:44" x14ac:dyDescent="0.25">
      <c r="D43" s="32"/>
      <c r="E43" s="28"/>
      <c r="G43" s="13"/>
      <c r="J43" s="92"/>
      <c r="K43" s="92"/>
      <c r="L43" s="92"/>
      <c r="M43" s="92"/>
      <c r="N43" s="92"/>
      <c r="O43" s="92"/>
      <c r="P43" s="92"/>
      <c r="Q43" s="92"/>
      <c r="R43" s="92"/>
      <c r="S43" s="92"/>
      <c r="T43" s="92"/>
      <c r="U43" s="92"/>
      <c r="V43" s="92"/>
      <c r="W43" s="92"/>
      <c r="X43" s="92"/>
      <c r="Y43" s="92"/>
      <c r="Z43" s="92"/>
      <c r="AA43" s="92"/>
      <c r="AB43" s="92"/>
      <c r="AC43" s="92"/>
      <c r="AD43" s="92"/>
      <c r="AE43" s="92"/>
      <c r="AF43" s="92"/>
      <c r="AG43" s="92"/>
      <c r="AH43" s="92"/>
      <c r="AI43" s="92"/>
      <c r="AJ43" s="92"/>
      <c r="AK43" s="92"/>
      <c r="AL43" s="92"/>
      <c r="AM43" s="92"/>
      <c r="AN43" s="92"/>
      <c r="AO43" s="92"/>
      <c r="AP43" s="92"/>
    </row>
    <row r="44" spans="3:44" x14ac:dyDescent="0.25">
      <c r="E44" s="32" t="s">
        <v>1050</v>
      </c>
      <c r="G44" s="13"/>
      <c r="I44" t="s">
        <v>190</v>
      </c>
      <c r="J44" s="92"/>
      <c r="K44" s="92"/>
      <c r="L44" s="92"/>
      <c r="M44" s="92"/>
      <c r="N44" s="92"/>
      <c r="O44" s="92"/>
      <c r="P44" s="92"/>
      <c r="Q44" s="92"/>
      <c r="R44" s="92"/>
      <c r="S44" s="92"/>
      <c r="T44" s="92"/>
      <c r="U44" s="92"/>
      <c r="V44" s="92"/>
      <c r="W44" s="92"/>
      <c r="X44" s="92"/>
      <c r="Y44" s="92"/>
      <c r="Z44" s="92"/>
      <c r="AA44" s="92"/>
      <c r="AB44" s="92"/>
      <c r="AC44" s="92"/>
      <c r="AD44" s="92"/>
      <c r="AE44" s="92"/>
      <c r="AF44" s="92"/>
      <c r="AG44" s="92"/>
      <c r="AH44" s="92"/>
      <c r="AI44" s="92"/>
      <c r="AJ44" s="92"/>
      <c r="AK44" s="92"/>
      <c r="AL44" s="92"/>
      <c r="AM44" s="92"/>
      <c r="AN44" s="92"/>
      <c r="AO44" s="92"/>
      <c r="AP44" s="92"/>
      <c r="AR44" t="s">
        <v>191</v>
      </c>
    </row>
    <row r="45" spans="3:44" x14ac:dyDescent="0.25">
      <c r="F45" s="23" t="s">
        <v>192</v>
      </c>
      <c r="G45" s="85" t="s">
        <v>327</v>
      </c>
      <c r="H45" s="318"/>
      <c r="I45" s="302"/>
      <c r="J45" s="318">
        <f>Rounding!J89</f>
        <v>3.6629999999999998</v>
      </c>
      <c r="K45" s="318">
        <f>Rounding!K89</f>
        <v>4.008</v>
      </c>
      <c r="L45" s="318">
        <f>Rounding!L89</f>
        <v>2.339</v>
      </c>
      <c r="M45" s="318">
        <f>Rounding!M89</f>
        <v>3.722</v>
      </c>
      <c r="N45" s="318">
        <f>Rounding!N89</f>
        <v>3.9180000000000001</v>
      </c>
      <c r="O45" s="318">
        <f>Rounding!O89</f>
        <v>2.2589999999999999</v>
      </c>
      <c r="P45" s="318">
        <f>Rounding!P89</f>
        <v>3.5950000000000002</v>
      </c>
      <c r="Q45" s="318">
        <f>Rounding!Q89</f>
        <v>3.0259999999999998</v>
      </c>
      <c r="R45" s="318">
        <f>Rounding!R89</f>
        <v>2.2679999999999998</v>
      </c>
      <c r="S45" s="318">
        <f>Rounding!S89</f>
        <v>10.768000000000001</v>
      </c>
      <c r="T45" s="318">
        <f>Rounding!T89</f>
        <v>11.629</v>
      </c>
      <c r="U45" s="318">
        <f>Rounding!U89</f>
        <v>8.2940000000000005</v>
      </c>
      <c r="V45" s="318">
        <f>Rounding!V89</f>
        <v>5.5010000000000003</v>
      </c>
      <c r="W45" s="318">
        <f>Rounding!W89</f>
        <v>4.0730000000000004</v>
      </c>
      <c r="X45" s="318">
        <f>Rounding!X89</f>
        <v>4.7549999999999999</v>
      </c>
      <c r="Y45" s="318">
        <f>Rounding!Y89</f>
        <v>4.8419999999999996</v>
      </c>
      <c r="Z45" s="318">
        <f>Rounding!Z89</f>
        <v>5.7080000000000002</v>
      </c>
      <c r="AA45" s="318">
        <f>Rounding!AA89</f>
        <v>4.758</v>
      </c>
      <c r="AB45" s="318">
        <f>Rounding!AB89</f>
        <v>19.914000000000001</v>
      </c>
      <c r="AC45" s="318">
        <f>Rounding!AC89</f>
        <v>-1.284</v>
      </c>
      <c r="AD45" s="318">
        <f>Rounding!AD89</f>
        <v>-1.1519999999999999</v>
      </c>
      <c r="AE45" s="318">
        <f>Rounding!AE89</f>
        <v>-1.284</v>
      </c>
      <c r="AF45" s="318">
        <f>Rounding!AF89</f>
        <v>-1.284</v>
      </c>
      <c r="AG45" s="318">
        <f>Rounding!AG89</f>
        <v>-6.7720000000000002</v>
      </c>
      <c r="AH45" s="318">
        <f>Rounding!AH89</f>
        <v>-6.7720000000000002</v>
      </c>
      <c r="AI45" s="318">
        <f>Rounding!AI89</f>
        <v>-1.1519999999999999</v>
      </c>
      <c r="AJ45" s="318">
        <f>Rounding!AJ89</f>
        <v>-1.1519999999999999</v>
      </c>
      <c r="AK45" s="318">
        <f>Rounding!AK89</f>
        <v>-6.0880000000000001</v>
      </c>
      <c r="AL45" s="318">
        <f>Rounding!AL89</f>
        <v>-6.0880000000000001</v>
      </c>
      <c r="AM45" s="318">
        <f>Rounding!AM89</f>
        <v>-0.61599999999999999</v>
      </c>
      <c r="AN45" s="318">
        <f>Rounding!AN89</f>
        <v>-0.61599999999999999</v>
      </c>
      <c r="AO45" s="318">
        <f>Rounding!AO89</f>
        <v>-3.327</v>
      </c>
      <c r="AP45" s="318">
        <f>Rounding!AP89</f>
        <v>-3.327</v>
      </c>
      <c r="AQ45" s="304"/>
      <c r="AR45" s="304"/>
    </row>
    <row r="46" spans="3:44" x14ac:dyDescent="0.25">
      <c r="E46" s="28"/>
      <c r="F46" t="s">
        <v>193</v>
      </c>
      <c r="G46" s="13" t="s">
        <v>327</v>
      </c>
      <c r="H46" s="319"/>
      <c r="I46" s="304"/>
      <c r="J46" s="319">
        <f>Rounding!J90</f>
        <v>0</v>
      </c>
      <c r="K46" s="319">
        <f>Rounding!K90</f>
        <v>2.3559999999999999</v>
      </c>
      <c r="L46" s="319">
        <f>Rounding!L90</f>
        <v>0</v>
      </c>
      <c r="M46" s="319">
        <f>Rounding!M90</f>
        <v>0</v>
      </c>
      <c r="N46" s="319">
        <f>Rounding!N90</f>
        <v>2.226</v>
      </c>
      <c r="O46" s="319">
        <f>Rounding!O90</f>
        <v>0</v>
      </c>
      <c r="P46" s="319">
        <f>Rounding!P90</f>
        <v>2.1819999999999999</v>
      </c>
      <c r="Q46" s="319">
        <f>Rounding!Q90</f>
        <v>1.992</v>
      </c>
      <c r="R46" s="319">
        <f>Rounding!R90</f>
        <v>1.7270000000000001</v>
      </c>
      <c r="S46" s="319">
        <f>Rounding!S90</f>
        <v>2.9119999999999999</v>
      </c>
      <c r="T46" s="319">
        <f>Rounding!T90</f>
        <v>3.044</v>
      </c>
      <c r="U46" s="319">
        <f>Rounding!U90</f>
        <v>2.5219999999999998</v>
      </c>
      <c r="V46" s="319">
        <f>Rounding!V90</f>
        <v>2.0750000000000002</v>
      </c>
      <c r="W46" s="319">
        <f>Rounding!W90</f>
        <v>1.849</v>
      </c>
      <c r="X46" s="319">
        <f>Rounding!X90</f>
        <v>0</v>
      </c>
      <c r="Y46" s="319">
        <f>Rounding!Y90</f>
        <v>0</v>
      </c>
      <c r="Z46" s="319">
        <f>Rounding!Z90</f>
        <v>0</v>
      </c>
      <c r="AA46" s="319">
        <f>Rounding!AA90</f>
        <v>0</v>
      </c>
      <c r="AB46" s="319">
        <f>Rounding!AB90</f>
        <v>4.7190000000000003</v>
      </c>
      <c r="AC46" s="319">
        <f>Rounding!AC90</f>
        <v>0</v>
      </c>
      <c r="AD46" s="319">
        <f>Rounding!AD90</f>
        <v>0</v>
      </c>
      <c r="AE46" s="319">
        <f>Rounding!AE90</f>
        <v>0</v>
      </c>
      <c r="AF46" s="319">
        <f>Rounding!AF90</f>
        <v>0</v>
      </c>
      <c r="AG46" s="319">
        <f>Rounding!AG90</f>
        <v>-1.0429999999999999</v>
      </c>
      <c r="AH46" s="319">
        <f>Rounding!AH90</f>
        <v>-1.0429999999999999</v>
      </c>
      <c r="AI46" s="319">
        <f>Rounding!AI90</f>
        <v>0</v>
      </c>
      <c r="AJ46" s="319">
        <f>Rounding!AJ90</f>
        <v>0</v>
      </c>
      <c r="AK46" s="319">
        <f>Rounding!AK90</f>
        <v>-0.93400000000000005</v>
      </c>
      <c r="AL46" s="319">
        <f>Rounding!AL90</f>
        <v>-0.93400000000000005</v>
      </c>
      <c r="AM46" s="319">
        <f>Rounding!AM90</f>
        <v>0</v>
      </c>
      <c r="AN46" s="319">
        <f>Rounding!AN90</f>
        <v>0</v>
      </c>
      <c r="AO46" s="319">
        <f>Rounding!AO90</f>
        <v>-0.49099999999999999</v>
      </c>
      <c r="AP46" s="319">
        <f>Rounding!AP90</f>
        <v>-0.49099999999999999</v>
      </c>
      <c r="AQ46" s="304"/>
      <c r="AR46" s="304"/>
    </row>
    <row r="47" spans="3:44" x14ac:dyDescent="0.25">
      <c r="E47" s="28"/>
      <c r="F47" t="s">
        <v>194</v>
      </c>
      <c r="G47" s="13" t="s">
        <v>327</v>
      </c>
      <c r="H47" s="319"/>
      <c r="I47" s="304"/>
      <c r="J47" s="319">
        <f>Rounding!J91</f>
        <v>0</v>
      </c>
      <c r="K47" s="319">
        <f>Rounding!K91</f>
        <v>0</v>
      </c>
      <c r="L47" s="319">
        <f>Rounding!L91</f>
        <v>0</v>
      </c>
      <c r="M47" s="319">
        <f>Rounding!M91</f>
        <v>0</v>
      </c>
      <c r="N47" s="319">
        <f>Rounding!N91</f>
        <v>0</v>
      </c>
      <c r="O47" s="319">
        <f>Rounding!O91</f>
        <v>0</v>
      </c>
      <c r="P47" s="319">
        <f>Rounding!P91</f>
        <v>0</v>
      </c>
      <c r="Q47" s="319">
        <f>Rounding!Q91</f>
        <v>0</v>
      </c>
      <c r="R47" s="319">
        <f>Rounding!R91</f>
        <v>0</v>
      </c>
      <c r="S47" s="319">
        <f>Rounding!S91</f>
        <v>2.1509999999999998</v>
      </c>
      <c r="T47" s="319">
        <f>Rounding!T91</f>
        <v>2.2130000000000001</v>
      </c>
      <c r="U47" s="319">
        <f>Rounding!U91</f>
        <v>1.968</v>
      </c>
      <c r="V47" s="319">
        <f>Rounding!V91</f>
        <v>1.758</v>
      </c>
      <c r="W47" s="319">
        <f>Rounding!W91</f>
        <v>1.6519999999999999</v>
      </c>
      <c r="X47" s="319">
        <f>Rounding!X91</f>
        <v>0</v>
      </c>
      <c r="Y47" s="319">
        <f>Rounding!Y91</f>
        <v>0</v>
      </c>
      <c r="Z47" s="319">
        <f>Rounding!Z91</f>
        <v>0</v>
      </c>
      <c r="AA47" s="319">
        <f>Rounding!AA91</f>
        <v>0</v>
      </c>
      <c r="AB47" s="319">
        <f>Rounding!AB91</f>
        <v>3.8780000000000001</v>
      </c>
      <c r="AC47" s="319">
        <f>Rounding!AC91</f>
        <v>0</v>
      </c>
      <c r="AD47" s="319">
        <f>Rounding!AD91</f>
        <v>0</v>
      </c>
      <c r="AE47" s="319">
        <f>Rounding!AE91</f>
        <v>0</v>
      </c>
      <c r="AF47" s="319">
        <f>Rounding!AF91</f>
        <v>0</v>
      </c>
      <c r="AG47" s="319">
        <f>Rounding!AG91</f>
        <v>-0.48799999999999999</v>
      </c>
      <c r="AH47" s="319">
        <f>Rounding!AH91</f>
        <v>-0.48799999999999999</v>
      </c>
      <c r="AI47" s="319">
        <f>Rounding!AI91</f>
        <v>0</v>
      </c>
      <c r="AJ47" s="319">
        <f>Rounding!AJ91</f>
        <v>0</v>
      </c>
      <c r="AK47" s="319">
        <f>Rounding!AK91</f>
        <v>-0.437</v>
      </c>
      <c r="AL47" s="319">
        <f>Rounding!AL91</f>
        <v>-0.437</v>
      </c>
      <c r="AM47" s="319">
        <f>Rounding!AM91</f>
        <v>0</v>
      </c>
      <c r="AN47" s="319">
        <f>Rounding!AN91</f>
        <v>0</v>
      </c>
      <c r="AO47" s="319">
        <f>Rounding!AO91</f>
        <v>-0.22900000000000001</v>
      </c>
      <c r="AP47" s="319">
        <f>Rounding!AP91</f>
        <v>-0.22900000000000001</v>
      </c>
      <c r="AQ47" s="304"/>
      <c r="AR47" s="304"/>
    </row>
    <row r="48" spans="3:44" x14ac:dyDescent="0.25">
      <c r="E48" s="28"/>
      <c r="F48" t="s">
        <v>195</v>
      </c>
      <c r="G48" s="13" t="s">
        <v>328</v>
      </c>
      <c r="H48" s="51"/>
      <c r="J48" s="123">
        <f>Rounding!J92</f>
        <v>6.72</v>
      </c>
      <c r="K48" s="123">
        <f>Rounding!K92</f>
        <v>6.72</v>
      </c>
      <c r="L48" s="123">
        <f>Rounding!L92</f>
        <v>0</v>
      </c>
      <c r="M48" s="123">
        <f>Rounding!M92</f>
        <v>9.49</v>
      </c>
      <c r="N48" s="123">
        <f>Rounding!N92</f>
        <v>9.49</v>
      </c>
      <c r="O48" s="123">
        <f>Rounding!O92</f>
        <v>0</v>
      </c>
      <c r="P48" s="123">
        <f>Rounding!P92</f>
        <v>82.38</v>
      </c>
      <c r="Q48" s="123">
        <f>Rounding!Q92</f>
        <v>50.97</v>
      </c>
      <c r="R48" s="123">
        <f>Rounding!R92</f>
        <v>2503.06</v>
      </c>
      <c r="S48" s="123">
        <f>Rounding!S92</f>
        <v>6.72</v>
      </c>
      <c r="T48" s="123">
        <f>Rounding!T92</f>
        <v>9.49</v>
      </c>
      <c r="U48" s="123">
        <f>Rounding!U92</f>
        <v>26.85</v>
      </c>
      <c r="V48" s="123">
        <f>Rounding!V92</f>
        <v>50.97</v>
      </c>
      <c r="W48" s="123">
        <f>Rounding!W92</f>
        <v>298.74</v>
      </c>
      <c r="X48" s="123">
        <f>Rounding!X92</f>
        <v>0</v>
      </c>
      <c r="Y48" s="123">
        <f>Rounding!Y92</f>
        <v>0</v>
      </c>
      <c r="Z48" s="123">
        <f>Rounding!Z92</f>
        <v>0</v>
      </c>
      <c r="AA48" s="123">
        <f>Rounding!AA92</f>
        <v>0</v>
      </c>
      <c r="AB48" s="123">
        <f>Rounding!AB92</f>
        <v>0</v>
      </c>
      <c r="AC48" s="123">
        <f>Rounding!AC92</f>
        <v>0</v>
      </c>
      <c r="AD48" s="123">
        <f>Rounding!AD92</f>
        <v>0</v>
      </c>
      <c r="AE48" s="123">
        <f>Rounding!AE92</f>
        <v>0</v>
      </c>
      <c r="AF48" s="123">
        <f>Rounding!AF92</f>
        <v>0</v>
      </c>
      <c r="AG48" s="123">
        <f>Rounding!AG92</f>
        <v>0</v>
      </c>
      <c r="AH48" s="123">
        <f>Rounding!AH92</f>
        <v>0</v>
      </c>
      <c r="AI48" s="123">
        <f>Rounding!AI92</f>
        <v>0</v>
      </c>
      <c r="AJ48" s="123">
        <f>Rounding!AJ92</f>
        <v>0</v>
      </c>
      <c r="AK48" s="123">
        <f>Rounding!AK92</f>
        <v>0</v>
      </c>
      <c r="AL48" s="123">
        <f>Rounding!AL92</f>
        <v>0</v>
      </c>
      <c r="AM48" s="123">
        <f>Rounding!AM92</f>
        <v>414.59</v>
      </c>
      <c r="AN48" s="123">
        <f>Rounding!AN92</f>
        <v>414.59</v>
      </c>
      <c r="AO48" s="123">
        <f>Rounding!AO92</f>
        <v>414.59</v>
      </c>
      <c r="AP48" s="123">
        <f>Rounding!AP92</f>
        <v>414.59</v>
      </c>
    </row>
    <row r="49" spans="3:44" x14ac:dyDescent="0.25">
      <c r="E49" s="28"/>
      <c r="F49" t="s">
        <v>196</v>
      </c>
      <c r="G49" s="13" t="s">
        <v>329</v>
      </c>
      <c r="H49" s="51"/>
      <c r="J49" s="123">
        <f>Rounding!J93</f>
        <v>0</v>
      </c>
      <c r="K49" s="123">
        <f>Rounding!K93</f>
        <v>0</v>
      </c>
      <c r="L49" s="123">
        <f>Rounding!L93</f>
        <v>0</v>
      </c>
      <c r="M49" s="123">
        <f>Rounding!M93</f>
        <v>0</v>
      </c>
      <c r="N49" s="123">
        <f>Rounding!N93</f>
        <v>0</v>
      </c>
      <c r="O49" s="123">
        <f>Rounding!O93</f>
        <v>0</v>
      </c>
      <c r="P49" s="123">
        <f>Rounding!P93</f>
        <v>0</v>
      </c>
      <c r="Q49" s="123">
        <f>Rounding!Q93</f>
        <v>0</v>
      </c>
      <c r="R49" s="123">
        <f>Rounding!R93</f>
        <v>0</v>
      </c>
      <c r="S49" s="123">
        <f>Rounding!S93</f>
        <v>0</v>
      </c>
      <c r="T49" s="123">
        <f>Rounding!T93</f>
        <v>0</v>
      </c>
      <c r="U49" s="123">
        <f>Rounding!U93</f>
        <v>4.76</v>
      </c>
      <c r="V49" s="123">
        <f>Rounding!V93</f>
        <v>7.79</v>
      </c>
      <c r="W49" s="123">
        <f>Rounding!W93</f>
        <v>10.49</v>
      </c>
      <c r="X49" s="123">
        <f>Rounding!X93</f>
        <v>0</v>
      </c>
      <c r="Y49" s="123">
        <f>Rounding!Y93</f>
        <v>0</v>
      </c>
      <c r="Z49" s="123">
        <f>Rounding!Z93</f>
        <v>0</v>
      </c>
      <c r="AA49" s="123">
        <f>Rounding!AA93</f>
        <v>0</v>
      </c>
      <c r="AB49" s="123">
        <f>Rounding!AB93</f>
        <v>0</v>
      </c>
      <c r="AC49" s="123">
        <f>Rounding!AC93</f>
        <v>0</v>
      </c>
      <c r="AD49" s="123">
        <f>Rounding!AD93</f>
        <v>0</v>
      </c>
      <c r="AE49" s="123">
        <f>Rounding!AE93</f>
        <v>0</v>
      </c>
      <c r="AF49" s="123">
        <f>Rounding!AF93</f>
        <v>0</v>
      </c>
      <c r="AG49" s="123">
        <f>Rounding!AG93</f>
        <v>0</v>
      </c>
      <c r="AH49" s="123">
        <f>Rounding!AH93</f>
        <v>0</v>
      </c>
      <c r="AI49" s="123">
        <f>Rounding!AI93</f>
        <v>0</v>
      </c>
      <c r="AJ49" s="123">
        <f>Rounding!AJ93</f>
        <v>0</v>
      </c>
      <c r="AK49" s="123">
        <f>Rounding!AK93</f>
        <v>0</v>
      </c>
      <c r="AL49" s="123">
        <f>Rounding!AL93</f>
        <v>0</v>
      </c>
      <c r="AM49" s="123">
        <f>Rounding!AM93</f>
        <v>0</v>
      </c>
      <c r="AN49" s="123">
        <f>Rounding!AN93</f>
        <v>0</v>
      </c>
      <c r="AO49" s="123">
        <f>Rounding!AO93</f>
        <v>0</v>
      </c>
      <c r="AP49" s="123">
        <f>Rounding!AP93</f>
        <v>0</v>
      </c>
    </row>
    <row r="50" spans="3:44" x14ac:dyDescent="0.25">
      <c r="E50" s="28"/>
      <c r="F50" t="s">
        <v>197</v>
      </c>
      <c r="G50" s="13" t="s">
        <v>329</v>
      </c>
      <c r="H50" s="51"/>
      <c r="J50" s="123">
        <f>Rounding!J94</f>
        <v>0</v>
      </c>
      <c r="K50" s="123">
        <f>Rounding!K94</f>
        <v>0</v>
      </c>
      <c r="L50" s="123">
        <f>Rounding!L94</f>
        <v>0</v>
      </c>
      <c r="M50" s="123">
        <f>Rounding!M94</f>
        <v>0</v>
      </c>
      <c r="N50" s="123">
        <f>Rounding!N94</f>
        <v>0</v>
      </c>
      <c r="O50" s="123">
        <f>Rounding!O94</f>
        <v>0</v>
      </c>
      <c r="P50" s="123">
        <f>Rounding!P94</f>
        <v>0</v>
      </c>
      <c r="Q50" s="123">
        <f>Rounding!Q94</f>
        <v>0</v>
      </c>
      <c r="R50" s="123">
        <f>Rounding!R94</f>
        <v>0</v>
      </c>
      <c r="S50" s="123">
        <f>Rounding!S94</f>
        <v>0</v>
      </c>
      <c r="T50" s="123">
        <f>Rounding!T94</f>
        <v>0</v>
      </c>
      <c r="U50" s="123">
        <f>Rounding!U94</f>
        <v>8.74</v>
      </c>
      <c r="V50" s="123">
        <f>Rounding!V94</f>
        <v>10.79</v>
      </c>
      <c r="W50" s="123">
        <f>Rounding!W94</f>
        <v>12.37</v>
      </c>
      <c r="X50" s="123">
        <f>Rounding!X94</f>
        <v>0</v>
      </c>
      <c r="Y50" s="123">
        <f>Rounding!Y94</f>
        <v>0</v>
      </c>
      <c r="Z50" s="123">
        <f>Rounding!Z94</f>
        <v>0</v>
      </c>
      <c r="AA50" s="123">
        <f>Rounding!AA94</f>
        <v>0</v>
      </c>
      <c r="AB50" s="123">
        <f>Rounding!AB94</f>
        <v>0</v>
      </c>
      <c r="AC50" s="123">
        <f>Rounding!AC94</f>
        <v>0</v>
      </c>
      <c r="AD50" s="123">
        <f>Rounding!AD94</f>
        <v>0</v>
      </c>
      <c r="AE50" s="123">
        <f>Rounding!AE94</f>
        <v>0</v>
      </c>
      <c r="AF50" s="123">
        <f>Rounding!AF94</f>
        <v>0</v>
      </c>
      <c r="AG50" s="123">
        <f>Rounding!AG94</f>
        <v>0</v>
      </c>
      <c r="AH50" s="123">
        <f>Rounding!AH94</f>
        <v>0</v>
      </c>
      <c r="AI50" s="123">
        <f>Rounding!AI94</f>
        <v>0</v>
      </c>
      <c r="AJ50" s="123">
        <f>Rounding!AJ94</f>
        <v>0</v>
      </c>
      <c r="AK50" s="123">
        <f>Rounding!AK94</f>
        <v>0</v>
      </c>
      <c r="AL50" s="123">
        <f>Rounding!AL94</f>
        <v>0</v>
      </c>
      <c r="AM50" s="123">
        <f>Rounding!AM94</f>
        <v>0</v>
      </c>
      <c r="AN50" s="123">
        <f>Rounding!AN94</f>
        <v>0</v>
      </c>
      <c r="AO50" s="123">
        <f>Rounding!AO94</f>
        <v>0</v>
      </c>
      <c r="AP50" s="123">
        <f>Rounding!AP94</f>
        <v>0</v>
      </c>
    </row>
    <row r="51" spans="3:44" x14ac:dyDescent="0.25">
      <c r="E51" s="28"/>
      <c r="F51" s="37" t="s">
        <v>198</v>
      </c>
      <c r="G51" s="87" t="s">
        <v>330</v>
      </c>
      <c r="H51" s="323"/>
      <c r="I51" s="308"/>
      <c r="J51" s="323">
        <f>Rounding!J95</f>
        <v>0</v>
      </c>
      <c r="K51" s="323">
        <f>Rounding!K95</f>
        <v>0</v>
      </c>
      <c r="L51" s="323">
        <f>Rounding!L95</f>
        <v>0</v>
      </c>
      <c r="M51" s="323">
        <f>Rounding!M95</f>
        <v>0</v>
      </c>
      <c r="N51" s="323">
        <f>Rounding!N95</f>
        <v>0</v>
      </c>
      <c r="O51" s="323">
        <f>Rounding!O95</f>
        <v>0</v>
      </c>
      <c r="P51" s="323">
        <f>Rounding!P95</f>
        <v>0</v>
      </c>
      <c r="Q51" s="323">
        <f>Rounding!Q95</f>
        <v>0</v>
      </c>
      <c r="R51" s="323">
        <f>Rounding!R95</f>
        <v>0</v>
      </c>
      <c r="S51" s="323">
        <f>Rounding!S95</f>
        <v>0</v>
      </c>
      <c r="T51" s="323">
        <f>Rounding!T95</f>
        <v>0</v>
      </c>
      <c r="U51" s="323">
        <f>Rounding!U95</f>
        <v>0.27300000000000002</v>
      </c>
      <c r="V51" s="323">
        <f>Rounding!V95</f>
        <v>0.13700000000000001</v>
      </c>
      <c r="W51" s="323">
        <f>Rounding!W95</f>
        <v>9.0999999999999998E-2</v>
      </c>
      <c r="X51" s="323">
        <f>Rounding!X95</f>
        <v>0</v>
      </c>
      <c r="Y51" s="323">
        <f>Rounding!Y95</f>
        <v>0</v>
      </c>
      <c r="Z51" s="323">
        <f>Rounding!Z95</f>
        <v>0</v>
      </c>
      <c r="AA51" s="323">
        <f>Rounding!AA95</f>
        <v>0</v>
      </c>
      <c r="AB51" s="323">
        <f>Rounding!AB95</f>
        <v>0</v>
      </c>
      <c r="AC51" s="323">
        <f>Rounding!AC95</f>
        <v>0</v>
      </c>
      <c r="AD51" s="323">
        <f>Rounding!AD95</f>
        <v>0</v>
      </c>
      <c r="AE51" s="323">
        <f>Rounding!AE95</f>
        <v>0.26500000000000001</v>
      </c>
      <c r="AF51" s="323">
        <f>Rounding!AF95</f>
        <v>0</v>
      </c>
      <c r="AG51" s="323">
        <f>Rounding!AG95</f>
        <v>0.26500000000000001</v>
      </c>
      <c r="AH51" s="323">
        <f>Rounding!AH95</f>
        <v>0</v>
      </c>
      <c r="AI51" s="323">
        <f>Rounding!AI95</f>
        <v>0.22500000000000001</v>
      </c>
      <c r="AJ51" s="323">
        <f>Rounding!AJ95</f>
        <v>0</v>
      </c>
      <c r="AK51" s="323">
        <f>Rounding!AK95</f>
        <v>0.22500000000000001</v>
      </c>
      <c r="AL51" s="323">
        <f>Rounding!AL95</f>
        <v>0</v>
      </c>
      <c r="AM51" s="323">
        <f>Rounding!AM95</f>
        <v>0.20599999999999999</v>
      </c>
      <c r="AN51" s="323">
        <f>Rounding!AN95</f>
        <v>0</v>
      </c>
      <c r="AO51" s="323">
        <f>Rounding!AO95</f>
        <v>0.20599999999999999</v>
      </c>
      <c r="AP51" s="323">
        <f>Rounding!AP95</f>
        <v>0</v>
      </c>
      <c r="AQ51" s="304"/>
      <c r="AR51" s="304"/>
    </row>
    <row r="52" spans="3:44" x14ac:dyDescent="0.25">
      <c r="E52" s="28"/>
      <c r="G52" s="13"/>
      <c r="J52" s="92"/>
      <c r="K52" s="92"/>
      <c r="L52" s="92"/>
      <c r="M52" s="92"/>
      <c r="N52" s="92"/>
      <c r="O52" s="92"/>
      <c r="P52" s="92"/>
      <c r="Q52" s="92"/>
      <c r="R52" s="92"/>
      <c r="S52" s="92"/>
      <c r="T52" s="92"/>
      <c r="U52" s="92"/>
      <c r="V52" s="92"/>
      <c r="W52" s="92"/>
      <c r="X52" s="92"/>
      <c r="Y52" s="92"/>
      <c r="Z52" s="92"/>
      <c r="AA52" s="92"/>
      <c r="AB52" s="92"/>
      <c r="AC52" s="92"/>
      <c r="AD52" s="92"/>
      <c r="AE52" s="92"/>
      <c r="AF52" s="92"/>
      <c r="AG52" s="92"/>
      <c r="AH52" s="92"/>
      <c r="AI52" s="92"/>
      <c r="AJ52" s="92"/>
      <c r="AK52" s="92"/>
      <c r="AL52" s="92"/>
      <c r="AM52" s="92"/>
      <c r="AN52" s="92"/>
      <c r="AO52" s="92"/>
      <c r="AP52" s="92"/>
    </row>
    <row r="53" spans="3:44" x14ac:dyDescent="0.25">
      <c r="E53" s="32" t="s">
        <v>1051</v>
      </c>
      <c r="G53" s="13"/>
      <c r="I53" t="s">
        <v>190</v>
      </c>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82"/>
      <c r="AL53" s="82"/>
      <c r="AM53" s="82"/>
      <c r="AN53" s="82"/>
      <c r="AO53" s="82"/>
      <c r="AP53" s="82"/>
      <c r="AR53" t="s">
        <v>191</v>
      </c>
    </row>
    <row r="54" spans="3:44" x14ac:dyDescent="0.25">
      <c r="F54" s="23" t="s">
        <v>192</v>
      </c>
      <c r="G54" s="85" t="s">
        <v>327</v>
      </c>
      <c r="H54" s="318"/>
      <c r="I54" s="302"/>
      <c r="J54" s="318">
        <f>Rounding!J98</f>
        <v>2.5859999999999999</v>
      </c>
      <c r="K54" s="318">
        <f>Rounding!K98</f>
        <v>2.83</v>
      </c>
      <c r="L54" s="318">
        <f>Rounding!L98</f>
        <v>1.651</v>
      </c>
      <c r="M54" s="318">
        <f>Rounding!M98</f>
        <v>2.6280000000000001</v>
      </c>
      <c r="N54" s="318">
        <f>Rounding!N98</f>
        <v>2.766</v>
      </c>
      <c r="O54" s="318">
        <f>Rounding!O98</f>
        <v>1.595</v>
      </c>
      <c r="P54" s="318">
        <f>Rounding!P98</f>
        <v>2.5379999999999998</v>
      </c>
      <c r="Q54" s="318">
        <f>Rounding!Q98</f>
        <v>0</v>
      </c>
      <c r="R54" s="318">
        <f>Rounding!R98</f>
        <v>0</v>
      </c>
      <c r="S54" s="318">
        <f>Rounding!S98</f>
        <v>7.6020000000000003</v>
      </c>
      <c r="T54" s="318">
        <f>Rounding!T98</f>
        <v>8.2100000000000009</v>
      </c>
      <c r="U54" s="318">
        <f>Rounding!U98</f>
        <v>5.8559999999999999</v>
      </c>
      <c r="V54" s="318">
        <f>Rounding!V98</f>
        <v>0</v>
      </c>
      <c r="W54" s="318">
        <f>Rounding!W98</f>
        <v>0</v>
      </c>
      <c r="X54" s="318">
        <f>Rounding!X98</f>
        <v>3.3570000000000002</v>
      </c>
      <c r="Y54" s="318">
        <f>Rounding!Y98</f>
        <v>3.4180000000000001</v>
      </c>
      <c r="Z54" s="318">
        <f>Rounding!Z98</f>
        <v>4.03</v>
      </c>
      <c r="AA54" s="318">
        <f>Rounding!AA98</f>
        <v>3.359</v>
      </c>
      <c r="AB54" s="318">
        <f>Rounding!AB98</f>
        <v>14.058999999999999</v>
      </c>
      <c r="AC54" s="318">
        <f>Rounding!AC98</f>
        <v>-1.284</v>
      </c>
      <c r="AD54" s="318">
        <f>Rounding!AD98</f>
        <v>0</v>
      </c>
      <c r="AE54" s="318">
        <f>Rounding!AE98</f>
        <v>-1.284</v>
      </c>
      <c r="AF54" s="318">
        <f>Rounding!AF98</f>
        <v>0</v>
      </c>
      <c r="AG54" s="318">
        <f>Rounding!AG98</f>
        <v>-6.7720000000000002</v>
      </c>
      <c r="AH54" s="318">
        <f>Rounding!AH98</f>
        <v>0</v>
      </c>
      <c r="AI54" s="318">
        <f>Rounding!AI98</f>
        <v>0</v>
      </c>
      <c r="AJ54" s="318">
        <f>Rounding!AJ98</f>
        <v>0</v>
      </c>
      <c r="AK54" s="318">
        <f>Rounding!AK98</f>
        <v>0</v>
      </c>
      <c r="AL54" s="318">
        <f>Rounding!AL98</f>
        <v>0</v>
      </c>
      <c r="AM54" s="318">
        <f>Rounding!AM98</f>
        <v>0</v>
      </c>
      <c r="AN54" s="318">
        <f>Rounding!AN98</f>
        <v>0</v>
      </c>
      <c r="AO54" s="318">
        <f>Rounding!AO98</f>
        <v>0</v>
      </c>
      <c r="AP54" s="318">
        <f>Rounding!AP98</f>
        <v>0</v>
      </c>
      <c r="AQ54" s="304"/>
      <c r="AR54" s="304"/>
    </row>
    <row r="55" spans="3:44" x14ac:dyDescent="0.25">
      <c r="E55" s="28"/>
      <c r="F55" t="s">
        <v>193</v>
      </c>
      <c r="G55" s="13" t="s">
        <v>327</v>
      </c>
      <c r="H55" s="319"/>
      <c r="I55" s="304"/>
      <c r="J55" s="319">
        <f>Rounding!J99</f>
        <v>0</v>
      </c>
      <c r="K55" s="319">
        <f>Rounding!K99</f>
        <v>1.663</v>
      </c>
      <c r="L55" s="319">
        <f>Rounding!L99</f>
        <v>0</v>
      </c>
      <c r="M55" s="319">
        <f>Rounding!M99</f>
        <v>0</v>
      </c>
      <c r="N55" s="319">
        <f>Rounding!N99</f>
        <v>1.5720000000000001</v>
      </c>
      <c r="O55" s="319">
        <f>Rounding!O99</f>
        <v>0</v>
      </c>
      <c r="P55" s="319">
        <f>Rounding!P99</f>
        <v>1.54</v>
      </c>
      <c r="Q55" s="319">
        <f>Rounding!Q99</f>
        <v>0</v>
      </c>
      <c r="R55" s="319">
        <f>Rounding!R99</f>
        <v>0</v>
      </c>
      <c r="S55" s="319">
        <f>Rounding!S99</f>
        <v>2.056</v>
      </c>
      <c r="T55" s="319">
        <f>Rounding!T99</f>
        <v>2.149</v>
      </c>
      <c r="U55" s="319">
        <f>Rounding!U99</f>
        <v>1.7809999999999999</v>
      </c>
      <c r="V55" s="319">
        <f>Rounding!V99</f>
        <v>0</v>
      </c>
      <c r="W55" s="319">
        <f>Rounding!W99</f>
        <v>0</v>
      </c>
      <c r="X55" s="319">
        <f>Rounding!X99</f>
        <v>0</v>
      </c>
      <c r="Y55" s="319">
        <f>Rounding!Y99</f>
        <v>0</v>
      </c>
      <c r="Z55" s="319">
        <f>Rounding!Z99</f>
        <v>0</v>
      </c>
      <c r="AA55" s="319">
        <f>Rounding!AA99</f>
        <v>0</v>
      </c>
      <c r="AB55" s="319">
        <f>Rounding!AB99</f>
        <v>3.3319999999999999</v>
      </c>
      <c r="AC55" s="319">
        <f>Rounding!AC99</f>
        <v>0</v>
      </c>
      <c r="AD55" s="319">
        <f>Rounding!AD99</f>
        <v>0</v>
      </c>
      <c r="AE55" s="319">
        <f>Rounding!AE99</f>
        <v>0</v>
      </c>
      <c r="AF55" s="319">
        <f>Rounding!AF99</f>
        <v>0</v>
      </c>
      <c r="AG55" s="319">
        <f>Rounding!AG99</f>
        <v>-1.0429999999999999</v>
      </c>
      <c r="AH55" s="319">
        <f>Rounding!AH99</f>
        <v>0</v>
      </c>
      <c r="AI55" s="319">
        <f>Rounding!AI99</f>
        <v>0</v>
      </c>
      <c r="AJ55" s="319">
        <f>Rounding!AJ99</f>
        <v>0</v>
      </c>
      <c r="AK55" s="319">
        <f>Rounding!AK99</f>
        <v>0</v>
      </c>
      <c r="AL55" s="319">
        <f>Rounding!AL99</f>
        <v>0</v>
      </c>
      <c r="AM55" s="319">
        <f>Rounding!AM99</f>
        <v>0</v>
      </c>
      <c r="AN55" s="319">
        <f>Rounding!AN99</f>
        <v>0</v>
      </c>
      <c r="AO55" s="319">
        <f>Rounding!AO99</f>
        <v>0</v>
      </c>
      <c r="AP55" s="319">
        <f>Rounding!AP99</f>
        <v>0</v>
      </c>
      <c r="AQ55" s="304"/>
      <c r="AR55" s="304"/>
    </row>
    <row r="56" spans="3:44" x14ac:dyDescent="0.25">
      <c r="E56" s="28"/>
      <c r="F56" t="s">
        <v>194</v>
      </c>
      <c r="G56" s="13" t="s">
        <v>327</v>
      </c>
      <c r="H56" s="319"/>
      <c r="I56" s="304"/>
      <c r="J56" s="319">
        <f>Rounding!J100</f>
        <v>0</v>
      </c>
      <c r="K56" s="319">
        <f>Rounding!K100</f>
        <v>0</v>
      </c>
      <c r="L56" s="319">
        <f>Rounding!L100</f>
        <v>0</v>
      </c>
      <c r="M56" s="319">
        <f>Rounding!M100</f>
        <v>0</v>
      </c>
      <c r="N56" s="319">
        <f>Rounding!N100</f>
        <v>0</v>
      </c>
      <c r="O56" s="319">
        <f>Rounding!O100</f>
        <v>0</v>
      </c>
      <c r="P56" s="319">
        <f>Rounding!P100</f>
        <v>0</v>
      </c>
      <c r="Q56" s="319">
        <f>Rounding!Q100</f>
        <v>0</v>
      </c>
      <c r="R56" s="319">
        <f>Rounding!R100</f>
        <v>0</v>
      </c>
      <c r="S56" s="319">
        <f>Rounding!S100</f>
        <v>1.5189999999999999</v>
      </c>
      <c r="T56" s="319">
        <f>Rounding!T100</f>
        <v>1.5620000000000001</v>
      </c>
      <c r="U56" s="319">
        <f>Rounding!U100</f>
        <v>1.389</v>
      </c>
      <c r="V56" s="319">
        <f>Rounding!V100</f>
        <v>0</v>
      </c>
      <c r="W56" s="319">
        <f>Rounding!W100</f>
        <v>0</v>
      </c>
      <c r="X56" s="319">
        <f>Rounding!X100</f>
        <v>0</v>
      </c>
      <c r="Y56" s="319">
        <f>Rounding!Y100</f>
        <v>0</v>
      </c>
      <c r="Z56" s="319">
        <f>Rounding!Z100</f>
        <v>0</v>
      </c>
      <c r="AA56" s="319">
        <f>Rounding!AA100</f>
        <v>0</v>
      </c>
      <c r="AB56" s="319">
        <f>Rounding!AB100</f>
        <v>2.738</v>
      </c>
      <c r="AC56" s="319">
        <f>Rounding!AC100</f>
        <v>0</v>
      </c>
      <c r="AD56" s="319">
        <f>Rounding!AD100</f>
        <v>0</v>
      </c>
      <c r="AE56" s="319">
        <f>Rounding!AE100</f>
        <v>0</v>
      </c>
      <c r="AF56" s="319">
        <f>Rounding!AF100</f>
        <v>0</v>
      </c>
      <c r="AG56" s="319">
        <f>Rounding!AG100</f>
        <v>-0.48799999999999999</v>
      </c>
      <c r="AH56" s="319">
        <f>Rounding!AH100</f>
        <v>0</v>
      </c>
      <c r="AI56" s="319">
        <f>Rounding!AI100</f>
        <v>0</v>
      </c>
      <c r="AJ56" s="319">
        <f>Rounding!AJ100</f>
        <v>0</v>
      </c>
      <c r="AK56" s="319">
        <f>Rounding!AK100</f>
        <v>0</v>
      </c>
      <c r="AL56" s="319">
        <f>Rounding!AL100</f>
        <v>0</v>
      </c>
      <c r="AM56" s="319">
        <f>Rounding!AM100</f>
        <v>0</v>
      </c>
      <c r="AN56" s="319">
        <f>Rounding!AN100</f>
        <v>0</v>
      </c>
      <c r="AO56" s="319">
        <f>Rounding!AO100</f>
        <v>0</v>
      </c>
      <c r="AP56" s="319">
        <f>Rounding!AP100</f>
        <v>0</v>
      </c>
      <c r="AQ56" s="304"/>
      <c r="AR56" s="304"/>
    </row>
    <row r="57" spans="3:44" x14ac:dyDescent="0.25">
      <c r="E57" s="28"/>
      <c r="F57" t="s">
        <v>195</v>
      </c>
      <c r="G57" s="13" t="s">
        <v>328</v>
      </c>
      <c r="H57" s="51"/>
      <c r="J57" s="123">
        <f>Rounding!J101</f>
        <v>4.74</v>
      </c>
      <c r="K57" s="123">
        <f>Rounding!K101</f>
        <v>4.74</v>
      </c>
      <c r="L57" s="123">
        <f>Rounding!L101</f>
        <v>0</v>
      </c>
      <c r="M57" s="123">
        <f>Rounding!M101</f>
        <v>6.7</v>
      </c>
      <c r="N57" s="123">
        <f>Rounding!N101</f>
        <v>6.7</v>
      </c>
      <c r="O57" s="123">
        <f>Rounding!O101</f>
        <v>0</v>
      </c>
      <c r="P57" s="123">
        <f>Rounding!P101</f>
        <v>58.16</v>
      </c>
      <c r="Q57" s="123">
        <f>Rounding!Q101</f>
        <v>0</v>
      </c>
      <c r="R57" s="123">
        <f>Rounding!R101</f>
        <v>0</v>
      </c>
      <c r="S57" s="123">
        <f>Rounding!S101</f>
        <v>4.74</v>
      </c>
      <c r="T57" s="123">
        <f>Rounding!T101</f>
        <v>6.7</v>
      </c>
      <c r="U57" s="123">
        <f>Rounding!U101</f>
        <v>18.96</v>
      </c>
      <c r="V57" s="123">
        <f>Rounding!V101</f>
        <v>0</v>
      </c>
      <c r="W57" s="123">
        <f>Rounding!W101</f>
        <v>0</v>
      </c>
      <c r="X57" s="123">
        <f>Rounding!X101</f>
        <v>0</v>
      </c>
      <c r="Y57" s="123">
        <f>Rounding!Y101</f>
        <v>0</v>
      </c>
      <c r="Z57" s="123">
        <f>Rounding!Z101</f>
        <v>0</v>
      </c>
      <c r="AA57" s="123">
        <f>Rounding!AA101</f>
        <v>0</v>
      </c>
      <c r="AB57" s="123">
        <f>Rounding!AB101</f>
        <v>0</v>
      </c>
      <c r="AC57" s="123">
        <f>Rounding!AC101</f>
        <v>0</v>
      </c>
      <c r="AD57" s="123">
        <f>Rounding!AD101</f>
        <v>0</v>
      </c>
      <c r="AE57" s="123">
        <f>Rounding!AE101</f>
        <v>0</v>
      </c>
      <c r="AF57" s="123">
        <f>Rounding!AF101</f>
        <v>0</v>
      </c>
      <c r="AG57" s="123">
        <f>Rounding!AG101</f>
        <v>0</v>
      </c>
      <c r="AH57" s="123">
        <f>Rounding!AH101</f>
        <v>0</v>
      </c>
      <c r="AI57" s="123">
        <f>Rounding!AI101</f>
        <v>0</v>
      </c>
      <c r="AJ57" s="123">
        <f>Rounding!AJ101</f>
        <v>0</v>
      </c>
      <c r="AK57" s="123">
        <f>Rounding!AK101</f>
        <v>0</v>
      </c>
      <c r="AL57" s="123">
        <f>Rounding!AL101</f>
        <v>0</v>
      </c>
      <c r="AM57" s="123">
        <f>Rounding!AM101</f>
        <v>0</v>
      </c>
      <c r="AN57" s="123">
        <f>Rounding!AN101</f>
        <v>0</v>
      </c>
      <c r="AO57" s="123">
        <f>Rounding!AO101</f>
        <v>0</v>
      </c>
      <c r="AP57" s="123">
        <f>Rounding!AP101</f>
        <v>0</v>
      </c>
    </row>
    <row r="58" spans="3:44" x14ac:dyDescent="0.25">
      <c r="E58" s="28"/>
      <c r="F58" t="s">
        <v>196</v>
      </c>
      <c r="G58" s="13" t="s">
        <v>329</v>
      </c>
      <c r="H58" s="51"/>
      <c r="J58" s="123">
        <f>Rounding!J102</f>
        <v>0</v>
      </c>
      <c r="K58" s="123">
        <f>Rounding!K102</f>
        <v>0</v>
      </c>
      <c r="L58" s="123">
        <f>Rounding!L102</f>
        <v>0</v>
      </c>
      <c r="M58" s="123">
        <f>Rounding!M102</f>
        <v>0</v>
      </c>
      <c r="N58" s="123">
        <f>Rounding!N102</f>
        <v>0</v>
      </c>
      <c r="O58" s="123">
        <f>Rounding!O102</f>
        <v>0</v>
      </c>
      <c r="P58" s="123">
        <f>Rounding!P102</f>
        <v>0</v>
      </c>
      <c r="Q58" s="123">
        <f>Rounding!Q102</f>
        <v>0</v>
      </c>
      <c r="R58" s="123">
        <f>Rounding!R102</f>
        <v>0</v>
      </c>
      <c r="S58" s="123">
        <f>Rounding!S102</f>
        <v>0</v>
      </c>
      <c r="T58" s="123">
        <f>Rounding!T102</f>
        <v>0</v>
      </c>
      <c r="U58" s="123">
        <f>Rounding!U102</f>
        <v>3.36</v>
      </c>
      <c r="V58" s="123">
        <f>Rounding!V102</f>
        <v>0</v>
      </c>
      <c r="W58" s="123">
        <f>Rounding!W102</f>
        <v>0</v>
      </c>
      <c r="X58" s="123">
        <f>Rounding!X102</f>
        <v>0</v>
      </c>
      <c r="Y58" s="123">
        <f>Rounding!Y102</f>
        <v>0</v>
      </c>
      <c r="Z58" s="123">
        <f>Rounding!Z102</f>
        <v>0</v>
      </c>
      <c r="AA58" s="123">
        <f>Rounding!AA102</f>
        <v>0</v>
      </c>
      <c r="AB58" s="123">
        <f>Rounding!AB102</f>
        <v>0</v>
      </c>
      <c r="AC58" s="123">
        <f>Rounding!AC102</f>
        <v>0</v>
      </c>
      <c r="AD58" s="123">
        <f>Rounding!AD102</f>
        <v>0</v>
      </c>
      <c r="AE58" s="123">
        <f>Rounding!AE102</f>
        <v>0</v>
      </c>
      <c r="AF58" s="123">
        <f>Rounding!AF102</f>
        <v>0</v>
      </c>
      <c r="AG58" s="123">
        <f>Rounding!AG102</f>
        <v>0</v>
      </c>
      <c r="AH58" s="123">
        <f>Rounding!AH102</f>
        <v>0</v>
      </c>
      <c r="AI58" s="123">
        <f>Rounding!AI102</f>
        <v>0</v>
      </c>
      <c r="AJ58" s="123">
        <f>Rounding!AJ102</f>
        <v>0</v>
      </c>
      <c r="AK58" s="123">
        <f>Rounding!AK102</f>
        <v>0</v>
      </c>
      <c r="AL58" s="123">
        <f>Rounding!AL102</f>
        <v>0</v>
      </c>
      <c r="AM58" s="123">
        <f>Rounding!AM102</f>
        <v>0</v>
      </c>
      <c r="AN58" s="123">
        <f>Rounding!AN102</f>
        <v>0</v>
      </c>
      <c r="AO58" s="123">
        <f>Rounding!AO102</f>
        <v>0</v>
      </c>
      <c r="AP58" s="123">
        <f>Rounding!AP102</f>
        <v>0</v>
      </c>
    </row>
    <row r="59" spans="3:44" x14ac:dyDescent="0.25">
      <c r="E59" s="28"/>
      <c r="F59" t="s">
        <v>197</v>
      </c>
      <c r="G59" s="13" t="s">
        <v>329</v>
      </c>
      <c r="H59" s="51"/>
      <c r="J59" s="123">
        <f>Rounding!J103</f>
        <v>0</v>
      </c>
      <c r="K59" s="123">
        <f>Rounding!K103</f>
        <v>0</v>
      </c>
      <c r="L59" s="123">
        <f>Rounding!L103</f>
        <v>0</v>
      </c>
      <c r="M59" s="123">
        <f>Rounding!M103</f>
        <v>0</v>
      </c>
      <c r="N59" s="123">
        <f>Rounding!N103</f>
        <v>0</v>
      </c>
      <c r="O59" s="123">
        <f>Rounding!O103</f>
        <v>0</v>
      </c>
      <c r="P59" s="123">
        <f>Rounding!P103</f>
        <v>0</v>
      </c>
      <c r="Q59" s="123">
        <f>Rounding!Q103</f>
        <v>0</v>
      </c>
      <c r="R59" s="123">
        <f>Rounding!R103</f>
        <v>0</v>
      </c>
      <c r="S59" s="123">
        <f>Rounding!S103</f>
        <v>0</v>
      </c>
      <c r="T59" s="123">
        <f>Rounding!T103</f>
        <v>0</v>
      </c>
      <c r="U59" s="123">
        <f>Rounding!U103</f>
        <v>6.17</v>
      </c>
      <c r="V59" s="123">
        <f>Rounding!V103</f>
        <v>0</v>
      </c>
      <c r="W59" s="123">
        <f>Rounding!W103</f>
        <v>0</v>
      </c>
      <c r="X59" s="123">
        <f>Rounding!X103</f>
        <v>0</v>
      </c>
      <c r="Y59" s="123">
        <f>Rounding!Y103</f>
        <v>0</v>
      </c>
      <c r="Z59" s="123">
        <f>Rounding!Z103</f>
        <v>0</v>
      </c>
      <c r="AA59" s="123">
        <f>Rounding!AA103</f>
        <v>0</v>
      </c>
      <c r="AB59" s="123">
        <f>Rounding!AB103</f>
        <v>0</v>
      </c>
      <c r="AC59" s="123">
        <f>Rounding!AC103</f>
        <v>0</v>
      </c>
      <c r="AD59" s="123">
        <f>Rounding!AD103</f>
        <v>0</v>
      </c>
      <c r="AE59" s="123">
        <f>Rounding!AE103</f>
        <v>0</v>
      </c>
      <c r="AF59" s="123">
        <f>Rounding!AF103</f>
        <v>0</v>
      </c>
      <c r="AG59" s="123">
        <f>Rounding!AG103</f>
        <v>0</v>
      </c>
      <c r="AH59" s="123">
        <f>Rounding!AH103</f>
        <v>0</v>
      </c>
      <c r="AI59" s="123">
        <f>Rounding!AI103</f>
        <v>0</v>
      </c>
      <c r="AJ59" s="123">
        <f>Rounding!AJ103</f>
        <v>0</v>
      </c>
      <c r="AK59" s="123">
        <f>Rounding!AK103</f>
        <v>0</v>
      </c>
      <c r="AL59" s="123">
        <f>Rounding!AL103</f>
        <v>0</v>
      </c>
      <c r="AM59" s="123">
        <f>Rounding!AM103</f>
        <v>0</v>
      </c>
      <c r="AN59" s="123">
        <f>Rounding!AN103</f>
        <v>0</v>
      </c>
      <c r="AO59" s="123">
        <f>Rounding!AO103</f>
        <v>0</v>
      </c>
      <c r="AP59" s="123">
        <f>Rounding!AP103</f>
        <v>0</v>
      </c>
    </row>
    <row r="60" spans="3:44" x14ac:dyDescent="0.25">
      <c r="E60" s="28"/>
      <c r="F60" s="37" t="s">
        <v>198</v>
      </c>
      <c r="G60" s="87" t="s">
        <v>330</v>
      </c>
      <c r="H60" s="323"/>
      <c r="I60" s="308"/>
      <c r="J60" s="323">
        <f>Rounding!J104</f>
        <v>0</v>
      </c>
      <c r="K60" s="323">
        <f>Rounding!K104</f>
        <v>0</v>
      </c>
      <c r="L60" s="323">
        <f>Rounding!L104</f>
        <v>0</v>
      </c>
      <c r="M60" s="323">
        <f>Rounding!M104</f>
        <v>0</v>
      </c>
      <c r="N60" s="323">
        <f>Rounding!N104</f>
        <v>0</v>
      </c>
      <c r="O60" s="323">
        <f>Rounding!O104</f>
        <v>0</v>
      </c>
      <c r="P60" s="323">
        <f>Rounding!P104</f>
        <v>0</v>
      </c>
      <c r="Q60" s="323">
        <f>Rounding!Q104</f>
        <v>0</v>
      </c>
      <c r="R60" s="323">
        <f>Rounding!R104</f>
        <v>0</v>
      </c>
      <c r="S60" s="323">
        <f>Rounding!S104</f>
        <v>0</v>
      </c>
      <c r="T60" s="323">
        <f>Rounding!T104</f>
        <v>0</v>
      </c>
      <c r="U60" s="323">
        <f>Rounding!U104</f>
        <v>0.193</v>
      </c>
      <c r="V60" s="323">
        <f>Rounding!V104</f>
        <v>0</v>
      </c>
      <c r="W60" s="323">
        <f>Rounding!W104</f>
        <v>0</v>
      </c>
      <c r="X60" s="323">
        <f>Rounding!X104</f>
        <v>0</v>
      </c>
      <c r="Y60" s="323">
        <f>Rounding!Y104</f>
        <v>0</v>
      </c>
      <c r="Z60" s="323">
        <f>Rounding!Z104</f>
        <v>0</v>
      </c>
      <c r="AA60" s="323">
        <f>Rounding!AA104</f>
        <v>0</v>
      </c>
      <c r="AB60" s="323">
        <f>Rounding!AB104</f>
        <v>0</v>
      </c>
      <c r="AC60" s="323">
        <f>Rounding!AC104</f>
        <v>0</v>
      </c>
      <c r="AD60" s="323">
        <f>Rounding!AD104</f>
        <v>0</v>
      </c>
      <c r="AE60" s="323">
        <f>Rounding!AE104</f>
        <v>0.26500000000000001</v>
      </c>
      <c r="AF60" s="323">
        <f>Rounding!AF104</f>
        <v>0</v>
      </c>
      <c r="AG60" s="323">
        <f>Rounding!AG104</f>
        <v>0.26500000000000001</v>
      </c>
      <c r="AH60" s="323">
        <f>Rounding!AH104</f>
        <v>0</v>
      </c>
      <c r="AI60" s="323">
        <f>Rounding!AI104</f>
        <v>0</v>
      </c>
      <c r="AJ60" s="323">
        <f>Rounding!AJ104</f>
        <v>0</v>
      </c>
      <c r="AK60" s="323">
        <f>Rounding!AK104</f>
        <v>0</v>
      </c>
      <c r="AL60" s="323">
        <f>Rounding!AL104</f>
        <v>0</v>
      </c>
      <c r="AM60" s="323">
        <f>Rounding!AM104</f>
        <v>0</v>
      </c>
      <c r="AN60" s="323">
        <f>Rounding!AN104</f>
        <v>0</v>
      </c>
      <c r="AO60" s="323">
        <f>Rounding!AO104</f>
        <v>0</v>
      </c>
      <c r="AP60" s="323">
        <f>Rounding!AP104</f>
        <v>0</v>
      </c>
      <c r="AQ60" s="304"/>
      <c r="AR60" s="304"/>
    </row>
    <row r="61" spans="3:44" x14ac:dyDescent="0.25">
      <c r="E61" s="28"/>
      <c r="G61" s="13"/>
      <c r="J61" s="92"/>
      <c r="K61" s="92"/>
      <c r="L61" s="92"/>
      <c r="M61" s="92"/>
      <c r="N61" s="92"/>
      <c r="O61" s="92"/>
      <c r="P61" s="92"/>
      <c r="Q61" s="92"/>
      <c r="R61" s="92"/>
      <c r="S61" s="92"/>
      <c r="T61" s="92"/>
      <c r="U61" s="92"/>
      <c r="V61" s="92"/>
      <c r="W61" s="92"/>
      <c r="X61" s="92"/>
      <c r="Y61" s="92"/>
      <c r="Z61" s="92"/>
      <c r="AA61" s="92"/>
      <c r="AB61" s="92"/>
      <c r="AC61" s="92"/>
      <c r="AD61" s="92"/>
      <c r="AE61" s="92"/>
      <c r="AF61" s="92"/>
      <c r="AG61" s="92"/>
      <c r="AH61" s="92"/>
      <c r="AI61" s="92"/>
      <c r="AJ61" s="92"/>
      <c r="AK61" s="92"/>
      <c r="AL61" s="92"/>
      <c r="AM61" s="92"/>
      <c r="AN61" s="92"/>
      <c r="AO61" s="92"/>
      <c r="AP61" s="92"/>
    </row>
    <row r="62" spans="3:44" x14ac:dyDescent="0.25">
      <c r="E62" s="32" t="s">
        <v>1052</v>
      </c>
      <c r="G62" s="13"/>
      <c r="I62" t="s">
        <v>190</v>
      </c>
      <c r="J62" s="82"/>
      <c r="K62" s="82"/>
      <c r="L62" s="82"/>
      <c r="M62" s="82"/>
      <c r="N62" s="82"/>
      <c r="O62" s="82"/>
      <c r="P62" s="82"/>
      <c r="Q62" s="82"/>
      <c r="R62" s="82"/>
      <c r="S62" s="82"/>
      <c r="T62" s="82"/>
      <c r="U62" s="82"/>
      <c r="V62" s="82"/>
      <c r="W62" s="82"/>
      <c r="X62" s="82"/>
      <c r="Y62" s="82"/>
      <c r="Z62" s="82"/>
      <c r="AA62" s="82"/>
      <c r="AB62" s="82"/>
      <c r="AC62" s="82"/>
      <c r="AD62" s="82"/>
      <c r="AE62" s="82"/>
      <c r="AF62" s="82"/>
      <c r="AG62" s="82"/>
      <c r="AH62" s="82"/>
      <c r="AI62" s="82"/>
      <c r="AJ62" s="82"/>
      <c r="AK62" s="82"/>
      <c r="AL62" s="82"/>
      <c r="AM62" s="82"/>
      <c r="AN62" s="82"/>
      <c r="AO62" s="82"/>
      <c r="AP62" s="82"/>
      <c r="AR62" t="s">
        <v>191</v>
      </c>
    </row>
    <row r="63" spans="3:44" x14ac:dyDescent="0.25">
      <c r="C63" s="91"/>
      <c r="F63" s="23" t="s">
        <v>192</v>
      </c>
      <c r="G63" s="85" t="s">
        <v>327</v>
      </c>
      <c r="H63" s="318"/>
      <c r="I63" s="302"/>
      <c r="J63" s="318">
        <f>Rounding!J107</f>
        <v>1.5329999999999999</v>
      </c>
      <c r="K63" s="318">
        <f>Rounding!K107</f>
        <v>1.677</v>
      </c>
      <c r="L63" s="318">
        <f>Rounding!L107</f>
        <v>0.97899999999999998</v>
      </c>
      <c r="M63" s="318">
        <f>Rounding!M107</f>
        <v>1.5569999999999999</v>
      </c>
      <c r="N63" s="318">
        <f>Rounding!N107</f>
        <v>1.639</v>
      </c>
      <c r="O63" s="318">
        <f>Rounding!O107</f>
        <v>0.94499999999999995</v>
      </c>
      <c r="P63" s="318">
        <f>Rounding!P107</f>
        <v>1.504</v>
      </c>
      <c r="Q63" s="318">
        <f>Rounding!Q107</f>
        <v>0</v>
      </c>
      <c r="R63" s="318">
        <f>Rounding!R107</f>
        <v>0</v>
      </c>
      <c r="S63" s="318">
        <f>Rounding!S107</f>
        <v>4.5049999999999999</v>
      </c>
      <c r="T63" s="318">
        <f>Rounding!T107</f>
        <v>4.8659999999999997</v>
      </c>
      <c r="U63" s="318">
        <f>Rounding!U107</f>
        <v>3.47</v>
      </c>
      <c r="V63" s="318">
        <f>Rounding!V107</f>
        <v>3.3330000000000002</v>
      </c>
      <c r="W63" s="318">
        <f>Rounding!W107</f>
        <v>2.6989999999999998</v>
      </c>
      <c r="X63" s="318">
        <f>Rounding!X107</f>
        <v>1.99</v>
      </c>
      <c r="Y63" s="318">
        <f>Rounding!Y107</f>
        <v>2.0259999999999998</v>
      </c>
      <c r="Z63" s="318">
        <f>Rounding!Z107</f>
        <v>2.3879999999999999</v>
      </c>
      <c r="AA63" s="318">
        <f>Rounding!AA107</f>
        <v>1.9910000000000001</v>
      </c>
      <c r="AB63" s="318">
        <f>Rounding!AB107</f>
        <v>8.3320000000000007</v>
      </c>
      <c r="AC63" s="318">
        <f>Rounding!AC107</f>
        <v>-1.284</v>
      </c>
      <c r="AD63" s="318">
        <f>Rounding!AD107</f>
        <v>-1.1519999999999999</v>
      </c>
      <c r="AE63" s="318">
        <f>Rounding!AE107</f>
        <v>-1.284</v>
      </c>
      <c r="AF63" s="318">
        <f>Rounding!AF107</f>
        <v>0</v>
      </c>
      <c r="AG63" s="318">
        <f>Rounding!AG107</f>
        <v>-6.7720000000000002</v>
      </c>
      <c r="AH63" s="318">
        <f>Rounding!AH107</f>
        <v>0</v>
      </c>
      <c r="AI63" s="318">
        <f>Rounding!AI107</f>
        <v>-1.1519999999999999</v>
      </c>
      <c r="AJ63" s="318">
        <f>Rounding!AJ107</f>
        <v>0</v>
      </c>
      <c r="AK63" s="318">
        <f>Rounding!AK107</f>
        <v>-6.0880000000000001</v>
      </c>
      <c r="AL63" s="318">
        <f>Rounding!AL107</f>
        <v>0</v>
      </c>
      <c r="AM63" s="318">
        <f>Rounding!AM107</f>
        <v>-0.61599999999999999</v>
      </c>
      <c r="AN63" s="318">
        <f>Rounding!AN107</f>
        <v>0</v>
      </c>
      <c r="AO63" s="318">
        <f>Rounding!AO107</f>
        <v>-3.327</v>
      </c>
      <c r="AP63" s="318">
        <f>Rounding!AP107</f>
        <v>0</v>
      </c>
      <c r="AQ63" s="304"/>
      <c r="AR63" s="304"/>
    </row>
    <row r="64" spans="3:44" x14ac:dyDescent="0.25">
      <c r="C64" s="91"/>
      <c r="F64" t="s">
        <v>193</v>
      </c>
      <c r="G64" s="13" t="s">
        <v>327</v>
      </c>
      <c r="H64" s="319"/>
      <c r="I64" s="304"/>
      <c r="J64" s="319">
        <f>Rounding!J108</f>
        <v>0</v>
      </c>
      <c r="K64" s="319">
        <f>Rounding!K108</f>
        <v>0.98599999999999999</v>
      </c>
      <c r="L64" s="319">
        <f>Rounding!L108</f>
        <v>0</v>
      </c>
      <c r="M64" s="319">
        <f>Rounding!M108</f>
        <v>0</v>
      </c>
      <c r="N64" s="319">
        <f>Rounding!N108</f>
        <v>0.93100000000000005</v>
      </c>
      <c r="O64" s="319">
        <f>Rounding!O108</f>
        <v>0</v>
      </c>
      <c r="P64" s="319">
        <f>Rounding!P108</f>
        <v>0.91300000000000003</v>
      </c>
      <c r="Q64" s="319">
        <f>Rounding!Q108</f>
        <v>0</v>
      </c>
      <c r="R64" s="319">
        <f>Rounding!R108</f>
        <v>0</v>
      </c>
      <c r="S64" s="319">
        <f>Rounding!S108</f>
        <v>1.218</v>
      </c>
      <c r="T64" s="319">
        <f>Rounding!T108</f>
        <v>1.274</v>
      </c>
      <c r="U64" s="319">
        <f>Rounding!U108</f>
        <v>1.0549999999999999</v>
      </c>
      <c r="V64" s="319">
        <f>Rounding!V108</f>
        <v>1.2569999999999999</v>
      </c>
      <c r="W64" s="319">
        <f>Rounding!W108</f>
        <v>1.2250000000000001</v>
      </c>
      <c r="X64" s="319">
        <f>Rounding!X108</f>
        <v>0</v>
      </c>
      <c r="Y64" s="319">
        <f>Rounding!Y108</f>
        <v>0</v>
      </c>
      <c r="Z64" s="319">
        <f>Rounding!Z108</f>
        <v>0</v>
      </c>
      <c r="AA64" s="319">
        <f>Rounding!AA108</f>
        <v>0</v>
      </c>
      <c r="AB64" s="319">
        <f>Rounding!AB108</f>
        <v>1.974</v>
      </c>
      <c r="AC64" s="319">
        <f>Rounding!AC108</f>
        <v>0</v>
      </c>
      <c r="AD64" s="319">
        <f>Rounding!AD108</f>
        <v>0</v>
      </c>
      <c r="AE64" s="319">
        <f>Rounding!AE108</f>
        <v>0</v>
      </c>
      <c r="AF64" s="319">
        <f>Rounding!AF108</f>
        <v>0</v>
      </c>
      <c r="AG64" s="319">
        <f>Rounding!AG108</f>
        <v>-1.0429999999999999</v>
      </c>
      <c r="AH64" s="319">
        <f>Rounding!AH108</f>
        <v>0</v>
      </c>
      <c r="AI64" s="319">
        <f>Rounding!AI108</f>
        <v>0</v>
      </c>
      <c r="AJ64" s="319">
        <f>Rounding!AJ108</f>
        <v>0</v>
      </c>
      <c r="AK64" s="319">
        <f>Rounding!AK108</f>
        <v>-0.93400000000000005</v>
      </c>
      <c r="AL64" s="319">
        <f>Rounding!AL108</f>
        <v>0</v>
      </c>
      <c r="AM64" s="319">
        <f>Rounding!AM108</f>
        <v>0</v>
      </c>
      <c r="AN64" s="319">
        <f>Rounding!AN108</f>
        <v>0</v>
      </c>
      <c r="AO64" s="319">
        <f>Rounding!AO108</f>
        <v>-0.49099999999999999</v>
      </c>
      <c r="AP64" s="319">
        <f>Rounding!AP108</f>
        <v>0</v>
      </c>
      <c r="AQ64" s="304"/>
      <c r="AR64" s="304"/>
    </row>
    <row r="65" spans="2:44" x14ac:dyDescent="0.25">
      <c r="C65" s="91"/>
      <c r="F65" t="s">
        <v>194</v>
      </c>
      <c r="G65" s="13" t="s">
        <v>327</v>
      </c>
      <c r="H65" s="319"/>
      <c r="I65" s="304"/>
      <c r="J65" s="319">
        <f>Rounding!J109</f>
        <v>0</v>
      </c>
      <c r="K65" s="319">
        <f>Rounding!K109</f>
        <v>0</v>
      </c>
      <c r="L65" s="319">
        <f>Rounding!L109</f>
        <v>0</v>
      </c>
      <c r="M65" s="319">
        <f>Rounding!M109</f>
        <v>0</v>
      </c>
      <c r="N65" s="319">
        <f>Rounding!N109</f>
        <v>0</v>
      </c>
      <c r="O65" s="319">
        <f>Rounding!O109</f>
        <v>0</v>
      </c>
      <c r="P65" s="319">
        <f>Rounding!P109</f>
        <v>0</v>
      </c>
      <c r="Q65" s="319">
        <f>Rounding!Q109</f>
        <v>0</v>
      </c>
      <c r="R65" s="319">
        <f>Rounding!R109</f>
        <v>0</v>
      </c>
      <c r="S65" s="319">
        <f>Rounding!S109</f>
        <v>0.9</v>
      </c>
      <c r="T65" s="319">
        <f>Rounding!T109</f>
        <v>0.92600000000000005</v>
      </c>
      <c r="U65" s="319">
        <f>Rounding!U109</f>
        <v>0.82299999999999995</v>
      </c>
      <c r="V65" s="319">
        <f>Rounding!V109</f>
        <v>1.0649999999999999</v>
      </c>
      <c r="W65" s="319">
        <f>Rounding!W109</f>
        <v>1.095</v>
      </c>
      <c r="X65" s="319">
        <f>Rounding!X109</f>
        <v>0</v>
      </c>
      <c r="Y65" s="319">
        <f>Rounding!Y109</f>
        <v>0</v>
      </c>
      <c r="Z65" s="319">
        <f>Rounding!Z109</f>
        <v>0</v>
      </c>
      <c r="AA65" s="319">
        <f>Rounding!AA109</f>
        <v>0</v>
      </c>
      <c r="AB65" s="319">
        <f>Rounding!AB109</f>
        <v>1.623</v>
      </c>
      <c r="AC65" s="319">
        <f>Rounding!AC109</f>
        <v>0</v>
      </c>
      <c r="AD65" s="319">
        <f>Rounding!AD109</f>
        <v>0</v>
      </c>
      <c r="AE65" s="319">
        <f>Rounding!AE109</f>
        <v>0</v>
      </c>
      <c r="AF65" s="319">
        <f>Rounding!AF109</f>
        <v>0</v>
      </c>
      <c r="AG65" s="319">
        <f>Rounding!AG109</f>
        <v>-0.48799999999999999</v>
      </c>
      <c r="AH65" s="319">
        <f>Rounding!AH109</f>
        <v>0</v>
      </c>
      <c r="AI65" s="319">
        <f>Rounding!AI109</f>
        <v>0</v>
      </c>
      <c r="AJ65" s="319">
        <f>Rounding!AJ109</f>
        <v>0</v>
      </c>
      <c r="AK65" s="319">
        <f>Rounding!AK109</f>
        <v>-0.437</v>
      </c>
      <c r="AL65" s="319">
        <f>Rounding!AL109</f>
        <v>0</v>
      </c>
      <c r="AM65" s="319">
        <f>Rounding!AM109</f>
        <v>0</v>
      </c>
      <c r="AN65" s="319">
        <f>Rounding!AN109</f>
        <v>0</v>
      </c>
      <c r="AO65" s="319">
        <f>Rounding!AO109</f>
        <v>-0.22900000000000001</v>
      </c>
      <c r="AP65" s="319">
        <f>Rounding!AP109</f>
        <v>0</v>
      </c>
      <c r="AQ65" s="304"/>
      <c r="AR65" s="304"/>
    </row>
    <row r="66" spans="2:44" x14ac:dyDescent="0.25">
      <c r="C66" s="91"/>
      <c r="F66" t="s">
        <v>195</v>
      </c>
      <c r="G66" s="13" t="s">
        <v>328</v>
      </c>
      <c r="H66" s="51"/>
      <c r="J66" s="123">
        <f>Rounding!J110</f>
        <v>2.81</v>
      </c>
      <c r="K66" s="123">
        <f>Rounding!K110</f>
        <v>2.81</v>
      </c>
      <c r="L66" s="123">
        <f>Rounding!L110</f>
        <v>0</v>
      </c>
      <c r="M66" s="123">
        <f>Rounding!M110</f>
        <v>3.97</v>
      </c>
      <c r="N66" s="123">
        <f>Rounding!N110</f>
        <v>3.97</v>
      </c>
      <c r="O66" s="123">
        <f>Rounding!O110</f>
        <v>0</v>
      </c>
      <c r="P66" s="123">
        <f>Rounding!P110</f>
        <v>34.47</v>
      </c>
      <c r="Q66" s="123">
        <f>Rounding!Q110</f>
        <v>0</v>
      </c>
      <c r="R66" s="123">
        <f>Rounding!R110</f>
        <v>0</v>
      </c>
      <c r="S66" s="123">
        <f>Rounding!S110</f>
        <v>2.81</v>
      </c>
      <c r="T66" s="123">
        <f>Rounding!T110</f>
        <v>3.97</v>
      </c>
      <c r="U66" s="123">
        <f>Rounding!U110</f>
        <v>11.23</v>
      </c>
      <c r="V66" s="123">
        <f>Rounding!V110</f>
        <v>30.88</v>
      </c>
      <c r="W66" s="123">
        <f>Rounding!W110</f>
        <v>197.99</v>
      </c>
      <c r="X66" s="123">
        <f>Rounding!X110</f>
        <v>0</v>
      </c>
      <c r="Y66" s="123">
        <f>Rounding!Y110</f>
        <v>0</v>
      </c>
      <c r="Z66" s="123">
        <f>Rounding!Z110</f>
        <v>0</v>
      </c>
      <c r="AA66" s="123">
        <f>Rounding!AA110</f>
        <v>0</v>
      </c>
      <c r="AB66" s="123">
        <f>Rounding!AB110</f>
        <v>0</v>
      </c>
      <c r="AC66" s="123">
        <f>Rounding!AC110</f>
        <v>0</v>
      </c>
      <c r="AD66" s="123">
        <f>Rounding!AD110</f>
        <v>0</v>
      </c>
      <c r="AE66" s="123">
        <f>Rounding!AE110</f>
        <v>0</v>
      </c>
      <c r="AF66" s="123">
        <f>Rounding!AF110</f>
        <v>0</v>
      </c>
      <c r="AG66" s="123">
        <f>Rounding!AG110</f>
        <v>0</v>
      </c>
      <c r="AH66" s="123">
        <f>Rounding!AH110</f>
        <v>0</v>
      </c>
      <c r="AI66" s="123">
        <f>Rounding!AI110</f>
        <v>0</v>
      </c>
      <c r="AJ66" s="123">
        <f>Rounding!AJ110</f>
        <v>0</v>
      </c>
      <c r="AK66" s="123">
        <f>Rounding!AK110</f>
        <v>0</v>
      </c>
      <c r="AL66" s="123">
        <f>Rounding!AL110</f>
        <v>0</v>
      </c>
      <c r="AM66" s="123">
        <f>Rounding!AM110</f>
        <v>0</v>
      </c>
      <c r="AN66" s="123">
        <f>Rounding!AN110</f>
        <v>0</v>
      </c>
      <c r="AO66" s="123">
        <f>Rounding!AO110</f>
        <v>0</v>
      </c>
      <c r="AP66" s="123">
        <f>Rounding!AP110</f>
        <v>0</v>
      </c>
    </row>
    <row r="67" spans="2:44" x14ac:dyDescent="0.25">
      <c r="C67" s="91"/>
      <c r="F67" t="s">
        <v>196</v>
      </c>
      <c r="G67" s="13" t="s">
        <v>329</v>
      </c>
      <c r="H67" s="51"/>
      <c r="J67" s="123">
        <f>Rounding!J111</f>
        <v>0</v>
      </c>
      <c r="K67" s="123">
        <f>Rounding!K111</f>
        <v>0</v>
      </c>
      <c r="L67" s="123">
        <f>Rounding!L111</f>
        <v>0</v>
      </c>
      <c r="M67" s="123">
        <f>Rounding!M111</f>
        <v>0</v>
      </c>
      <c r="N67" s="123">
        <f>Rounding!N111</f>
        <v>0</v>
      </c>
      <c r="O67" s="123">
        <f>Rounding!O111</f>
        <v>0</v>
      </c>
      <c r="P67" s="123">
        <f>Rounding!P111</f>
        <v>0</v>
      </c>
      <c r="Q67" s="123">
        <f>Rounding!Q111</f>
        <v>0</v>
      </c>
      <c r="R67" s="123">
        <f>Rounding!R111</f>
        <v>0</v>
      </c>
      <c r="S67" s="123">
        <f>Rounding!S111</f>
        <v>0</v>
      </c>
      <c r="T67" s="123">
        <f>Rounding!T111</f>
        <v>0</v>
      </c>
      <c r="U67" s="123">
        <f>Rounding!U111</f>
        <v>1.99</v>
      </c>
      <c r="V67" s="123">
        <f>Rounding!V111</f>
        <v>4.72</v>
      </c>
      <c r="W67" s="123">
        <f>Rounding!W111</f>
        <v>6.95</v>
      </c>
      <c r="X67" s="123">
        <f>Rounding!X111</f>
        <v>0</v>
      </c>
      <c r="Y67" s="123">
        <f>Rounding!Y111</f>
        <v>0</v>
      </c>
      <c r="Z67" s="123">
        <f>Rounding!Z111</f>
        <v>0</v>
      </c>
      <c r="AA67" s="123">
        <f>Rounding!AA111</f>
        <v>0</v>
      </c>
      <c r="AB67" s="123">
        <f>Rounding!AB111</f>
        <v>0</v>
      </c>
      <c r="AC67" s="123">
        <f>Rounding!AC111</f>
        <v>0</v>
      </c>
      <c r="AD67" s="123">
        <f>Rounding!AD111</f>
        <v>0</v>
      </c>
      <c r="AE67" s="123">
        <f>Rounding!AE111</f>
        <v>0</v>
      </c>
      <c r="AF67" s="123">
        <f>Rounding!AF111</f>
        <v>0</v>
      </c>
      <c r="AG67" s="123">
        <f>Rounding!AG111</f>
        <v>0</v>
      </c>
      <c r="AH67" s="123">
        <f>Rounding!AH111</f>
        <v>0</v>
      </c>
      <c r="AI67" s="123">
        <f>Rounding!AI111</f>
        <v>0</v>
      </c>
      <c r="AJ67" s="123">
        <f>Rounding!AJ111</f>
        <v>0</v>
      </c>
      <c r="AK67" s="123">
        <f>Rounding!AK111</f>
        <v>0</v>
      </c>
      <c r="AL67" s="123">
        <f>Rounding!AL111</f>
        <v>0</v>
      </c>
      <c r="AM67" s="123">
        <f>Rounding!AM111</f>
        <v>0</v>
      </c>
      <c r="AN67" s="123">
        <f>Rounding!AN111</f>
        <v>0</v>
      </c>
      <c r="AO67" s="123">
        <f>Rounding!AO111</f>
        <v>0</v>
      </c>
      <c r="AP67" s="123">
        <f>Rounding!AP111</f>
        <v>0</v>
      </c>
    </row>
    <row r="68" spans="2:44" x14ac:dyDescent="0.25">
      <c r="C68" s="91"/>
      <c r="F68" t="s">
        <v>197</v>
      </c>
      <c r="G68" s="13" t="s">
        <v>329</v>
      </c>
      <c r="H68" s="51"/>
      <c r="J68" s="123">
        <f>Rounding!J112</f>
        <v>0</v>
      </c>
      <c r="K68" s="123">
        <f>Rounding!K112</f>
        <v>0</v>
      </c>
      <c r="L68" s="123">
        <f>Rounding!L112</f>
        <v>0</v>
      </c>
      <c r="M68" s="123">
        <f>Rounding!M112</f>
        <v>0</v>
      </c>
      <c r="N68" s="123">
        <f>Rounding!N112</f>
        <v>0</v>
      </c>
      <c r="O68" s="123">
        <f>Rounding!O112</f>
        <v>0</v>
      </c>
      <c r="P68" s="123">
        <f>Rounding!P112</f>
        <v>0</v>
      </c>
      <c r="Q68" s="123">
        <f>Rounding!Q112</f>
        <v>0</v>
      </c>
      <c r="R68" s="123">
        <f>Rounding!R112</f>
        <v>0</v>
      </c>
      <c r="S68" s="123">
        <f>Rounding!S112</f>
        <v>0</v>
      </c>
      <c r="T68" s="123">
        <f>Rounding!T112</f>
        <v>0</v>
      </c>
      <c r="U68" s="123">
        <f>Rounding!U112</f>
        <v>3.66</v>
      </c>
      <c r="V68" s="123">
        <f>Rounding!V112</f>
        <v>6.54</v>
      </c>
      <c r="W68" s="123">
        <f>Rounding!W112</f>
        <v>8.1999999999999993</v>
      </c>
      <c r="X68" s="123">
        <f>Rounding!X112</f>
        <v>0</v>
      </c>
      <c r="Y68" s="123">
        <f>Rounding!Y112</f>
        <v>0</v>
      </c>
      <c r="Z68" s="123">
        <f>Rounding!Z112</f>
        <v>0</v>
      </c>
      <c r="AA68" s="123">
        <f>Rounding!AA112</f>
        <v>0</v>
      </c>
      <c r="AB68" s="123">
        <f>Rounding!AB112</f>
        <v>0</v>
      </c>
      <c r="AC68" s="123">
        <f>Rounding!AC112</f>
        <v>0</v>
      </c>
      <c r="AD68" s="123">
        <f>Rounding!AD112</f>
        <v>0</v>
      </c>
      <c r="AE68" s="123">
        <f>Rounding!AE112</f>
        <v>0</v>
      </c>
      <c r="AF68" s="123">
        <f>Rounding!AF112</f>
        <v>0</v>
      </c>
      <c r="AG68" s="123">
        <f>Rounding!AG112</f>
        <v>0</v>
      </c>
      <c r="AH68" s="123">
        <f>Rounding!AH112</f>
        <v>0</v>
      </c>
      <c r="AI68" s="123">
        <f>Rounding!AI112</f>
        <v>0</v>
      </c>
      <c r="AJ68" s="123">
        <f>Rounding!AJ112</f>
        <v>0</v>
      </c>
      <c r="AK68" s="123">
        <f>Rounding!AK112</f>
        <v>0</v>
      </c>
      <c r="AL68" s="123">
        <f>Rounding!AL112</f>
        <v>0</v>
      </c>
      <c r="AM68" s="123">
        <f>Rounding!AM112</f>
        <v>0</v>
      </c>
      <c r="AN68" s="123">
        <f>Rounding!AN112</f>
        <v>0</v>
      </c>
      <c r="AO68" s="123">
        <f>Rounding!AO112</f>
        <v>0</v>
      </c>
      <c r="AP68" s="123">
        <f>Rounding!AP112</f>
        <v>0</v>
      </c>
    </row>
    <row r="69" spans="2:44" x14ac:dyDescent="0.25">
      <c r="C69" s="91"/>
      <c r="F69" s="37" t="s">
        <v>198</v>
      </c>
      <c r="G69" s="87" t="s">
        <v>330</v>
      </c>
      <c r="H69" s="323"/>
      <c r="I69" s="308"/>
      <c r="J69" s="323">
        <f>Rounding!J113</f>
        <v>0</v>
      </c>
      <c r="K69" s="323">
        <f>Rounding!K113</f>
        <v>0</v>
      </c>
      <c r="L69" s="323">
        <f>Rounding!L113</f>
        <v>0</v>
      </c>
      <c r="M69" s="323">
        <f>Rounding!M113</f>
        <v>0</v>
      </c>
      <c r="N69" s="323">
        <f>Rounding!N113</f>
        <v>0</v>
      </c>
      <c r="O69" s="323">
        <f>Rounding!O113</f>
        <v>0</v>
      </c>
      <c r="P69" s="323">
        <f>Rounding!P113</f>
        <v>0</v>
      </c>
      <c r="Q69" s="323">
        <f>Rounding!Q113</f>
        <v>0</v>
      </c>
      <c r="R69" s="323">
        <f>Rounding!R113</f>
        <v>0</v>
      </c>
      <c r="S69" s="323">
        <f>Rounding!S113</f>
        <v>0</v>
      </c>
      <c r="T69" s="323">
        <f>Rounding!T113</f>
        <v>0</v>
      </c>
      <c r="U69" s="323">
        <f>Rounding!U113</f>
        <v>0.114</v>
      </c>
      <c r="V69" s="323">
        <f>Rounding!V113</f>
        <v>8.3000000000000004E-2</v>
      </c>
      <c r="W69" s="323">
        <f>Rounding!W113</f>
        <v>0.06</v>
      </c>
      <c r="X69" s="323">
        <f>Rounding!X113</f>
        <v>0</v>
      </c>
      <c r="Y69" s="323">
        <f>Rounding!Y113</f>
        <v>0</v>
      </c>
      <c r="Z69" s="323">
        <f>Rounding!Z113</f>
        <v>0</v>
      </c>
      <c r="AA69" s="323">
        <f>Rounding!AA113</f>
        <v>0</v>
      </c>
      <c r="AB69" s="323">
        <f>Rounding!AB113</f>
        <v>0</v>
      </c>
      <c r="AC69" s="323">
        <f>Rounding!AC113</f>
        <v>0</v>
      </c>
      <c r="AD69" s="323">
        <f>Rounding!AD113</f>
        <v>0</v>
      </c>
      <c r="AE69" s="323">
        <f>Rounding!AE113</f>
        <v>0.26500000000000001</v>
      </c>
      <c r="AF69" s="323">
        <f>Rounding!AF113</f>
        <v>0</v>
      </c>
      <c r="AG69" s="323">
        <f>Rounding!AG113</f>
        <v>0.26500000000000001</v>
      </c>
      <c r="AH69" s="323">
        <f>Rounding!AH113</f>
        <v>0</v>
      </c>
      <c r="AI69" s="323">
        <f>Rounding!AI113</f>
        <v>0.22500000000000001</v>
      </c>
      <c r="AJ69" s="323">
        <f>Rounding!AJ113</f>
        <v>0</v>
      </c>
      <c r="AK69" s="323">
        <f>Rounding!AK113</f>
        <v>0.22500000000000001</v>
      </c>
      <c r="AL69" s="323">
        <f>Rounding!AL113</f>
        <v>0</v>
      </c>
      <c r="AM69" s="323">
        <f>Rounding!AM113</f>
        <v>0.20599999999999999</v>
      </c>
      <c r="AN69" s="323">
        <f>Rounding!AN113</f>
        <v>0</v>
      </c>
      <c r="AO69" s="323">
        <f>Rounding!AO113</f>
        <v>0.20599999999999999</v>
      </c>
      <c r="AP69" s="323">
        <f>Rounding!AP113</f>
        <v>0</v>
      </c>
      <c r="AQ69" s="304"/>
      <c r="AR69" s="304"/>
    </row>
    <row r="70" spans="2:44" x14ac:dyDescent="0.25">
      <c r="C70" s="91"/>
      <c r="D70" s="2"/>
      <c r="E70" s="2"/>
      <c r="G70" s="13"/>
      <c r="J70" s="92"/>
      <c r="K70" s="92"/>
      <c r="L70" s="92"/>
      <c r="M70" s="92"/>
      <c r="N70" s="92"/>
      <c r="O70" s="92"/>
      <c r="P70" s="92"/>
      <c r="Q70" s="92"/>
      <c r="R70" s="92"/>
      <c r="S70" s="92"/>
      <c r="T70" s="92"/>
      <c r="U70" s="92"/>
      <c r="V70" s="92"/>
      <c r="W70" s="92"/>
      <c r="X70" s="92"/>
      <c r="Y70" s="92"/>
      <c r="Z70" s="92"/>
      <c r="AA70" s="92"/>
      <c r="AB70" s="92"/>
      <c r="AC70" s="92"/>
      <c r="AD70" s="92"/>
      <c r="AE70" s="92"/>
      <c r="AF70" s="92"/>
      <c r="AG70" s="92"/>
      <c r="AH70" s="92"/>
      <c r="AI70" s="92"/>
      <c r="AJ70" s="92"/>
      <c r="AK70" s="92"/>
      <c r="AL70" s="92"/>
      <c r="AM70" s="92"/>
      <c r="AN70" s="92"/>
      <c r="AO70" s="92"/>
      <c r="AP70" s="92"/>
    </row>
    <row r="71" spans="2:44" x14ac:dyDescent="0.25">
      <c r="C71" s="31" t="str">
        <f ca="1">INDEX('Version control'!$H$34:$H$56,MATCH($A$1,'Version control'!$F$34:$F$56,0),1)&amp;"-C: Net revenue components"</f>
        <v>Section 117-C: Net revenue components</v>
      </c>
      <c r="D71" s="31"/>
      <c r="E71" s="31"/>
      <c r="F71" s="31"/>
      <c r="G71" s="31"/>
      <c r="H71" s="31"/>
      <c r="I71" s="31"/>
      <c r="J71" s="93"/>
      <c r="K71" s="93"/>
      <c r="L71" s="93"/>
      <c r="M71" s="93"/>
      <c r="N71" s="93"/>
      <c r="O71" s="93"/>
      <c r="P71" s="93"/>
      <c r="Q71" s="93"/>
      <c r="R71" s="93"/>
      <c r="S71" s="93"/>
      <c r="T71" s="93"/>
      <c r="U71" s="93"/>
      <c r="V71" s="93"/>
      <c r="W71" s="93"/>
      <c r="X71" s="93"/>
      <c r="Y71" s="93"/>
      <c r="Z71" s="93"/>
      <c r="AA71" s="93"/>
      <c r="AB71" s="93"/>
      <c r="AC71" s="93"/>
      <c r="AD71" s="93"/>
      <c r="AE71" s="93"/>
      <c r="AF71" s="93"/>
      <c r="AG71" s="93"/>
      <c r="AH71" s="93"/>
      <c r="AI71" s="93"/>
      <c r="AJ71" s="93"/>
      <c r="AK71" s="93"/>
      <c r="AL71" s="93"/>
      <c r="AM71" s="93"/>
      <c r="AN71" s="93"/>
      <c r="AO71" s="93"/>
      <c r="AP71" s="93"/>
      <c r="AQ71" s="31"/>
      <c r="AR71" s="31"/>
    </row>
    <row r="72" spans="2:44" x14ac:dyDescent="0.25">
      <c r="D72" s="32"/>
      <c r="J72" s="92"/>
      <c r="K72" s="92"/>
      <c r="L72" s="92"/>
      <c r="M72" s="92"/>
      <c r="N72" s="92"/>
      <c r="O72" s="92"/>
      <c r="P72" s="92"/>
      <c r="Q72" s="92"/>
      <c r="R72" s="92"/>
      <c r="S72" s="92"/>
      <c r="T72" s="92"/>
      <c r="U72" s="92"/>
      <c r="V72" s="92"/>
      <c r="W72" s="92"/>
      <c r="X72" s="92"/>
      <c r="Y72" s="92"/>
      <c r="Z72" s="92"/>
      <c r="AA72" s="92"/>
      <c r="AB72" s="92"/>
      <c r="AC72" s="92"/>
      <c r="AD72" s="92"/>
      <c r="AE72" s="92"/>
      <c r="AF72" s="92"/>
      <c r="AG72" s="92"/>
      <c r="AH72" s="92"/>
      <c r="AI72" s="92"/>
      <c r="AJ72" s="92"/>
      <c r="AK72" s="92"/>
      <c r="AL72" s="92"/>
      <c r="AM72" s="92"/>
      <c r="AN72" s="92"/>
      <c r="AO72" s="92"/>
      <c r="AP72" s="92"/>
    </row>
    <row r="73" spans="2:44" x14ac:dyDescent="0.25">
      <c r="E73" t="s">
        <v>863</v>
      </c>
      <c r="G73" s="13" t="s">
        <v>335</v>
      </c>
      <c r="H73" s="123">
        <f>'General inputs'!$H$85</f>
        <v>268421124.97878766</v>
      </c>
      <c r="J73" s="216"/>
      <c r="K73" s="216"/>
      <c r="L73" s="216"/>
      <c r="M73" s="216"/>
      <c r="N73" s="216"/>
      <c r="O73" s="216"/>
      <c r="P73" s="216"/>
      <c r="Q73" s="216"/>
      <c r="R73" s="216"/>
      <c r="S73" s="216"/>
      <c r="T73" s="216"/>
      <c r="U73" s="216"/>
      <c r="V73" s="216"/>
      <c r="W73" s="216"/>
      <c r="X73" s="216"/>
      <c r="Y73" s="216"/>
      <c r="Z73" s="216"/>
      <c r="AA73" s="216"/>
      <c r="AB73" s="216"/>
      <c r="AC73" s="216"/>
      <c r="AD73" s="216"/>
      <c r="AE73" s="216"/>
      <c r="AF73" s="216"/>
      <c r="AG73" s="216"/>
      <c r="AH73" s="216"/>
      <c r="AI73" s="216"/>
      <c r="AJ73" s="216"/>
      <c r="AK73" s="216"/>
      <c r="AL73" s="216"/>
      <c r="AM73" s="216"/>
      <c r="AN73" s="216"/>
      <c r="AO73" s="216"/>
      <c r="AP73" s="216"/>
    </row>
    <row r="74" spans="2:44" x14ac:dyDescent="0.25">
      <c r="E74" t="s">
        <v>1053</v>
      </c>
      <c r="G74" s="13" t="s">
        <v>335</v>
      </c>
      <c r="H74" s="123">
        <f>'Revenue matching'!H52</f>
        <v>161670554.64749214</v>
      </c>
      <c r="J74" s="216"/>
      <c r="K74" s="216"/>
      <c r="L74" s="216"/>
      <c r="M74" s="216"/>
      <c r="N74" s="216"/>
      <c r="O74" s="216"/>
      <c r="P74" s="216"/>
      <c r="Q74" s="216"/>
      <c r="R74" s="216"/>
      <c r="S74" s="216"/>
      <c r="T74" s="216"/>
      <c r="U74" s="216"/>
      <c r="V74" s="216"/>
      <c r="W74" s="216"/>
      <c r="X74" s="216"/>
      <c r="Y74" s="216"/>
      <c r="Z74" s="216"/>
      <c r="AA74" s="216"/>
      <c r="AB74" s="216"/>
      <c r="AC74" s="216"/>
      <c r="AD74" s="216"/>
      <c r="AE74" s="216"/>
      <c r="AF74" s="216"/>
      <c r="AG74" s="216"/>
      <c r="AH74" s="216"/>
      <c r="AI74" s="216"/>
      <c r="AJ74" s="216"/>
      <c r="AK74" s="216"/>
      <c r="AL74" s="216"/>
      <c r="AM74" s="216"/>
      <c r="AN74" s="216"/>
      <c r="AO74" s="216"/>
      <c r="AP74" s="216"/>
    </row>
    <row r="75" spans="2:44" x14ac:dyDescent="0.25">
      <c r="E75" t="s">
        <v>1054</v>
      </c>
      <c r="G75" s="13" t="s">
        <v>335</v>
      </c>
      <c r="H75" s="123">
        <f>'Revenue matching'!H152</f>
        <v>268421124.97878769</v>
      </c>
      <c r="J75" s="216"/>
      <c r="K75" s="216"/>
      <c r="L75" s="216"/>
      <c r="M75" s="216"/>
      <c r="N75" s="216"/>
      <c r="O75" s="216"/>
      <c r="P75" s="216"/>
      <c r="Q75" s="216"/>
      <c r="R75" s="216"/>
      <c r="S75" s="216"/>
      <c r="T75" s="216"/>
      <c r="U75" s="216"/>
      <c r="V75" s="216"/>
      <c r="W75" s="216"/>
      <c r="X75" s="216"/>
      <c r="Y75" s="216"/>
      <c r="Z75" s="216"/>
      <c r="AA75" s="216"/>
      <c r="AB75" s="216"/>
      <c r="AC75" s="216"/>
      <c r="AD75" s="216"/>
      <c r="AE75" s="216"/>
      <c r="AF75" s="216"/>
      <c r="AG75" s="216"/>
      <c r="AH75" s="216"/>
      <c r="AI75" s="216"/>
      <c r="AJ75" s="216"/>
      <c r="AK75" s="216"/>
      <c r="AL75" s="216"/>
      <c r="AM75" s="216"/>
      <c r="AN75" s="216"/>
      <c r="AO75" s="216"/>
      <c r="AP75" s="216"/>
    </row>
    <row r="76" spans="2:44" x14ac:dyDescent="0.25">
      <c r="D76" s="32"/>
      <c r="H76" s="92"/>
      <c r="J76" s="92"/>
      <c r="K76" s="92"/>
      <c r="L76" s="92"/>
      <c r="M76" s="92"/>
      <c r="N76" s="92"/>
      <c r="O76" s="92"/>
      <c r="P76" s="92"/>
      <c r="Q76" s="92"/>
      <c r="R76" s="92"/>
      <c r="S76" s="92"/>
      <c r="T76" s="92"/>
      <c r="U76" s="92"/>
      <c r="V76" s="92"/>
      <c r="W76" s="92"/>
      <c r="X76" s="92"/>
      <c r="Y76" s="92"/>
      <c r="Z76" s="92"/>
      <c r="AA76" s="92"/>
      <c r="AB76" s="92"/>
      <c r="AC76" s="92"/>
      <c r="AD76" s="92"/>
      <c r="AE76" s="92"/>
      <c r="AF76" s="92"/>
      <c r="AG76" s="92"/>
      <c r="AH76" s="92"/>
      <c r="AI76" s="92"/>
      <c r="AJ76" s="92"/>
      <c r="AK76" s="92"/>
      <c r="AL76" s="92"/>
      <c r="AM76" s="92"/>
      <c r="AN76" s="92"/>
      <c r="AO76" s="92"/>
      <c r="AP76" s="92"/>
    </row>
    <row r="77" spans="2:44" x14ac:dyDescent="0.25">
      <c r="B77" s="30" t="s">
        <v>1055</v>
      </c>
      <c r="C77" s="30"/>
      <c r="D77" s="30"/>
      <c r="E77" s="30"/>
      <c r="F77" s="30"/>
      <c r="G77" s="30"/>
      <c r="H77" s="201"/>
      <c r="I77" s="30"/>
      <c r="J77" s="201"/>
      <c r="K77" s="201"/>
      <c r="L77" s="201"/>
      <c r="M77" s="201"/>
      <c r="N77" s="201"/>
      <c r="O77" s="201"/>
      <c r="P77" s="201"/>
      <c r="Q77" s="201"/>
      <c r="R77" s="201"/>
      <c r="S77" s="201"/>
      <c r="T77" s="201"/>
      <c r="U77" s="201"/>
      <c r="V77" s="201"/>
      <c r="W77" s="201"/>
      <c r="X77" s="201"/>
      <c r="Y77" s="201"/>
      <c r="Z77" s="201"/>
      <c r="AA77" s="201"/>
      <c r="AB77" s="201"/>
      <c r="AC77" s="201"/>
      <c r="AD77" s="201"/>
      <c r="AE77" s="201"/>
      <c r="AF77" s="201"/>
      <c r="AG77" s="201"/>
      <c r="AH77" s="201"/>
      <c r="AI77" s="201"/>
      <c r="AJ77" s="201"/>
      <c r="AK77" s="201"/>
      <c r="AL77" s="201"/>
      <c r="AM77" s="201"/>
      <c r="AN77" s="201"/>
      <c r="AO77" s="201"/>
      <c r="AP77" s="201"/>
      <c r="AQ77" s="30"/>
      <c r="AR77" s="30"/>
    </row>
    <row r="78" spans="2:44" x14ac:dyDescent="0.25">
      <c r="D78" s="2"/>
      <c r="E78" s="2"/>
      <c r="H78" s="92"/>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2:44" x14ac:dyDescent="0.25">
      <c r="C79" s="31" t="str">
        <f ca="1">INDEX('Version control'!$H$34:$H$56,MATCH($A$1,'Version control'!$F$34:$F$56,0),1)&amp;"-D: Net revenue by tariff"</f>
        <v>Section 117-D: Net revenue by tariff</v>
      </c>
      <c r="D79" s="31"/>
      <c r="E79" s="31"/>
      <c r="F79" s="31"/>
      <c r="G79" s="31"/>
      <c r="H79" s="93"/>
      <c r="I79" s="31"/>
      <c r="J79" s="93"/>
      <c r="K79" s="93"/>
      <c r="L79" s="93"/>
      <c r="M79" s="93"/>
      <c r="N79" s="93"/>
      <c r="O79" s="93"/>
      <c r="P79" s="93"/>
      <c r="Q79" s="93"/>
      <c r="R79" s="93"/>
      <c r="S79" s="93"/>
      <c r="T79" s="93"/>
      <c r="U79" s="93"/>
      <c r="V79" s="93"/>
      <c r="W79" s="93"/>
      <c r="X79" s="93"/>
      <c r="Y79" s="93"/>
      <c r="Z79" s="93"/>
      <c r="AA79" s="93"/>
      <c r="AB79" s="93"/>
      <c r="AC79" s="93"/>
      <c r="AD79" s="93"/>
      <c r="AE79" s="93"/>
      <c r="AF79" s="93"/>
      <c r="AG79" s="93"/>
      <c r="AH79" s="93"/>
      <c r="AI79" s="93"/>
      <c r="AJ79" s="93"/>
      <c r="AK79" s="93"/>
      <c r="AL79" s="93"/>
      <c r="AM79" s="93"/>
      <c r="AN79" s="93"/>
      <c r="AO79" s="93"/>
      <c r="AP79" s="93"/>
      <c r="AQ79" s="31"/>
      <c r="AR79" s="31"/>
    </row>
    <row r="80" spans="2:44" x14ac:dyDescent="0.25">
      <c r="F80" s="3"/>
      <c r="G80" s="242"/>
      <c r="H80" s="130"/>
      <c r="I80" s="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5:42" x14ac:dyDescent="0.25">
      <c r="E81" s="32" t="s">
        <v>1056</v>
      </c>
      <c r="G81" s="13"/>
      <c r="H81" s="243" t="s">
        <v>657</v>
      </c>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5:42" x14ac:dyDescent="0.25">
      <c r="E82" s="28"/>
      <c r="F82" s="23" t="s">
        <v>192</v>
      </c>
      <c r="G82" s="85" t="s">
        <v>335</v>
      </c>
      <c r="H82" s="129">
        <f t="shared" ref="H82:H88" si="0">SUM(J82:AP82)</f>
        <v>153970530.45694554</v>
      </c>
      <c r="I82" s="23"/>
      <c r="J82" s="129">
        <f t="shared" ref="J82:AP82" si="1">J16 * thousand * J45 / hundred</f>
        <v>86053492.45416382</v>
      </c>
      <c r="K82" s="129">
        <f t="shared" si="1"/>
        <v>9669279.8241092693</v>
      </c>
      <c r="L82" s="129">
        <f t="shared" si="1"/>
        <v>9895276.9765600469</v>
      </c>
      <c r="M82" s="129">
        <f t="shared" si="1"/>
        <v>31151624.767412771</v>
      </c>
      <c r="N82" s="129">
        <f t="shared" si="1"/>
        <v>5962393.5793537311</v>
      </c>
      <c r="O82" s="129">
        <f t="shared" si="1"/>
        <v>635716.58219807444</v>
      </c>
      <c r="P82" s="129">
        <f t="shared" si="1"/>
        <v>1075383.3300817544</v>
      </c>
      <c r="Q82" s="129">
        <f t="shared" si="1"/>
        <v>0</v>
      </c>
      <c r="R82" s="129">
        <f t="shared" si="1"/>
        <v>12436.582235721524</v>
      </c>
      <c r="S82" s="129">
        <f t="shared" si="1"/>
        <v>5817.9497681947178</v>
      </c>
      <c r="T82" s="129">
        <f t="shared" si="1"/>
        <v>911672.30632708501</v>
      </c>
      <c r="U82" s="129">
        <f t="shared" si="1"/>
        <v>13940026.339980364</v>
      </c>
      <c r="V82" s="129">
        <f t="shared" si="1"/>
        <v>622209.4445989806</v>
      </c>
      <c r="W82" s="129">
        <f t="shared" si="1"/>
        <v>3598536.7727253358</v>
      </c>
      <c r="X82" s="129">
        <f t="shared" si="1"/>
        <v>672500.81324269285</v>
      </c>
      <c r="Y82" s="129">
        <f t="shared" si="1"/>
        <v>836652.98977283598</v>
      </c>
      <c r="Z82" s="129">
        <f t="shared" si="1"/>
        <v>200963.05435166153</v>
      </c>
      <c r="AA82" s="129">
        <f t="shared" si="1"/>
        <v>2105.2977355733055</v>
      </c>
      <c r="AB82" s="129">
        <f t="shared" si="1"/>
        <v>920293.89254080201</v>
      </c>
      <c r="AC82" s="129">
        <f t="shared" si="1"/>
        <v>-82337.267452199289</v>
      </c>
      <c r="AD82" s="129">
        <f t="shared" si="1"/>
        <v>0</v>
      </c>
      <c r="AE82" s="129">
        <f t="shared" si="1"/>
        <v>-4613179.987797264</v>
      </c>
      <c r="AF82" s="129">
        <f t="shared" si="1"/>
        <v>0</v>
      </c>
      <c r="AG82" s="129">
        <f t="shared" si="1"/>
        <v>-348071.95274843363</v>
      </c>
      <c r="AH82" s="129">
        <f t="shared" si="1"/>
        <v>0</v>
      </c>
      <c r="AI82" s="129">
        <f t="shared" si="1"/>
        <v>-40473.08928</v>
      </c>
      <c r="AJ82" s="129">
        <f t="shared" si="1"/>
        <v>0</v>
      </c>
      <c r="AK82" s="129">
        <f t="shared" si="1"/>
        <v>0</v>
      </c>
      <c r="AL82" s="129">
        <f t="shared" si="1"/>
        <v>0</v>
      </c>
      <c r="AM82" s="129">
        <f t="shared" si="1"/>
        <v>-4020180.516444142</v>
      </c>
      <c r="AN82" s="129">
        <f t="shared" si="1"/>
        <v>0</v>
      </c>
      <c r="AO82" s="129">
        <f t="shared" si="1"/>
        <v>-3091609.6864910889</v>
      </c>
      <c r="AP82" s="129">
        <f t="shared" si="1"/>
        <v>0</v>
      </c>
    </row>
    <row r="83" spans="5:42" x14ac:dyDescent="0.25">
      <c r="E83" s="28"/>
      <c r="F83" t="s">
        <v>193</v>
      </c>
      <c r="G83" s="13" t="s">
        <v>335</v>
      </c>
      <c r="H83" s="101">
        <f t="shared" si="0"/>
        <v>36274292.508555591</v>
      </c>
      <c r="J83" s="101">
        <f t="shared" ref="J83:AP83" si="2">J17 * thousand * J46 / hundred</f>
        <v>0</v>
      </c>
      <c r="K83" s="101">
        <f t="shared" si="2"/>
        <v>4811466.7241820516</v>
      </c>
      <c r="L83" s="101">
        <f t="shared" si="2"/>
        <v>0</v>
      </c>
      <c r="M83" s="101">
        <f t="shared" si="2"/>
        <v>0</v>
      </c>
      <c r="N83" s="101">
        <f t="shared" si="2"/>
        <v>1831769.814809195</v>
      </c>
      <c r="O83" s="101">
        <f t="shared" si="2"/>
        <v>0</v>
      </c>
      <c r="P83" s="101">
        <f t="shared" si="2"/>
        <v>219122.67889629066</v>
      </c>
      <c r="Q83" s="101">
        <f t="shared" si="2"/>
        <v>0</v>
      </c>
      <c r="R83" s="101">
        <f t="shared" si="2"/>
        <v>4659.7523532787227</v>
      </c>
      <c r="S83" s="101">
        <f t="shared" si="2"/>
        <v>3981.6430181322344</v>
      </c>
      <c r="T83" s="101">
        <f t="shared" si="2"/>
        <v>1189216.4738940431</v>
      </c>
      <c r="U83" s="101">
        <f t="shared" si="2"/>
        <v>20509164.463103808</v>
      </c>
      <c r="V83" s="101">
        <f t="shared" si="2"/>
        <v>1152525.7823727678</v>
      </c>
      <c r="W83" s="101">
        <f t="shared" si="2"/>
        <v>7929873.3465783726</v>
      </c>
      <c r="X83" s="101">
        <f t="shared" si="2"/>
        <v>0</v>
      </c>
      <c r="Y83" s="101">
        <f t="shared" si="2"/>
        <v>0</v>
      </c>
      <c r="Z83" s="101">
        <f t="shared" si="2"/>
        <v>0</v>
      </c>
      <c r="AA83" s="101">
        <f t="shared" si="2"/>
        <v>0</v>
      </c>
      <c r="AB83" s="101">
        <f t="shared" si="2"/>
        <v>747115.12823382253</v>
      </c>
      <c r="AC83" s="101">
        <f t="shared" si="2"/>
        <v>0</v>
      </c>
      <c r="AD83" s="101">
        <f t="shared" si="2"/>
        <v>0</v>
      </c>
      <c r="AE83" s="101">
        <f t="shared" si="2"/>
        <v>0</v>
      </c>
      <c r="AF83" s="101">
        <f t="shared" si="2"/>
        <v>0</v>
      </c>
      <c r="AG83" s="101">
        <f t="shared" si="2"/>
        <v>-233940.52441060395</v>
      </c>
      <c r="AH83" s="101">
        <f t="shared" si="2"/>
        <v>0</v>
      </c>
      <c r="AI83" s="101">
        <f t="shared" si="2"/>
        <v>0</v>
      </c>
      <c r="AJ83" s="101">
        <f t="shared" si="2"/>
        <v>0</v>
      </c>
      <c r="AK83" s="101">
        <f t="shared" si="2"/>
        <v>0</v>
      </c>
      <c r="AL83" s="101">
        <f t="shared" si="2"/>
        <v>0</v>
      </c>
      <c r="AM83" s="101">
        <f t="shared" si="2"/>
        <v>0</v>
      </c>
      <c r="AN83" s="101">
        <f t="shared" si="2"/>
        <v>0</v>
      </c>
      <c r="AO83" s="101">
        <f t="shared" si="2"/>
        <v>-1890662.774475564</v>
      </c>
      <c r="AP83" s="101">
        <f t="shared" si="2"/>
        <v>0</v>
      </c>
    </row>
    <row r="84" spans="5:42" x14ac:dyDescent="0.25">
      <c r="E84" s="28"/>
      <c r="F84" t="s">
        <v>194</v>
      </c>
      <c r="G84" s="13" t="s">
        <v>335</v>
      </c>
      <c r="H84" s="101">
        <f t="shared" si="0"/>
        <v>21853987.581200793</v>
      </c>
      <c r="J84" s="101">
        <f t="shared" ref="J84:AP84" si="3">J18 * thousand * J47 / hundred</f>
        <v>0</v>
      </c>
      <c r="K84" s="101">
        <f t="shared" si="3"/>
        <v>0</v>
      </c>
      <c r="L84" s="101">
        <f t="shared" si="3"/>
        <v>0</v>
      </c>
      <c r="M84" s="101">
        <f t="shared" si="3"/>
        <v>0</v>
      </c>
      <c r="N84" s="101">
        <f t="shared" si="3"/>
        <v>0</v>
      </c>
      <c r="O84" s="101">
        <f t="shared" si="3"/>
        <v>0</v>
      </c>
      <c r="P84" s="101">
        <f t="shared" si="3"/>
        <v>0</v>
      </c>
      <c r="Q84" s="101">
        <f t="shared" si="3"/>
        <v>0</v>
      </c>
      <c r="R84" s="101">
        <f t="shared" si="3"/>
        <v>0</v>
      </c>
      <c r="S84" s="101">
        <f t="shared" si="3"/>
        <v>3555.7352456095559</v>
      </c>
      <c r="T84" s="101">
        <f t="shared" si="3"/>
        <v>601925.16892250034</v>
      </c>
      <c r="U84" s="101">
        <f t="shared" si="3"/>
        <v>12153894.27408999</v>
      </c>
      <c r="V84" s="101">
        <f t="shared" si="3"/>
        <v>1001908.7064432966</v>
      </c>
      <c r="W84" s="101">
        <f t="shared" si="3"/>
        <v>6626641.9736371888</v>
      </c>
      <c r="X84" s="101">
        <f t="shared" si="3"/>
        <v>0</v>
      </c>
      <c r="Y84" s="101">
        <f t="shared" si="3"/>
        <v>0</v>
      </c>
      <c r="Z84" s="101">
        <f t="shared" si="3"/>
        <v>0</v>
      </c>
      <c r="AA84" s="101">
        <f t="shared" si="3"/>
        <v>0</v>
      </c>
      <c r="AB84" s="101">
        <f t="shared" si="3"/>
        <v>2420163.7869548271</v>
      </c>
      <c r="AC84" s="101">
        <f t="shared" si="3"/>
        <v>0</v>
      </c>
      <c r="AD84" s="101">
        <f t="shared" si="3"/>
        <v>0</v>
      </c>
      <c r="AE84" s="101">
        <f t="shared" si="3"/>
        <v>0</v>
      </c>
      <c r="AF84" s="101">
        <f t="shared" si="3"/>
        <v>0</v>
      </c>
      <c r="AG84" s="101">
        <f t="shared" si="3"/>
        <v>-125665.93549167506</v>
      </c>
      <c r="AH84" s="101">
        <f t="shared" si="3"/>
        <v>0</v>
      </c>
      <c r="AI84" s="101">
        <f t="shared" si="3"/>
        <v>0</v>
      </c>
      <c r="AJ84" s="101">
        <f t="shared" si="3"/>
        <v>0</v>
      </c>
      <c r="AK84" s="101">
        <f t="shared" si="3"/>
        <v>0</v>
      </c>
      <c r="AL84" s="101">
        <f t="shared" si="3"/>
        <v>0</v>
      </c>
      <c r="AM84" s="101">
        <f t="shared" si="3"/>
        <v>0</v>
      </c>
      <c r="AN84" s="101">
        <f t="shared" si="3"/>
        <v>0</v>
      </c>
      <c r="AO84" s="101">
        <f t="shared" si="3"/>
        <v>-828436.12860094639</v>
      </c>
      <c r="AP84" s="101">
        <f t="shared" si="3"/>
        <v>0</v>
      </c>
    </row>
    <row r="85" spans="5:42" x14ac:dyDescent="0.25">
      <c r="E85" s="28"/>
      <c r="F85" s="23" t="s">
        <v>195</v>
      </c>
      <c r="G85" s="85" t="s">
        <v>335</v>
      </c>
      <c r="H85" s="129">
        <f t="shared" si="0"/>
        <v>22059655.18153074</v>
      </c>
      <c r="I85" s="23"/>
      <c r="J85" s="129">
        <f t="shared" ref="J85:AP85" si="4" xml:space="preserve"> J19 * J48 * days_in_year / hundred</f>
        <v>15810487.167999998</v>
      </c>
      <c r="K85" s="129">
        <f t="shared" si="4"/>
        <v>1528603.5129807759</v>
      </c>
      <c r="L85" s="129">
        <f t="shared" si="4"/>
        <v>0</v>
      </c>
      <c r="M85" s="129">
        <f t="shared" si="4"/>
        <v>2147358.5707884342</v>
      </c>
      <c r="N85" s="129">
        <f t="shared" si="4"/>
        <v>350572.84513470362</v>
      </c>
      <c r="O85" s="129">
        <f t="shared" si="4"/>
        <v>0</v>
      </c>
      <c r="P85" s="129">
        <f t="shared" si="4"/>
        <v>122713.75819975838</v>
      </c>
      <c r="Q85" s="129">
        <f t="shared" si="4"/>
        <v>0</v>
      </c>
      <c r="R85" s="129">
        <f t="shared" si="4"/>
        <v>9136.1689999999999</v>
      </c>
      <c r="S85" s="129">
        <f t="shared" si="4"/>
        <v>1774.9483622424286</v>
      </c>
      <c r="T85" s="129">
        <f t="shared" si="4"/>
        <v>33670.135457104974</v>
      </c>
      <c r="U85" s="129">
        <f t="shared" si="4"/>
        <v>655406.80335230159</v>
      </c>
      <c r="V85" s="129">
        <f t="shared" si="4"/>
        <v>16697.049988323099</v>
      </c>
      <c r="W85" s="129">
        <f t="shared" si="4"/>
        <v>788525.5947670968</v>
      </c>
      <c r="X85" s="129">
        <f t="shared" si="4"/>
        <v>0</v>
      </c>
      <c r="Y85" s="129">
        <f t="shared" si="4"/>
        <v>0</v>
      </c>
      <c r="Z85" s="129">
        <f t="shared" si="4"/>
        <v>0</v>
      </c>
      <c r="AA85" s="129">
        <f t="shared" si="4"/>
        <v>0</v>
      </c>
      <c r="AB85" s="129">
        <f t="shared" si="4"/>
        <v>0</v>
      </c>
      <c r="AC85" s="129">
        <f t="shared" si="4"/>
        <v>0</v>
      </c>
      <c r="AD85" s="129">
        <f t="shared" si="4"/>
        <v>0</v>
      </c>
      <c r="AE85" s="129">
        <f t="shared" si="4"/>
        <v>0</v>
      </c>
      <c r="AF85" s="129">
        <f t="shared" si="4"/>
        <v>0</v>
      </c>
      <c r="AG85" s="129">
        <f t="shared" si="4"/>
        <v>0</v>
      </c>
      <c r="AH85" s="129">
        <f t="shared" si="4"/>
        <v>0</v>
      </c>
      <c r="AI85" s="129">
        <f t="shared" si="4"/>
        <v>0</v>
      </c>
      <c r="AJ85" s="129">
        <f t="shared" si="4"/>
        <v>0</v>
      </c>
      <c r="AK85" s="129">
        <f t="shared" si="4"/>
        <v>0</v>
      </c>
      <c r="AL85" s="129">
        <f t="shared" si="4"/>
        <v>0</v>
      </c>
      <c r="AM85" s="129">
        <f t="shared" si="4"/>
        <v>443383.27549999999</v>
      </c>
      <c r="AN85" s="129">
        <f t="shared" si="4"/>
        <v>0</v>
      </c>
      <c r="AO85" s="129">
        <f t="shared" si="4"/>
        <v>151325.35</v>
      </c>
      <c r="AP85" s="129">
        <f t="shared" si="4"/>
        <v>0</v>
      </c>
    </row>
    <row r="86" spans="5:42" x14ac:dyDescent="0.25">
      <c r="E86" s="28"/>
      <c r="F86" t="s">
        <v>196</v>
      </c>
      <c r="G86" s="13" t="s">
        <v>335</v>
      </c>
      <c r="H86" s="101">
        <f t="shared" si="0"/>
        <v>31896586.348227628</v>
      </c>
      <c r="J86" s="101">
        <f t="shared" ref="J86:AP86" si="5" xml:space="preserve"> J20 * J49 * days_in_year / hundred</f>
        <v>0</v>
      </c>
      <c r="K86" s="101">
        <f t="shared" si="5"/>
        <v>0</v>
      </c>
      <c r="L86" s="101">
        <f t="shared" si="5"/>
        <v>0</v>
      </c>
      <c r="M86" s="101">
        <f t="shared" si="5"/>
        <v>0</v>
      </c>
      <c r="N86" s="101">
        <f t="shared" si="5"/>
        <v>0</v>
      </c>
      <c r="O86" s="101">
        <f t="shared" si="5"/>
        <v>0</v>
      </c>
      <c r="P86" s="101">
        <f t="shared" si="5"/>
        <v>0</v>
      </c>
      <c r="Q86" s="101">
        <f t="shared" si="5"/>
        <v>0</v>
      </c>
      <c r="R86" s="101">
        <f t="shared" si="5"/>
        <v>0</v>
      </c>
      <c r="S86" s="101">
        <f t="shared" si="5"/>
        <v>0</v>
      </c>
      <c r="T86" s="101">
        <f t="shared" si="5"/>
        <v>0</v>
      </c>
      <c r="U86" s="101">
        <f t="shared" si="5"/>
        <v>15011703.09182651</v>
      </c>
      <c r="V86" s="101">
        <f t="shared" si="5"/>
        <v>902072.12668572029</v>
      </c>
      <c r="W86" s="101">
        <f t="shared" si="5"/>
        <v>15982811.129715398</v>
      </c>
      <c r="X86" s="101">
        <f t="shared" si="5"/>
        <v>0</v>
      </c>
      <c r="Y86" s="101">
        <f t="shared" si="5"/>
        <v>0</v>
      </c>
      <c r="Z86" s="101">
        <f t="shared" si="5"/>
        <v>0</v>
      </c>
      <c r="AA86" s="101">
        <f t="shared" si="5"/>
        <v>0</v>
      </c>
      <c r="AB86" s="101">
        <f t="shared" si="5"/>
        <v>0</v>
      </c>
      <c r="AC86" s="101">
        <f t="shared" si="5"/>
        <v>0</v>
      </c>
      <c r="AD86" s="101">
        <f t="shared" si="5"/>
        <v>0</v>
      </c>
      <c r="AE86" s="101">
        <f t="shared" si="5"/>
        <v>0</v>
      </c>
      <c r="AF86" s="101">
        <f t="shared" si="5"/>
        <v>0</v>
      </c>
      <c r="AG86" s="101">
        <f t="shared" si="5"/>
        <v>0</v>
      </c>
      <c r="AH86" s="101">
        <f t="shared" si="5"/>
        <v>0</v>
      </c>
      <c r="AI86" s="101">
        <f t="shared" si="5"/>
        <v>0</v>
      </c>
      <c r="AJ86" s="101">
        <f t="shared" si="5"/>
        <v>0</v>
      </c>
      <c r="AK86" s="101">
        <f t="shared" si="5"/>
        <v>0</v>
      </c>
      <c r="AL86" s="101">
        <f t="shared" si="5"/>
        <v>0</v>
      </c>
      <c r="AM86" s="101">
        <f t="shared" si="5"/>
        <v>0</v>
      </c>
      <c r="AN86" s="101">
        <f t="shared" si="5"/>
        <v>0</v>
      </c>
      <c r="AO86" s="101">
        <f t="shared" si="5"/>
        <v>0</v>
      </c>
      <c r="AP86" s="101">
        <f t="shared" si="5"/>
        <v>0</v>
      </c>
    </row>
    <row r="87" spans="5:42" x14ac:dyDescent="0.25">
      <c r="E87" s="28"/>
      <c r="F87" t="s">
        <v>197</v>
      </c>
      <c r="G87" s="13" t="s">
        <v>335</v>
      </c>
      <c r="H87" s="101">
        <f t="shared" si="0"/>
        <v>1184241.2327048024</v>
      </c>
      <c r="J87" s="101">
        <f t="shared" ref="J87:AP87" si="6" xml:space="preserve"> J21 * J50 * days_in_year / hundred</f>
        <v>0</v>
      </c>
      <c r="K87" s="101">
        <f t="shared" si="6"/>
        <v>0</v>
      </c>
      <c r="L87" s="101">
        <f t="shared" si="6"/>
        <v>0</v>
      </c>
      <c r="M87" s="101">
        <f t="shared" si="6"/>
        <v>0</v>
      </c>
      <c r="N87" s="101">
        <f t="shared" si="6"/>
        <v>0</v>
      </c>
      <c r="O87" s="101">
        <f t="shared" si="6"/>
        <v>0</v>
      </c>
      <c r="P87" s="101">
        <f t="shared" si="6"/>
        <v>0</v>
      </c>
      <c r="Q87" s="101">
        <f t="shared" si="6"/>
        <v>0</v>
      </c>
      <c r="R87" s="101">
        <f t="shared" si="6"/>
        <v>0</v>
      </c>
      <c r="S87" s="101">
        <f t="shared" si="6"/>
        <v>0</v>
      </c>
      <c r="T87" s="101">
        <f t="shared" si="6"/>
        <v>0</v>
      </c>
      <c r="U87" s="101">
        <f t="shared" si="6"/>
        <v>633575.81652876432</v>
      </c>
      <c r="V87" s="101">
        <f t="shared" si="6"/>
        <v>48879.683276600706</v>
      </c>
      <c r="W87" s="101">
        <f t="shared" si="6"/>
        <v>501785.73289943748</v>
      </c>
      <c r="X87" s="101">
        <f t="shared" si="6"/>
        <v>0</v>
      </c>
      <c r="Y87" s="101">
        <f t="shared" si="6"/>
        <v>0</v>
      </c>
      <c r="Z87" s="101">
        <f t="shared" si="6"/>
        <v>0</v>
      </c>
      <c r="AA87" s="101">
        <f t="shared" si="6"/>
        <v>0</v>
      </c>
      <c r="AB87" s="101">
        <f t="shared" si="6"/>
        <v>0</v>
      </c>
      <c r="AC87" s="101">
        <f t="shared" si="6"/>
        <v>0</v>
      </c>
      <c r="AD87" s="101">
        <f t="shared" si="6"/>
        <v>0</v>
      </c>
      <c r="AE87" s="101">
        <f t="shared" si="6"/>
        <v>0</v>
      </c>
      <c r="AF87" s="101">
        <f t="shared" si="6"/>
        <v>0</v>
      </c>
      <c r="AG87" s="101">
        <f t="shared" si="6"/>
        <v>0</v>
      </c>
      <c r="AH87" s="101">
        <f t="shared" si="6"/>
        <v>0</v>
      </c>
      <c r="AI87" s="101">
        <f t="shared" si="6"/>
        <v>0</v>
      </c>
      <c r="AJ87" s="101">
        <f t="shared" si="6"/>
        <v>0</v>
      </c>
      <c r="AK87" s="101">
        <f t="shared" si="6"/>
        <v>0</v>
      </c>
      <c r="AL87" s="101">
        <f t="shared" si="6"/>
        <v>0</v>
      </c>
      <c r="AM87" s="101">
        <f t="shared" si="6"/>
        <v>0</v>
      </c>
      <c r="AN87" s="101">
        <f t="shared" si="6"/>
        <v>0</v>
      </c>
      <c r="AO87" s="101">
        <f t="shared" si="6"/>
        <v>0</v>
      </c>
      <c r="AP87" s="101">
        <f t="shared" si="6"/>
        <v>0</v>
      </c>
    </row>
    <row r="88" spans="5:42" x14ac:dyDescent="0.25">
      <c r="E88" s="28"/>
      <c r="F88" s="23" t="s">
        <v>198</v>
      </c>
      <c r="G88" s="85" t="s">
        <v>335</v>
      </c>
      <c r="H88" s="129">
        <f t="shared" si="0"/>
        <v>628771.85617461242</v>
      </c>
      <c r="I88" s="23"/>
      <c r="J88" s="129">
        <f t="shared" ref="J88:AP88" si="7">J22 * thousand * J51 / hundred</f>
        <v>0</v>
      </c>
      <c r="K88" s="129">
        <f t="shared" si="7"/>
        <v>0</v>
      </c>
      <c r="L88" s="129">
        <f t="shared" si="7"/>
        <v>0</v>
      </c>
      <c r="M88" s="129">
        <f t="shared" si="7"/>
        <v>0</v>
      </c>
      <c r="N88" s="129">
        <f t="shared" si="7"/>
        <v>0</v>
      </c>
      <c r="O88" s="129">
        <f t="shared" si="7"/>
        <v>0</v>
      </c>
      <c r="P88" s="129">
        <f t="shared" si="7"/>
        <v>0</v>
      </c>
      <c r="Q88" s="129">
        <f t="shared" si="7"/>
        <v>0</v>
      </c>
      <c r="R88" s="129">
        <f t="shared" si="7"/>
        <v>0</v>
      </c>
      <c r="S88" s="129">
        <f t="shared" si="7"/>
        <v>0</v>
      </c>
      <c r="T88" s="129">
        <f t="shared" si="7"/>
        <v>0</v>
      </c>
      <c r="U88" s="129">
        <f t="shared" si="7"/>
        <v>369425.20087674679</v>
      </c>
      <c r="V88" s="129">
        <f t="shared" si="7"/>
        <v>11443.489470147884</v>
      </c>
      <c r="W88" s="129">
        <f t="shared" si="7"/>
        <v>145197.69149196279</v>
      </c>
      <c r="X88" s="129">
        <f t="shared" si="7"/>
        <v>0</v>
      </c>
      <c r="Y88" s="129">
        <f t="shared" si="7"/>
        <v>0</v>
      </c>
      <c r="Z88" s="129">
        <f t="shared" si="7"/>
        <v>0</v>
      </c>
      <c r="AA88" s="129">
        <f t="shared" si="7"/>
        <v>0</v>
      </c>
      <c r="AB88" s="129">
        <f t="shared" si="7"/>
        <v>0</v>
      </c>
      <c r="AC88" s="129">
        <f t="shared" si="7"/>
        <v>0</v>
      </c>
      <c r="AD88" s="129">
        <f t="shared" si="7"/>
        <v>0</v>
      </c>
      <c r="AE88" s="129">
        <f t="shared" si="7"/>
        <v>31926.53483054497</v>
      </c>
      <c r="AF88" s="129">
        <f t="shared" si="7"/>
        <v>0</v>
      </c>
      <c r="AG88" s="129">
        <f t="shared" si="7"/>
        <v>3508.1565158052586</v>
      </c>
      <c r="AH88" s="129">
        <f t="shared" si="7"/>
        <v>0</v>
      </c>
      <c r="AI88" s="129">
        <f t="shared" si="7"/>
        <v>0</v>
      </c>
      <c r="AJ88" s="129">
        <f t="shared" si="7"/>
        <v>0</v>
      </c>
      <c r="AK88" s="129">
        <f t="shared" si="7"/>
        <v>0</v>
      </c>
      <c r="AL88" s="129">
        <f t="shared" si="7"/>
        <v>0</v>
      </c>
      <c r="AM88" s="129">
        <f t="shared" si="7"/>
        <v>53169.613063707016</v>
      </c>
      <c r="AN88" s="129">
        <f t="shared" si="7"/>
        <v>0</v>
      </c>
      <c r="AO88" s="129">
        <f t="shared" si="7"/>
        <v>14101.169925697746</v>
      </c>
      <c r="AP88" s="129">
        <f t="shared" si="7"/>
        <v>0</v>
      </c>
    </row>
    <row r="89" spans="5:42" x14ac:dyDescent="0.25">
      <c r="E89" s="28"/>
      <c r="F89" s="111" t="s">
        <v>101</v>
      </c>
      <c r="G89" s="244" t="s">
        <v>335</v>
      </c>
      <c r="H89" s="157">
        <f>SUM(H82:H88)</f>
        <v>267868065.16533968</v>
      </c>
      <c r="I89" s="54"/>
      <c r="J89" s="157">
        <f t="shared" ref="J89:AP89" si="8">SUM(J82:J88)</f>
        <v>101863979.62216382</v>
      </c>
      <c r="K89" s="157">
        <f t="shared" si="8"/>
        <v>16009350.061272098</v>
      </c>
      <c r="L89" s="157">
        <f t="shared" si="8"/>
        <v>9895276.9765600469</v>
      </c>
      <c r="M89" s="157">
        <f t="shared" si="8"/>
        <v>33298983.338201206</v>
      </c>
      <c r="N89" s="157">
        <f t="shared" si="8"/>
        <v>8144736.2392976293</v>
      </c>
      <c r="O89" s="157">
        <f t="shared" si="8"/>
        <v>635716.58219807444</v>
      </c>
      <c r="P89" s="157">
        <f t="shared" si="8"/>
        <v>1417219.7671778034</v>
      </c>
      <c r="Q89" s="157">
        <f t="shared" si="8"/>
        <v>0</v>
      </c>
      <c r="R89" s="157">
        <f t="shared" si="8"/>
        <v>26232.503589000247</v>
      </c>
      <c r="S89" s="157">
        <f t="shared" si="8"/>
        <v>15130.276394178936</v>
      </c>
      <c r="T89" s="157">
        <f t="shared" si="8"/>
        <v>2736484.0846007331</v>
      </c>
      <c r="U89" s="157">
        <f t="shared" si="8"/>
        <v>63273195.989758499</v>
      </c>
      <c r="V89" s="157">
        <f t="shared" si="8"/>
        <v>3755736.282835837</v>
      </c>
      <c r="W89" s="157">
        <f t="shared" si="8"/>
        <v>35573372.241814785</v>
      </c>
      <c r="X89" s="157">
        <f t="shared" si="8"/>
        <v>672500.81324269285</v>
      </c>
      <c r="Y89" s="157">
        <f t="shared" si="8"/>
        <v>836652.98977283598</v>
      </c>
      <c r="Z89" s="157">
        <f t="shared" si="8"/>
        <v>200963.05435166153</v>
      </c>
      <c r="AA89" s="157">
        <f t="shared" si="8"/>
        <v>2105.2977355733055</v>
      </c>
      <c r="AB89" s="157">
        <f t="shared" si="8"/>
        <v>4087572.8077294519</v>
      </c>
      <c r="AC89" s="157">
        <f t="shared" si="8"/>
        <v>-82337.267452199289</v>
      </c>
      <c r="AD89" s="157">
        <f t="shared" si="8"/>
        <v>0</v>
      </c>
      <c r="AE89" s="157">
        <f t="shared" si="8"/>
        <v>-4581253.4529667189</v>
      </c>
      <c r="AF89" s="157">
        <f t="shared" si="8"/>
        <v>0</v>
      </c>
      <c r="AG89" s="157">
        <f t="shared" si="8"/>
        <v>-704170.25613490737</v>
      </c>
      <c r="AH89" s="157">
        <f t="shared" si="8"/>
        <v>0</v>
      </c>
      <c r="AI89" s="157">
        <f t="shared" si="8"/>
        <v>-40473.08928</v>
      </c>
      <c r="AJ89" s="157">
        <f t="shared" si="8"/>
        <v>0</v>
      </c>
      <c r="AK89" s="157">
        <f t="shared" si="8"/>
        <v>0</v>
      </c>
      <c r="AL89" s="157">
        <f t="shared" si="8"/>
        <v>0</v>
      </c>
      <c r="AM89" s="157">
        <f t="shared" si="8"/>
        <v>-3523627.627880435</v>
      </c>
      <c r="AN89" s="157">
        <f t="shared" si="8"/>
        <v>0</v>
      </c>
      <c r="AO89" s="157">
        <f t="shared" si="8"/>
        <v>-5645282.0696419021</v>
      </c>
      <c r="AP89" s="157">
        <f t="shared" si="8"/>
        <v>0</v>
      </c>
    </row>
    <row r="90" spans="5:42" x14ac:dyDescent="0.25">
      <c r="E90" s="28"/>
      <c r="G90" s="13"/>
      <c r="H90" s="92"/>
      <c r="J90" s="92"/>
      <c r="K90" s="92"/>
      <c r="L90" s="92"/>
      <c r="M90" s="92"/>
      <c r="N90" s="92"/>
      <c r="O90" s="92"/>
      <c r="P90" s="92"/>
      <c r="Q90" s="92"/>
      <c r="R90" s="92"/>
      <c r="S90" s="92"/>
      <c r="T90" s="92"/>
      <c r="U90" s="92"/>
      <c r="V90" s="92"/>
      <c r="W90" s="92"/>
      <c r="X90" s="92"/>
      <c r="Y90" s="92"/>
      <c r="Z90" s="92"/>
      <c r="AA90" s="92"/>
      <c r="AB90" s="92"/>
      <c r="AC90" s="92"/>
      <c r="AD90" s="92"/>
      <c r="AE90" s="92"/>
      <c r="AF90" s="92"/>
      <c r="AG90" s="92"/>
      <c r="AH90" s="92"/>
      <c r="AI90" s="92"/>
      <c r="AJ90" s="92"/>
      <c r="AK90" s="92"/>
      <c r="AL90" s="92"/>
      <c r="AM90" s="92"/>
      <c r="AN90" s="92"/>
      <c r="AO90" s="92"/>
      <c r="AP90" s="92"/>
    </row>
    <row r="91" spans="5:42" x14ac:dyDescent="0.25">
      <c r="E91" s="32" t="s">
        <v>1057</v>
      </c>
      <c r="G91" s="13"/>
      <c r="H91" s="243" t="s">
        <v>657</v>
      </c>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5:42" x14ac:dyDescent="0.25">
      <c r="E92" s="28"/>
      <c r="F92" s="23" t="s">
        <v>192</v>
      </c>
      <c r="G92" s="85" t="s">
        <v>335</v>
      </c>
      <c r="H92" s="129">
        <f t="shared" ref="H92:H98" si="9">SUM(J92:AP92)</f>
        <v>196706.27742247874</v>
      </c>
      <c r="I92" s="23"/>
      <c r="J92" s="129">
        <f t="shared" ref="J92:AP92" si="10">J25 * thousand * J54 / hundred</f>
        <v>185704.66713685737</v>
      </c>
      <c r="K92" s="129">
        <f t="shared" si="10"/>
        <v>905.73085439690078</v>
      </c>
      <c r="L92" s="129">
        <f t="shared" si="10"/>
        <v>0</v>
      </c>
      <c r="M92" s="129">
        <f t="shared" si="10"/>
        <v>1971.5429346438984</v>
      </c>
      <c r="N92" s="129">
        <f t="shared" si="10"/>
        <v>0</v>
      </c>
      <c r="O92" s="129">
        <f t="shared" si="10"/>
        <v>0</v>
      </c>
      <c r="P92" s="129">
        <f t="shared" si="10"/>
        <v>0</v>
      </c>
      <c r="Q92" s="129">
        <f t="shared" si="10"/>
        <v>0</v>
      </c>
      <c r="R92" s="129">
        <f t="shared" si="10"/>
        <v>0</v>
      </c>
      <c r="S92" s="129">
        <f t="shared" si="10"/>
        <v>0</v>
      </c>
      <c r="T92" s="129">
        <f t="shared" si="10"/>
        <v>0</v>
      </c>
      <c r="U92" s="129">
        <f t="shared" si="10"/>
        <v>8124.3364965805758</v>
      </c>
      <c r="V92" s="129">
        <f t="shared" si="10"/>
        <v>0</v>
      </c>
      <c r="W92" s="129">
        <f t="shared" si="10"/>
        <v>0</v>
      </c>
      <c r="X92" s="129">
        <f t="shared" si="10"/>
        <v>0</v>
      </c>
      <c r="Y92" s="129">
        <f t="shared" si="10"/>
        <v>0</v>
      </c>
      <c r="Z92" s="129">
        <f t="shared" si="10"/>
        <v>0</v>
      </c>
      <c r="AA92" s="129">
        <f t="shared" si="10"/>
        <v>0</v>
      </c>
      <c r="AB92" s="129">
        <f t="shared" si="10"/>
        <v>0</v>
      </c>
      <c r="AC92" s="129">
        <f t="shared" si="10"/>
        <v>0</v>
      </c>
      <c r="AD92" s="129">
        <f t="shared" si="10"/>
        <v>0</v>
      </c>
      <c r="AE92" s="129">
        <f t="shared" si="10"/>
        <v>0</v>
      </c>
      <c r="AF92" s="129">
        <f t="shared" si="10"/>
        <v>0</v>
      </c>
      <c r="AG92" s="129">
        <f t="shared" si="10"/>
        <v>0</v>
      </c>
      <c r="AH92" s="129">
        <f t="shared" si="10"/>
        <v>0</v>
      </c>
      <c r="AI92" s="129">
        <f t="shared" si="10"/>
        <v>0</v>
      </c>
      <c r="AJ92" s="129">
        <f t="shared" si="10"/>
        <v>0</v>
      </c>
      <c r="AK92" s="129">
        <f t="shared" si="10"/>
        <v>0</v>
      </c>
      <c r="AL92" s="129">
        <f t="shared" si="10"/>
        <v>0</v>
      </c>
      <c r="AM92" s="129">
        <f t="shared" si="10"/>
        <v>0</v>
      </c>
      <c r="AN92" s="129">
        <f t="shared" si="10"/>
        <v>0</v>
      </c>
      <c r="AO92" s="129">
        <f t="shared" si="10"/>
        <v>0</v>
      </c>
      <c r="AP92" s="129">
        <f t="shared" si="10"/>
        <v>0</v>
      </c>
    </row>
    <row r="93" spans="5:42" x14ac:dyDescent="0.25">
      <c r="E93" s="28"/>
      <c r="F93" t="s">
        <v>193</v>
      </c>
      <c r="G93" s="13" t="s">
        <v>335</v>
      </c>
      <c r="H93" s="101">
        <f t="shared" si="9"/>
        <v>11776.889278772645</v>
      </c>
      <c r="J93" s="101">
        <f t="shared" ref="J93:AP93" si="11">J26 * thousand * J55 / hundred</f>
        <v>0</v>
      </c>
      <c r="K93" s="101">
        <f t="shared" si="11"/>
        <v>527.22990270685705</v>
      </c>
      <c r="L93" s="101">
        <f t="shared" si="11"/>
        <v>0</v>
      </c>
      <c r="M93" s="101">
        <f t="shared" si="11"/>
        <v>0</v>
      </c>
      <c r="N93" s="101">
        <f t="shared" si="11"/>
        <v>0</v>
      </c>
      <c r="O93" s="101">
        <f t="shared" si="11"/>
        <v>0</v>
      </c>
      <c r="P93" s="101">
        <f t="shared" si="11"/>
        <v>0</v>
      </c>
      <c r="Q93" s="101">
        <f t="shared" si="11"/>
        <v>0</v>
      </c>
      <c r="R93" s="101">
        <f t="shared" si="11"/>
        <v>0</v>
      </c>
      <c r="S93" s="101">
        <f t="shared" si="11"/>
        <v>0</v>
      </c>
      <c r="T93" s="101">
        <f t="shared" si="11"/>
        <v>0</v>
      </c>
      <c r="U93" s="101">
        <f t="shared" si="11"/>
        <v>11249.659376065789</v>
      </c>
      <c r="V93" s="101">
        <f t="shared" si="11"/>
        <v>0</v>
      </c>
      <c r="W93" s="101">
        <f t="shared" si="11"/>
        <v>0</v>
      </c>
      <c r="X93" s="101">
        <f t="shared" si="11"/>
        <v>0</v>
      </c>
      <c r="Y93" s="101">
        <f t="shared" si="11"/>
        <v>0</v>
      </c>
      <c r="Z93" s="101">
        <f t="shared" si="11"/>
        <v>0</v>
      </c>
      <c r="AA93" s="101">
        <f t="shared" si="11"/>
        <v>0</v>
      </c>
      <c r="AB93" s="101">
        <f t="shared" si="11"/>
        <v>0</v>
      </c>
      <c r="AC93" s="101">
        <f t="shared" si="11"/>
        <v>0</v>
      </c>
      <c r="AD93" s="101">
        <f t="shared" si="11"/>
        <v>0</v>
      </c>
      <c r="AE93" s="101">
        <f t="shared" si="11"/>
        <v>0</v>
      </c>
      <c r="AF93" s="101">
        <f t="shared" si="11"/>
        <v>0</v>
      </c>
      <c r="AG93" s="101">
        <f t="shared" si="11"/>
        <v>0</v>
      </c>
      <c r="AH93" s="101">
        <f t="shared" si="11"/>
        <v>0</v>
      </c>
      <c r="AI93" s="101">
        <f t="shared" si="11"/>
        <v>0</v>
      </c>
      <c r="AJ93" s="101">
        <f t="shared" si="11"/>
        <v>0</v>
      </c>
      <c r="AK93" s="101">
        <f t="shared" si="11"/>
        <v>0</v>
      </c>
      <c r="AL93" s="101">
        <f t="shared" si="11"/>
        <v>0</v>
      </c>
      <c r="AM93" s="101">
        <f t="shared" si="11"/>
        <v>0</v>
      </c>
      <c r="AN93" s="101">
        <f t="shared" si="11"/>
        <v>0</v>
      </c>
      <c r="AO93" s="101">
        <f t="shared" si="11"/>
        <v>0</v>
      </c>
      <c r="AP93" s="101">
        <f t="shared" si="11"/>
        <v>0</v>
      </c>
    </row>
    <row r="94" spans="5:42" x14ac:dyDescent="0.25">
      <c r="E94" s="28"/>
      <c r="F94" t="s">
        <v>194</v>
      </c>
      <c r="G94" s="13" t="s">
        <v>335</v>
      </c>
      <c r="H94" s="101">
        <f t="shared" si="9"/>
        <v>4218.9620468789144</v>
      </c>
      <c r="J94" s="101">
        <f t="shared" ref="J94:AP94" si="12">J27 * thousand * J56 / hundred</f>
        <v>0</v>
      </c>
      <c r="K94" s="101">
        <f t="shared" si="12"/>
        <v>0</v>
      </c>
      <c r="L94" s="101">
        <f t="shared" si="12"/>
        <v>0</v>
      </c>
      <c r="M94" s="101">
        <f t="shared" si="12"/>
        <v>0</v>
      </c>
      <c r="N94" s="101">
        <f t="shared" si="12"/>
        <v>0</v>
      </c>
      <c r="O94" s="101">
        <f t="shared" si="12"/>
        <v>0</v>
      </c>
      <c r="P94" s="101">
        <f t="shared" si="12"/>
        <v>0</v>
      </c>
      <c r="Q94" s="101">
        <f t="shared" si="12"/>
        <v>0</v>
      </c>
      <c r="R94" s="101">
        <f t="shared" si="12"/>
        <v>0</v>
      </c>
      <c r="S94" s="101">
        <f t="shared" si="12"/>
        <v>0</v>
      </c>
      <c r="T94" s="101">
        <f t="shared" si="12"/>
        <v>0</v>
      </c>
      <c r="U94" s="101">
        <f t="shared" si="12"/>
        <v>4218.9620468789144</v>
      </c>
      <c r="V94" s="101">
        <f t="shared" si="12"/>
        <v>0</v>
      </c>
      <c r="W94" s="101">
        <f t="shared" si="12"/>
        <v>0</v>
      </c>
      <c r="X94" s="101">
        <f t="shared" si="12"/>
        <v>0</v>
      </c>
      <c r="Y94" s="101">
        <f t="shared" si="12"/>
        <v>0</v>
      </c>
      <c r="Z94" s="101">
        <f t="shared" si="12"/>
        <v>0</v>
      </c>
      <c r="AA94" s="101">
        <f t="shared" si="12"/>
        <v>0</v>
      </c>
      <c r="AB94" s="101">
        <f t="shared" si="12"/>
        <v>0</v>
      </c>
      <c r="AC94" s="101">
        <f t="shared" si="12"/>
        <v>0</v>
      </c>
      <c r="AD94" s="101">
        <f t="shared" si="12"/>
        <v>0</v>
      </c>
      <c r="AE94" s="101">
        <f t="shared" si="12"/>
        <v>0</v>
      </c>
      <c r="AF94" s="101">
        <f t="shared" si="12"/>
        <v>0</v>
      </c>
      <c r="AG94" s="101">
        <f t="shared" si="12"/>
        <v>0</v>
      </c>
      <c r="AH94" s="101">
        <f t="shared" si="12"/>
        <v>0</v>
      </c>
      <c r="AI94" s="101">
        <f t="shared" si="12"/>
        <v>0</v>
      </c>
      <c r="AJ94" s="101">
        <f t="shared" si="12"/>
        <v>0</v>
      </c>
      <c r="AK94" s="101">
        <f t="shared" si="12"/>
        <v>0</v>
      </c>
      <c r="AL94" s="101">
        <f t="shared" si="12"/>
        <v>0</v>
      </c>
      <c r="AM94" s="101">
        <f t="shared" si="12"/>
        <v>0</v>
      </c>
      <c r="AN94" s="101">
        <f t="shared" si="12"/>
        <v>0</v>
      </c>
      <c r="AO94" s="101">
        <f t="shared" si="12"/>
        <v>0</v>
      </c>
      <c r="AP94" s="101">
        <f t="shared" si="12"/>
        <v>0</v>
      </c>
    </row>
    <row r="95" spans="5:42" x14ac:dyDescent="0.25">
      <c r="E95" s="28"/>
      <c r="F95" s="23" t="s">
        <v>195</v>
      </c>
      <c r="G95" s="85" t="s">
        <v>335</v>
      </c>
      <c r="H95" s="129">
        <f t="shared" si="9"/>
        <v>42205.547565841996</v>
      </c>
      <c r="I95" s="23"/>
      <c r="J95" s="129">
        <f t="shared" ref="J95:AP95" si="13" xml:space="preserve"> J28 * J57 * days_in_year / hundred</f>
        <v>41368.821565841994</v>
      </c>
      <c r="K95" s="129">
        <f t="shared" si="13"/>
        <v>121.10700000000001</v>
      </c>
      <c r="L95" s="129">
        <f t="shared" si="13"/>
        <v>0</v>
      </c>
      <c r="M95" s="129">
        <f t="shared" si="13"/>
        <v>415.73500000000001</v>
      </c>
      <c r="N95" s="129">
        <f t="shared" si="13"/>
        <v>0</v>
      </c>
      <c r="O95" s="129">
        <f t="shared" si="13"/>
        <v>0</v>
      </c>
      <c r="P95" s="129">
        <f t="shared" si="13"/>
        <v>0</v>
      </c>
      <c r="Q95" s="129">
        <f t="shared" si="13"/>
        <v>0</v>
      </c>
      <c r="R95" s="129">
        <f t="shared" si="13"/>
        <v>0</v>
      </c>
      <c r="S95" s="129">
        <f t="shared" si="13"/>
        <v>0</v>
      </c>
      <c r="T95" s="129">
        <f t="shared" si="13"/>
        <v>0</v>
      </c>
      <c r="U95" s="129">
        <f t="shared" si="13"/>
        <v>299.88400000000007</v>
      </c>
      <c r="V95" s="129">
        <f t="shared" si="13"/>
        <v>0</v>
      </c>
      <c r="W95" s="129">
        <f t="shared" si="13"/>
        <v>0</v>
      </c>
      <c r="X95" s="129">
        <f t="shared" si="13"/>
        <v>0</v>
      </c>
      <c r="Y95" s="129">
        <f t="shared" si="13"/>
        <v>0</v>
      </c>
      <c r="Z95" s="129">
        <f t="shared" si="13"/>
        <v>0</v>
      </c>
      <c r="AA95" s="129">
        <f t="shared" si="13"/>
        <v>0</v>
      </c>
      <c r="AB95" s="129">
        <f t="shared" si="13"/>
        <v>0</v>
      </c>
      <c r="AC95" s="129">
        <f t="shared" si="13"/>
        <v>0</v>
      </c>
      <c r="AD95" s="129">
        <f t="shared" si="13"/>
        <v>0</v>
      </c>
      <c r="AE95" s="129">
        <f t="shared" si="13"/>
        <v>0</v>
      </c>
      <c r="AF95" s="129">
        <f t="shared" si="13"/>
        <v>0</v>
      </c>
      <c r="AG95" s="129">
        <f t="shared" si="13"/>
        <v>0</v>
      </c>
      <c r="AH95" s="129">
        <f t="shared" si="13"/>
        <v>0</v>
      </c>
      <c r="AI95" s="129">
        <f t="shared" si="13"/>
        <v>0</v>
      </c>
      <c r="AJ95" s="129">
        <f t="shared" si="13"/>
        <v>0</v>
      </c>
      <c r="AK95" s="129">
        <f t="shared" si="13"/>
        <v>0</v>
      </c>
      <c r="AL95" s="129">
        <f t="shared" si="13"/>
        <v>0</v>
      </c>
      <c r="AM95" s="129">
        <f t="shared" si="13"/>
        <v>0</v>
      </c>
      <c r="AN95" s="129">
        <f t="shared" si="13"/>
        <v>0</v>
      </c>
      <c r="AO95" s="129">
        <f t="shared" si="13"/>
        <v>0</v>
      </c>
      <c r="AP95" s="129">
        <f t="shared" si="13"/>
        <v>0</v>
      </c>
    </row>
    <row r="96" spans="5:42" x14ac:dyDescent="0.25">
      <c r="E96" s="28"/>
      <c r="F96" t="s">
        <v>196</v>
      </c>
      <c r="G96" s="13" t="s">
        <v>335</v>
      </c>
      <c r="H96" s="101">
        <f t="shared" si="9"/>
        <v>8790.0175999999974</v>
      </c>
      <c r="J96" s="101">
        <f t="shared" ref="J96:AP96" si="14" xml:space="preserve"> J29 * J58 * days_in_year / hundred</f>
        <v>0</v>
      </c>
      <c r="K96" s="101">
        <f t="shared" si="14"/>
        <v>0</v>
      </c>
      <c r="L96" s="101">
        <f t="shared" si="14"/>
        <v>0</v>
      </c>
      <c r="M96" s="101">
        <f t="shared" si="14"/>
        <v>0</v>
      </c>
      <c r="N96" s="101">
        <f t="shared" si="14"/>
        <v>0</v>
      </c>
      <c r="O96" s="101">
        <f t="shared" si="14"/>
        <v>0</v>
      </c>
      <c r="P96" s="101">
        <f t="shared" si="14"/>
        <v>0</v>
      </c>
      <c r="Q96" s="101">
        <f t="shared" si="14"/>
        <v>0</v>
      </c>
      <c r="R96" s="101">
        <f t="shared" si="14"/>
        <v>0</v>
      </c>
      <c r="S96" s="101">
        <f t="shared" si="14"/>
        <v>0</v>
      </c>
      <c r="T96" s="101">
        <f t="shared" si="14"/>
        <v>0</v>
      </c>
      <c r="U96" s="101">
        <f t="shared" si="14"/>
        <v>8790.0175999999974</v>
      </c>
      <c r="V96" s="101">
        <f t="shared" si="14"/>
        <v>0</v>
      </c>
      <c r="W96" s="101">
        <f t="shared" si="14"/>
        <v>0</v>
      </c>
      <c r="X96" s="101">
        <f t="shared" si="14"/>
        <v>0</v>
      </c>
      <c r="Y96" s="101">
        <f t="shared" si="14"/>
        <v>0</v>
      </c>
      <c r="Z96" s="101">
        <f t="shared" si="14"/>
        <v>0</v>
      </c>
      <c r="AA96" s="101">
        <f t="shared" si="14"/>
        <v>0</v>
      </c>
      <c r="AB96" s="101">
        <f t="shared" si="14"/>
        <v>0</v>
      </c>
      <c r="AC96" s="101">
        <f t="shared" si="14"/>
        <v>0</v>
      </c>
      <c r="AD96" s="101">
        <f t="shared" si="14"/>
        <v>0</v>
      </c>
      <c r="AE96" s="101">
        <f t="shared" si="14"/>
        <v>0</v>
      </c>
      <c r="AF96" s="101">
        <f t="shared" si="14"/>
        <v>0</v>
      </c>
      <c r="AG96" s="101">
        <f t="shared" si="14"/>
        <v>0</v>
      </c>
      <c r="AH96" s="101">
        <f t="shared" si="14"/>
        <v>0</v>
      </c>
      <c r="AI96" s="101">
        <f t="shared" si="14"/>
        <v>0</v>
      </c>
      <c r="AJ96" s="101">
        <f t="shared" si="14"/>
        <v>0</v>
      </c>
      <c r="AK96" s="101">
        <f t="shared" si="14"/>
        <v>0</v>
      </c>
      <c r="AL96" s="101">
        <f t="shared" si="14"/>
        <v>0</v>
      </c>
      <c r="AM96" s="101">
        <f t="shared" si="14"/>
        <v>0</v>
      </c>
      <c r="AN96" s="101">
        <f t="shared" si="14"/>
        <v>0</v>
      </c>
      <c r="AO96" s="101">
        <f t="shared" si="14"/>
        <v>0</v>
      </c>
      <c r="AP96" s="101">
        <f t="shared" si="14"/>
        <v>0</v>
      </c>
    </row>
    <row r="97" spans="3:44" x14ac:dyDescent="0.25">
      <c r="E97" s="28"/>
      <c r="F97" t="s">
        <v>197</v>
      </c>
      <c r="G97" s="13" t="s">
        <v>335</v>
      </c>
      <c r="H97" s="101">
        <f t="shared" si="9"/>
        <v>0</v>
      </c>
      <c r="J97" s="101">
        <f t="shared" ref="J97:AP97" si="15" xml:space="preserve"> J30 * J59 * days_in_year / hundred</f>
        <v>0</v>
      </c>
      <c r="K97" s="101">
        <f t="shared" si="15"/>
        <v>0</v>
      </c>
      <c r="L97" s="101">
        <f t="shared" si="15"/>
        <v>0</v>
      </c>
      <c r="M97" s="101">
        <f t="shared" si="15"/>
        <v>0</v>
      </c>
      <c r="N97" s="101">
        <f t="shared" si="15"/>
        <v>0</v>
      </c>
      <c r="O97" s="101">
        <f t="shared" si="15"/>
        <v>0</v>
      </c>
      <c r="P97" s="101">
        <f t="shared" si="15"/>
        <v>0</v>
      </c>
      <c r="Q97" s="101">
        <f t="shared" si="15"/>
        <v>0</v>
      </c>
      <c r="R97" s="101">
        <f t="shared" si="15"/>
        <v>0</v>
      </c>
      <c r="S97" s="101">
        <f t="shared" si="15"/>
        <v>0</v>
      </c>
      <c r="T97" s="101">
        <f t="shared" si="15"/>
        <v>0</v>
      </c>
      <c r="U97" s="101">
        <f t="shared" si="15"/>
        <v>0</v>
      </c>
      <c r="V97" s="101">
        <f t="shared" si="15"/>
        <v>0</v>
      </c>
      <c r="W97" s="101">
        <f t="shared" si="15"/>
        <v>0</v>
      </c>
      <c r="X97" s="101">
        <f t="shared" si="15"/>
        <v>0</v>
      </c>
      <c r="Y97" s="101">
        <f t="shared" si="15"/>
        <v>0</v>
      </c>
      <c r="Z97" s="101">
        <f t="shared" si="15"/>
        <v>0</v>
      </c>
      <c r="AA97" s="101">
        <f t="shared" si="15"/>
        <v>0</v>
      </c>
      <c r="AB97" s="101">
        <f t="shared" si="15"/>
        <v>0</v>
      </c>
      <c r="AC97" s="101">
        <f t="shared" si="15"/>
        <v>0</v>
      </c>
      <c r="AD97" s="101">
        <f t="shared" si="15"/>
        <v>0</v>
      </c>
      <c r="AE97" s="101">
        <f t="shared" si="15"/>
        <v>0</v>
      </c>
      <c r="AF97" s="101">
        <f t="shared" si="15"/>
        <v>0</v>
      </c>
      <c r="AG97" s="101">
        <f t="shared" si="15"/>
        <v>0</v>
      </c>
      <c r="AH97" s="101">
        <f t="shared" si="15"/>
        <v>0</v>
      </c>
      <c r="AI97" s="101">
        <f t="shared" si="15"/>
        <v>0</v>
      </c>
      <c r="AJ97" s="101">
        <f t="shared" si="15"/>
        <v>0</v>
      </c>
      <c r="AK97" s="101">
        <f t="shared" si="15"/>
        <v>0</v>
      </c>
      <c r="AL97" s="101">
        <f t="shared" si="15"/>
        <v>0</v>
      </c>
      <c r="AM97" s="101">
        <f t="shared" si="15"/>
        <v>0</v>
      </c>
      <c r="AN97" s="101">
        <f t="shared" si="15"/>
        <v>0</v>
      </c>
      <c r="AO97" s="101">
        <f t="shared" si="15"/>
        <v>0</v>
      </c>
      <c r="AP97" s="101">
        <f t="shared" si="15"/>
        <v>0</v>
      </c>
    </row>
    <row r="98" spans="3:44" x14ac:dyDescent="0.25">
      <c r="E98" s="28"/>
      <c r="F98" s="23" t="s">
        <v>198</v>
      </c>
      <c r="G98" s="85" t="s">
        <v>335</v>
      </c>
      <c r="H98" s="129">
        <f t="shared" si="9"/>
        <v>43.749643890170546</v>
      </c>
      <c r="I98" s="23"/>
      <c r="J98" s="129">
        <f t="shared" ref="J98:AP98" si="16">J31 * thousand * J60 / hundred</f>
        <v>0</v>
      </c>
      <c r="K98" s="129">
        <f t="shared" si="16"/>
        <v>0</v>
      </c>
      <c r="L98" s="129">
        <f t="shared" si="16"/>
        <v>0</v>
      </c>
      <c r="M98" s="129">
        <f t="shared" si="16"/>
        <v>0</v>
      </c>
      <c r="N98" s="129">
        <f t="shared" si="16"/>
        <v>0</v>
      </c>
      <c r="O98" s="129">
        <f t="shared" si="16"/>
        <v>0</v>
      </c>
      <c r="P98" s="129">
        <f t="shared" si="16"/>
        <v>0</v>
      </c>
      <c r="Q98" s="129">
        <f t="shared" si="16"/>
        <v>0</v>
      </c>
      <c r="R98" s="129">
        <f t="shared" si="16"/>
        <v>0</v>
      </c>
      <c r="S98" s="129">
        <f t="shared" si="16"/>
        <v>0</v>
      </c>
      <c r="T98" s="129">
        <f t="shared" si="16"/>
        <v>0</v>
      </c>
      <c r="U98" s="129">
        <f t="shared" si="16"/>
        <v>43.749643890170546</v>
      </c>
      <c r="V98" s="129">
        <f t="shared" si="16"/>
        <v>0</v>
      </c>
      <c r="W98" s="129">
        <f t="shared" si="16"/>
        <v>0</v>
      </c>
      <c r="X98" s="129">
        <f t="shared" si="16"/>
        <v>0</v>
      </c>
      <c r="Y98" s="129">
        <f t="shared" si="16"/>
        <v>0</v>
      </c>
      <c r="Z98" s="129">
        <f t="shared" si="16"/>
        <v>0</v>
      </c>
      <c r="AA98" s="129">
        <f t="shared" si="16"/>
        <v>0</v>
      </c>
      <c r="AB98" s="129">
        <f t="shared" si="16"/>
        <v>0</v>
      </c>
      <c r="AC98" s="129">
        <f t="shared" si="16"/>
        <v>0</v>
      </c>
      <c r="AD98" s="129">
        <f t="shared" si="16"/>
        <v>0</v>
      </c>
      <c r="AE98" s="129">
        <f t="shared" si="16"/>
        <v>0</v>
      </c>
      <c r="AF98" s="129">
        <f t="shared" si="16"/>
        <v>0</v>
      </c>
      <c r="AG98" s="129">
        <f t="shared" si="16"/>
        <v>0</v>
      </c>
      <c r="AH98" s="129">
        <f t="shared" si="16"/>
        <v>0</v>
      </c>
      <c r="AI98" s="129">
        <f t="shared" si="16"/>
        <v>0</v>
      </c>
      <c r="AJ98" s="129">
        <f t="shared" si="16"/>
        <v>0</v>
      </c>
      <c r="AK98" s="129">
        <f t="shared" si="16"/>
        <v>0</v>
      </c>
      <c r="AL98" s="129">
        <f t="shared" si="16"/>
        <v>0</v>
      </c>
      <c r="AM98" s="129">
        <f t="shared" si="16"/>
        <v>0</v>
      </c>
      <c r="AN98" s="129">
        <f t="shared" si="16"/>
        <v>0</v>
      </c>
      <c r="AO98" s="129">
        <f t="shared" si="16"/>
        <v>0</v>
      </c>
      <c r="AP98" s="129">
        <f t="shared" si="16"/>
        <v>0</v>
      </c>
    </row>
    <row r="99" spans="3:44" x14ac:dyDescent="0.25">
      <c r="E99" s="28"/>
      <c r="F99" s="111" t="s">
        <v>101</v>
      </c>
      <c r="G99" s="244" t="s">
        <v>335</v>
      </c>
      <c r="H99" s="157">
        <f>SUM(H92:H98)</f>
        <v>263741.44355786248</v>
      </c>
      <c r="I99" s="111"/>
      <c r="J99" s="157">
        <f t="shared" ref="J99:AP99" si="17">SUM(J92:J98)</f>
        <v>227073.48870269937</v>
      </c>
      <c r="K99" s="157">
        <f t="shared" si="17"/>
        <v>1554.0677571037577</v>
      </c>
      <c r="L99" s="157">
        <f t="shared" si="17"/>
        <v>0</v>
      </c>
      <c r="M99" s="157">
        <f t="shared" si="17"/>
        <v>2387.2779346438983</v>
      </c>
      <c r="N99" s="157">
        <f t="shared" si="17"/>
        <v>0</v>
      </c>
      <c r="O99" s="157">
        <f t="shared" si="17"/>
        <v>0</v>
      </c>
      <c r="P99" s="157">
        <f t="shared" si="17"/>
        <v>0</v>
      </c>
      <c r="Q99" s="157">
        <f t="shared" si="17"/>
        <v>0</v>
      </c>
      <c r="R99" s="157">
        <f t="shared" si="17"/>
        <v>0</v>
      </c>
      <c r="S99" s="157">
        <f t="shared" si="17"/>
        <v>0</v>
      </c>
      <c r="T99" s="157">
        <f t="shared" si="17"/>
        <v>0</v>
      </c>
      <c r="U99" s="157">
        <f t="shared" si="17"/>
        <v>32726.609163415447</v>
      </c>
      <c r="V99" s="157">
        <f t="shared" si="17"/>
        <v>0</v>
      </c>
      <c r="W99" s="157">
        <f t="shared" si="17"/>
        <v>0</v>
      </c>
      <c r="X99" s="157">
        <f t="shared" si="17"/>
        <v>0</v>
      </c>
      <c r="Y99" s="157">
        <f t="shared" si="17"/>
        <v>0</v>
      </c>
      <c r="Z99" s="157">
        <f t="shared" si="17"/>
        <v>0</v>
      </c>
      <c r="AA99" s="157">
        <f t="shared" si="17"/>
        <v>0</v>
      </c>
      <c r="AB99" s="157">
        <f t="shared" si="17"/>
        <v>0</v>
      </c>
      <c r="AC99" s="157">
        <f t="shared" si="17"/>
        <v>0</v>
      </c>
      <c r="AD99" s="157">
        <f t="shared" si="17"/>
        <v>0</v>
      </c>
      <c r="AE99" s="157">
        <f t="shared" si="17"/>
        <v>0</v>
      </c>
      <c r="AF99" s="157">
        <f t="shared" si="17"/>
        <v>0</v>
      </c>
      <c r="AG99" s="157">
        <f t="shared" si="17"/>
        <v>0</v>
      </c>
      <c r="AH99" s="157">
        <f t="shared" si="17"/>
        <v>0</v>
      </c>
      <c r="AI99" s="157">
        <f t="shared" si="17"/>
        <v>0</v>
      </c>
      <c r="AJ99" s="157">
        <f t="shared" si="17"/>
        <v>0</v>
      </c>
      <c r="AK99" s="157">
        <f t="shared" si="17"/>
        <v>0</v>
      </c>
      <c r="AL99" s="157">
        <f t="shared" si="17"/>
        <v>0</v>
      </c>
      <c r="AM99" s="157">
        <f t="shared" si="17"/>
        <v>0</v>
      </c>
      <c r="AN99" s="157">
        <f t="shared" si="17"/>
        <v>0</v>
      </c>
      <c r="AO99" s="157">
        <f t="shared" si="17"/>
        <v>0</v>
      </c>
      <c r="AP99" s="157">
        <f t="shared" si="17"/>
        <v>0</v>
      </c>
    </row>
    <row r="100" spans="3:44" x14ac:dyDescent="0.25">
      <c r="E100" s="28"/>
      <c r="G100" s="13"/>
      <c r="H100" s="92"/>
      <c r="J100" s="92"/>
      <c r="K100" s="92"/>
      <c r="L100" s="92"/>
      <c r="M100" s="92"/>
      <c r="N100" s="92"/>
      <c r="O100" s="92"/>
      <c r="P100" s="92"/>
      <c r="Q100" s="92"/>
      <c r="R100" s="92"/>
      <c r="S100" s="92"/>
      <c r="T100" s="92"/>
      <c r="U100" s="92"/>
      <c r="V100" s="92"/>
      <c r="W100" s="92"/>
      <c r="X100" s="92"/>
      <c r="Y100" s="92"/>
      <c r="Z100" s="92"/>
      <c r="AA100" s="92"/>
      <c r="AB100" s="92"/>
      <c r="AC100" s="92"/>
      <c r="AD100" s="92"/>
      <c r="AE100" s="92"/>
      <c r="AF100" s="92"/>
      <c r="AG100" s="92"/>
      <c r="AH100" s="92"/>
      <c r="AI100" s="92"/>
      <c r="AJ100" s="92"/>
      <c r="AK100" s="92"/>
      <c r="AL100" s="92"/>
      <c r="AM100" s="92"/>
      <c r="AN100" s="92"/>
      <c r="AO100" s="92"/>
      <c r="AP100" s="92"/>
    </row>
    <row r="101" spans="3:44" x14ac:dyDescent="0.25">
      <c r="E101" s="32" t="s">
        <v>1058</v>
      </c>
      <c r="G101" s="13"/>
      <c r="H101" s="243" t="s">
        <v>657</v>
      </c>
      <c r="J101" s="92"/>
      <c r="K101" s="92"/>
      <c r="L101" s="92"/>
      <c r="M101" s="92"/>
      <c r="N101" s="92"/>
      <c r="O101" s="92"/>
      <c r="P101" s="92"/>
      <c r="Q101" s="92"/>
      <c r="R101" s="92"/>
      <c r="S101" s="92"/>
      <c r="T101" s="92"/>
      <c r="U101" s="92"/>
      <c r="V101" s="92"/>
      <c r="W101" s="92"/>
      <c r="X101" s="92"/>
      <c r="Y101" s="92"/>
      <c r="Z101" s="92"/>
      <c r="AA101" s="92"/>
      <c r="AB101" s="92"/>
      <c r="AC101" s="92"/>
      <c r="AD101" s="92"/>
      <c r="AE101" s="92"/>
      <c r="AF101" s="92"/>
      <c r="AG101" s="92"/>
      <c r="AH101" s="92"/>
      <c r="AI101" s="92"/>
      <c r="AJ101" s="92"/>
      <c r="AK101" s="92"/>
      <c r="AL101" s="92"/>
      <c r="AM101" s="92"/>
      <c r="AN101" s="92"/>
      <c r="AO101" s="92"/>
      <c r="AP101" s="92"/>
    </row>
    <row r="102" spans="3:44" x14ac:dyDescent="0.25">
      <c r="C102" s="91"/>
      <c r="F102" s="23" t="s">
        <v>192</v>
      </c>
      <c r="G102" s="85" t="s">
        <v>335</v>
      </c>
      <c r="H102" s="129">
        <f t="shared" ref="H102:H108" si="18">SUM(J102:AP102)</f>
        <v>204775.53924372068</v>
      </c>
      <c r="I102" s="23"/>
      <c r="J102" s="129">
        <f t="shared" ref="J102:AP102" si="19">J34 * thousand * J63 / hundred</f>
        <v>184222.74583362837</v>
      </c>
      <c r="K102" s="129">
        <f t="shared" si="19"/>
        <v>2477.2020750950883</v>
      </c>
      <c r="L102" s="129">
        <f t="shared" si="19"/>
        <v>0</v>
      </c>
      <c r="M102" s="129">
        <f t="shared" si="19"/>
        <v>11049.303986416495</v>
      </c>
      <c r="N102" s="129">
        <f t="shared" si="19"/>
        <v>0</v>
      </c>
      <c r="O102" s="129">
        <f t="shared" si="19"/>
        <v>0</v>
      </c>
      <c r="P102" s="129">
        <f t="shared" si="19"/>
        <v>0</v>
      </c>
      <c r="Q102" s="129">
        <f t="shared" si="19"/>
        <v>0</v>
      </c>
      <c r="R102" s="129">
        <f t="shared" si="19"/>
        <v>0</v>
      </c>
      <c r="S102" s="129">
        <f t="shared" si="19"/>
        <v>0</v>
      </c>
      <c r="T102" s="129">
        <f t="shared" si="19"/>
        <v>0</v>
      </c>
      <c r="U102" s="129">
        <f t="shared" si="19"/>
        <v>4876.0784293488159</v>
      </c>
      <c r="V102" s="129">
        <f t="shared" si="19"/>
        <v>2074.6998992319063</v>
      </c>
      <c r="W102" s="129">
        <f t="shared" si="19"/>
        <v>0</v>
      </c>
      <c r="X102" s="129">
        <f t="shared" si="19"/>
        <v>0</v>
      </c>
      <c r="Y102" s="129">
        <f t="shared" si="19"/>
        <v>75.509020000000007</v>
      </c>
      <c r="Z102" s="129">
        <f t="shared" si="19"/>
        <v>0</v>
      </c>
      <c r="AA102" s="129">
        <f t="shared" si="19"/>
        <v>0</v>
      </c>
      <c r="AB102" s="129">
        <f t="shared" si="19"/>
        <v>0</v>
      </c>
      <c r="AC102" s="129">
        <f t="shared" si="19"/>
        <v>0</v>
      </c>
      <c r="AD102" s="129">
        <f t="shared" si="19"/>
        <v>0</v>
      </c>
      <c r="AE102" s="129">
        <f t="shared" si="19"/>
        <v>0</v>
      </c>
      <c r="AF102" s="129">
        <f t="shared" si="19"/>
        <v>0</v>
      </c>
      <c r="AG102" s="129">
        <f t="shared" si="19"/>
        <v>0</v>
      </c>
      <c r="AH102" s="129">
        <f t="shared" si="19"/>
        <v>0</v>
      </c>
      <c r="AI102" s="129">
        <f t="shared" si="19"/>
        <v>0</v>
      </c>
      <c r="AJ102" s="129">
        <f t="shared" si="19"/>
        <v>0</v>
      </c>
      <c r="AK102" s="129">
        <f t="shared" si="19"/>
        <v>0</v>
      </c>
      <c r="AL102" s="129">
        <f t="shared" si="19"/>
        <v>0</v>
      </c>
      <c r="AM102" s="129">
        <f t="shared" si="19"/>
        <v>0</v>
      </c>
      <c r="AN102" s="129">
        <f t="shared" si="19"/>
        <v>0</v>
      </c>
      <c r="AO102" s="129">
        <f t="shared" si="19"/>
        <v>0</v>
      </c>
      <c r="AP102" s="129">
        <f t="shared" si="19"/>
        <v>0</v>
      </c>
    </row>
    <row r="103" spans="3:44" x14ac:dyDescent="0.25">
      <c r="C103" s="91"/>
      <c r="F103" t="s">
        <v>193</v>
      </c>
      <c r="G103" s="13" t="s">
        <v>335</v>
      </c>
      <c r="H103" s="101">
        <f t="shared" si="18"/>
        <v>11771.778191425519</v>
      </c>
      <c r="J103" s="101">
        <f t="shared" ref="J103:AP103" si="20">J35 * thousand * J64 / hundred</f>
        <v>0</v>
      </c>
      <c r="K103" s="101">
        <f t="shared" si="20"/>
        <v>1078.5330933433931</v>
      </c>
      <c r="L103" s="101">
        <f t="shared" si="20"/>
        <v>0</v>
      </c>
      <c r="M103" s="101">
        <f t="shared" si="20"/>
        <v>0</v>
      </c>
      <c r="N103" s="101">
        <f t="shared" si="20"/>
        <v>0</v>
      </c>
      <c r="O103" s="101">
        <f t="shared" si="20"/>
        <v>0</v>
      </c>
      <c r="P103" s="101">
        <f t="shared" si="20"/>
        <v>0</v>
      </c>
      <c r="Q103" s="101">
        <f t="shared" si="20"/>
        <v>0</v>
      </c>
      <c r="R103" s="101">
        <f t="shared" si="20"/>
        <v>0</v>
      </c>
      <c r="S103" s="101">
        <f t="shared" si="20"/>
        <v>0</v>
      </c>
      <c r="T103" s="101">
        <f t="shared" si="20"/>
        <v>0</v>
      </c>
      <c r="U103" s="101">
        <f t="shared" si="20"/>
        <v>7597.3035146432176</v>
      </c>
      <c r="V103" s="101">
        <f t="shared" si="20"/>
        <v>3095.9415834389092</v>
      </c>
      <c r="W103" s="101">
        <f t="shared" si="20"/>
        <v>0</v>
      </c>
      <c r="X103" s="101">
        <f t="shared" si="20"/>
        <v>0</v>
      </c>
      <c r="Y103" s="101">
        <f t="shared" si="20"/>
        <v>0</v>
      </c>
      <c r="Z103" s="101">
        <f t="shared" si="20"/>
        <v>0</v>
      </c>
      <c r="AA103" s="101">
        <f t="shared" si="20"/>
        <v>0</v>
      </c>
      <c r="AB103" s="101">
        <f t="shared" si="20"/>
        <v>0</v>
      </c>
      <c r="AC103" s="101">
        <f t="shared" si="20"/>
        <v>0</v>
      </c>
      <c r="AD103" s="101">
        <f t="shared" si="20"/>
        <v>0</v>
      </c>
      <c r="AE103" s="101">
        <f t="shared" si="20"/>
        <v>0</v>
      </c>
      <c r="AF103" s="101">
        <f t="shared" si="20"/>
        <v>0</v>
      </c>
      <c r="AG103" s="101">
        <f t="shared" si="20"/>
        <v>0</v>
      </c>
      <c r="AH103" s="101">
        <f t="shared" si="20"/>
        <v>0</v>
      </c>
      <c r="AI103" s="101">
        <f t="shared" si="20"/>
        <v>0</v>
      </c>
      <c r="AJ103" s="101">
        <f t="shared" si="20"/>
        <v>0</v>
      </c>
      <c r="AK103" s="101">
        <f t="shared" si="20"/>
        <v>0</v>
      </c>
      <c r="AL103" s="101">
        <f t="shared" si="20"/>
        <v>0</v>
      </c>
      <c r="AM103" s="101">
        <f t="shared" si="20"/>
        <v>0</v>
      </c>
      <c r="AN103" s="101">
        <f t="shared" si="20"/>
        <v>0</v>
      </c>
      <c r="AO103" s="101">
        <f t="shared" si="20"/>
        <v>0</v>
      </c>
      <c r="AP103" s="101">
        <f t="shared" si="20"/>
        <v>0</v>
      </c>
    </row>
    <row r="104" spans="3:44" x14ac:dyDescent="0.25">
      <c r="C104" s="91"/>
      <c r="F104" t="s">
        <v>194</v>
      </c>
      <c r="G104" s="13" t="s">
        <v>335</v>
      </c>
      <c r="H104" s="101">
        <f t="shared" si="18"/>
        <v>7090.6114556520424</v>
      </c>
      <c r="J104" s="101">
        <f t="shared" ref="J104:AP104" si="21">J36 * thousand * J65 / hundred</f>
        <v>0</v>
      </c>
      <c r="K104" s="101">
        <f t="shared" si="21"/>
        <v>0</v>
      </c>
      <c r="L104" s="101">
        <f t="shared" si="21"/>
        <v>0</v>
      </c>
      <c r="M104" s="101">
        <f t="shared" si="21"/>
        <v>0</v>
      </c>
      <c r="N104" s="101">
        <f t="shared" si="21"/>
        <v>0</v>
      </c>
      <c r="O104" s="101">
        <f t="shared" si="21"/>
        <v>0</v>
      </c>
      <c r="P104" s="101">
        <f t="shared" si="21"/>
        <v>0</v>
      </c>
      <c r="Q104" s="101">
        <f t="shared" si="21"/>
        <v>0</v>
      </c>
      <c r="R104" s="101">
        <f t="shared" si="21"/>
        <v>0</v>
      </c>
      <c r="S104" s="101">
        <f t="shared" si="21"/>
        <v>0</v>
      </c>
      <c r="T104" s="101">
        <f t="shared" si="21"/>
        <v>0</v>
      </c>
      <c r="U104" s="101">
        <f t="shared" si="21"/>
        <v>4253.6192437428263</v>
      </c>
      <c r="V104" s="101">
        <f t="shared" si="21"/>
        <v>2836.9922119092157</v>
      </c>
      <c r="W104" s="101">
        <f t="shared" si="21"/>
        <v>0</v>
      </c>
      <c r="X104" s="101">
        <f t="shared" si="21"/>
        <v>0</v>
      </c>
      <c r="Y104" s="101">
        <f t="shared" si="21"/>
        <v>0</v>
      </c>
      <c r="Z104" s="101">
        <f t="shared" si="21"/>
        <v>0</v>
      </c>
      <c r="AA104" s="101">
        <f t="shared" si="21"/>
        <v>0</v>
      </c>
      <c r="AB104" s="101">
        <f t="shared" si="21"/>
        <v>0</v>
      </c>
      <c r="AC104" s="101">
        <f t="shared" si="21"/>
        <v>0</v>
      </c>
      <c r="AD104" s="101">
        <f t="shared" si="21"/>
        <v>0</v>
      </c>
      <c r="AE104" s="101">
        <f t="shared" si="21"/>
        <v>0</v>
      </c>
      <c r="AF104" s="101">
        <f t="shared" si="21"/>
        <v>0</v>
      </c>
      <c r="AG104" s="101">
        <f t="shared" si="21"/>
        <v>0</v>
      </c>
      <c r="AH104" s="101">
        <f t="shared" si="21"/>
        <v>0</v>
      </c>
      <c r="AI104" s="101">
        <f t="shared" si="21"/>
        <v>0</v>
      </c>
      <c r="AJ104" s="101">
        <f t="shared" si="21"/>
        <v>0</v>
      </c>
      <c r="AK104" s="101">
        <f t="shared" si="21"/>
        <v>0</v>
      </c>
      <c r="AL104" s="101">
        <f t="shared" si="21"/>
        <v>0</v>
      </c>
      <c r="AM104" s="101">
        <f t="shared" si="21"/>
        <v>0</v>
      </c>
      <c r="AN104" s="101">
        <f t="shared" si="21"/>
        <v>0</v>
      </c>
      <c r="AO104" s="101">
        <f t="shared" si="21"/>
        <v>0</v>
      </c>
      <c r="AP104" s="101">
        <f t="shared" si="21"/>
        <v>0</v>
      </c>
    </row>
    <row r="105" spans="3:44" x14ac:dyDescent="0.25">
      <c r="C105" s="91"/>
      <c r="F105" s="23" t="s">
        <v>195</v>
      </c>
      <c r="G105" s="85" t="s">
        <v>335</v>
      </c>
      <c r="H105" s="129">
        <f t="shared" si="18"/>
        <v>44524.511770709272</v>
      </c>
      <c r="I105" s="23"/>
      <c r="J105" s="129">
        <f t="shared" ref="J105:AP105" si="22" xml:space="preserve"> J37 * J66 * days_in_year / hundred</f>
        <v>42910.381755811635</v>
      </c>
      <c r="K105" s="129">
        <f t="shared" si="22"/>
        <v>553.85100000000011</v>
      </c>
      <c r="L105" s="129">
        <f t="shared" si="22"/>
        <v>0</v>
      </c>
      <c r="M105" s="129">
        <f t="shared" si="22"/>
        <v>700.11188526800481</v>
      </c>
      <c r="N105" s="129">
        <f t="shared" si="22"/>
        <v>0</v>
      </c>
      <c r="O105" s="129">
        <f t="shared" si="22"/>
        <v>0</v>
      </c>
      <c r="P105" s="129">
        <f t="shared" si="22"/>
        <v>0</v>
      </c>
      <c r="Q105" s="129">
        <f t="shared" si="22"/>
        <v>0</v>
      </c>
      <c r="R105" s="129">
        <f t="shared" si="22"/>
        <v>0</v>
      </c>
      <c r="S105" s="129">
        <f t="shared" si="22"/>
        <v>0</v>
      </c>
      <c r="T105" s="129">
        <f t="shared" si="22"/>
        <v>0</v>
      </c>
      <c r="U105" s="129">
        <f t="shared" si="22"/>
        <v>247.45512962962962</v>
      </c>
      <c r="V105" s="129">
        <f t="shared" si="22"/>
        <v>112.71199999999999</v>
      </c>
      <c r="W105" s="129">
        <f t="shared" si="22"/>
        <v>0</v>
      </c>
      <c r="X105" s="129">
        <f t="shared" si="22"/>
        <v>0</v>
      </c>
      <c r="Y105" s="129">
        <f t="shared" si="22"/>
        <v>0</v>
      </c>
      <c r="Z105" s="129">
        <f t="shared" si="22"/>
        <v>0</v>
      </c>
      <c r="AA105" s="129">
        <f t="shared" si="22"/>
        <v>0</v>
      </c>
      <c r="AB105" s="129">
        <f t="shared" si="22"/>
        <v>0</v>
      </c>
      <c r="AC105" s="129">
        <f t="shared" si="22"/>
        <v>0</v>
      </c>
      <c r="AD105" s="129">
        <f t="shared" si="22"/>
        <v>0</v>
      </c>
      <c r="AE105" s="129">
        <f t="shared" si="22"/>
        <v>0</v>
      </c>
      <c r="AF105" s="129">
        <f t="shared" si="22"/>
        <v>0</v>
      </c>
      <c r="AG105" s="129">
        <f t="shared" si="22"/>
        <v>0</v>
      </c>
      <c r="AH105" s="129">
        <f t="shared" si="22"/>
        <v>0</v>
      </c>
      <c r="AI105" s="129">
        <f t="shared" si="22"/>
        <v>0</v>
      </c>
      <c r="AJ105" s="129">
        <f t="shared" si="22"/>
        <v>0</v>
      </c>
      <c r="AK105" s="129">
        <f t="shared" si="22"/>
        <v>0</v>
      </c>
      <c r="AL105" s="129">
        <f t="shared" si="22"/>
        <v>0</v>
      </c>
      <c r="AM105" s="129">
        <f t="shared" si="22"/>
        <v>0</v>
      </c>
      <c r="AN105" s="129">
        <f t="shared" si="22"/>
        <v>0</v>
      </c>
      <c r="AO105" s="129">
        <f t="shared" si="22"/>
        <v>0</v>
      </c>
      <c r="AP105" s="129">
        <f t="shared" si="22"/>
        <v>0</v>
      </c>
    </row>
    <row r="106" spans="3:44" x14ac:dyDescent="0.25">
      <c r="C106" s="91"/>
      <c r="F106" t="s">
        <v>196</v>
      </c>
      <c r="G106" s="13" t="s">
        <v>335</v>
      </c>
      <c r="H106" s="101">
        <f t="shared" si="18"/>
        <v>15535.710330687833</v>
      </c>
      <c r="J106" s="101">
        <f t="shared" ref="J106:AP106" si="23" xml:space="preserve"> J38 * J67 * days_in_year / hundred</f>
        <v>0</v>
      </c>
      <c r="K106" s="101">
        <f t="shared" si="23"/>
        <v>0</v>
      </c>
      <c r="L106" s="101">
        <f t="shared" si="23"/>
        <v>0</v>
      </c>
      <c r="M106" s="101">
        <f t="shared" si="23"/>
        <v>0</v>
      </c>
      <c r="N106" s="101">
        <f t="shared" si="23"/>
        <v>0</v>
      </c>
      <c r="O106" s="101">
        <f t="shared" si="23"/>
        <v>0</v>
      </c>
      <c r="P106" s="101">
        <f t="shared" si="23"/>
        <v>0</v>
      </c>
      <c r="Q106" s="101">
        <f t="shared" si="23"/>
        <v>0</v>
      </c>
      <c r="R106" s="101">
        <f t="shared" si="23"/>
        <v>0</v>
      </c>
      <c r="S106" s="101">
        <f t="shared" si="23"/>
        <v>0</v>
      </c>
      <c r="T106" s="101">
        <f t="shared" si="23"/>
        <v>0</v>
      </c>
      <c r="U106" s="101">
        <f t="shared" si="23"/>
        <v>11607.726330687832</v>
      </c>
      <c r="V106" s="101">
        <f t="shared" si="23"/>
        <v>3927.9840000000004</v>
      </c>
      <c r="W106" s="101">
        <f t="shared" si="23"/>
        <v>0</v>
      </c>
      <c r="X106" s="101">
        <f t="shared" si="23"/>
        <v>0</v>
      </c>
      <c r="Y106" s="101">
        <f t="shared" si="23"/>
        <v>0</v>
      </c>
      <c r="Z106" s="101">
        <f t="shared" si="23"/>
        <v>0</v>
      </c>
      <c r="AA106" s="101">
        <f t="shared" si="23"/>
        <v>0</v>
      </c>
      <c r="AB106" s="101">
        <f t="shared" si="23"/>
        <v>0</v>
      </c>
      <c r="AC106" s="101">
        <f t="shared" si="23"/>
        <v>0</v>
      </c>
      <c r="AD106" s="101">
        <f t="shared" si="23"/>
        <v>0</v>
      </c>
      <c r="AE106" s="101">
        <f t="shared" si="23"/>
        <v>0</v>
      </c>
      <c r="AF106" s="101">
        <f t="shared" si="23"/>
        <v>0</v>
      </c>
      <c r="AG106" s="101">
        <f t="shared" si="23"/>
        <v>0</v>
      </c>
      <c r="AH106" s="101">
        <f t="shared" si="23"/>
        <v>0</v>
      </c>
      <c r="AI106" s="101">
        <f t="shared" si="23"/>
        <v>0</v>
      </c>
      <c r="AJ106" s="101">
        <f t="shared" si="23"/>
        <v>0</v>
      </c>
      <c r="AK106" s="101">
        <f t="shared" si="23"/>
        <v>0</v>
      </c>
      <c r="AL106" s="101">
        <f t="shared" si="23"/>
        <v>0</v>
      </c>
      <c r="AM106" s="101">
        <f t="shared" si="23"/>
        <v>0</v>
      </c>
      <c r="AN106" s="101">
        <f t="shared" si="23"/>
        <v>0</v>
      </c>
      <c r="AO106" s="101">
        <f t="shared" si="23"/>
        <v>0</v>
      </c>
      <c r="AP106" s="101">
        <f t="shared" si="23"/>
        <v>0</v>
      </c>
    </row>
    <row r="107" spans="3:44" x14ac:dyDescent="0.25">
      <c r="C107" s="91"/>
      <c r="F107" t="s">
        <v>197</v>
      </c>
      <c r="G107" s="13" t="s">
        <v>335</v>
      </c>
      <c r="H107" s="101">
        <f t="shared" si="18"/>
        <v>0</v>
      </c>
      <c r="J107" s="101">
        <f t="shared" ref="J107:AP107" si="24" xml:space="preserve"> J39 * J68 * days_in_year / hundred</f>
        <v>0</v>
      </c>
      <c r="K107" s="101">
        <f t="shared" si="24"/>
        <v>0</v>
      </c>
      <c r="L107" s="101">
        <f t="shared" si="24"/>
        <v>0</v>
      </c>
      <c r="M107" s="101">
        <f t="shared" si="24"/>
        <v>0</v>
      </c>
      <c r="N107" s="101">
        <f t="shared" si="24"/>
        <v>0</v>
      </c>
      <c r="O107" s="101">
        <f t="shared" si="24"/>
        <v>0</v>
      </c>
      <c r="P107" s="101">
        <f t="shared" si="24"/>
        <v>0</v>
      </c>
      <c r="Q107" s="101">
        <f t="shared" si="24"/>
        <v>0</v>
      </c>
      <c r="R107" s="101">
        <f t="shared" si="24"/>
        <v>0</v>
      </c>
      <c r="S107" s="101">
        <f t="shared" si="24"/>
        <v>0</v>
      </c>
      <c r="T107" s="101">
        <f t="shared" si="24"/>
        <v>0</v>
      </c>
      <c r="U107" s="101">
        <f t="shared" si="24"/>
        <v>0</v>
      </c>
      <c r="V107" s="101">
        <f t="shared" si="24"/>
        <v>0</v>
      </c>
      <c r="W107" s="101">
        <f t="shared" si="24"/>
        <v>0</v>
      </c>
      <c r="X107" s="101">
        <f t="shared" si="24"/>
        <v>0</v>
      </c>
      <c r="Y107" s="101">
        <f t="shared" si="24"/>
        <v>0</v>
      </c>
      <c r="Z107" s="101">
        <f t="shared" si="24"/>
        <v>0</v>
      </c>
      <c r="AA107" s="101">
        <f t="shared" si="24"/>
        <v>0</v>
      </c>
      <c r="AB107" s="101">
        <f t="shared" si="24"/>
        <v>0</v>
      </c>
      <c r="AC107" s="101">
        <f t="shared" si="24"/>
        <v>0</v>
      </c>
      <c r="AD107" s="101">
        <f t="shared" si="24"/>
        <v>0</v>
      </c>
      <c r="AE107" s="101">
        <f t="shared" si="24"/>
        <v>0</v>
      </c>
      <c r="AF107" s="101">
        <f t="shared" si="24"/>
        <v>0</v>
      </c>
      <c r="AG107" s="101">
        <f t="shared" si="24"/>
        <v>0</v>
      </c>
      <c r="AH107" s="101">
        <f t="shared" si="24"/>
        <v>0</v>
      </c>
      <c r="AI107" s="101">
        <f t="shared" si="24"/>
        <v>0</v>
      </c>
      <c r="AJ107" s="101">
        <f t="shared" si="24"/>
        <v>0</v>
      </c>
      <c r="AK107" s="101">
        <f t="shared" si="24"/>
        <v>0</v>
      </c>
      <c r="AL107" s="101">
        <f t="shared" si="24"/>
        <v>0</v>
      </c>
      <c r="AM107" s="101">
        <f t="shared" si="24"/>
        <v>0</v>
      </c>
      <c r="AN107" s="101">
        <f t="shared" si="24"/>
        <v>0</v>
      </c>
      <c r="AO107" s="101">
        <f t="shared" si="24"/>
        <v>0</v>
      </c>
      <c r="AP107" s="101">
        <f t="shared" si="24"/>
        <v>0</v>
      </c>
    </row>
    <row r="108" spans="3:44" x14ac:dyDescent="0.25">
      <c r="C108" s="91"/>
      <c r="F108" s="23" t="s">
        <v>198</v>
      </c>
      <c r="G108" s="85" t="s">
        <v>335</v>
      </c>
      <c r="H108" s="129">
        <f t="shared" si="18"/>
        <v>101.25650914430199</v>
      </c>
      <c r="I108" s="23"/>
      <c r="J108" s="129">
        <f t="shared" ref="J108:AP108" si="25">J40 * thousand * J69 / hundred</f>
        <v>0</v>
      </c>
      <c r="K108" s="129">
        <f t="shared" si="25"/>
        <v>0</v>
      </c>
      <c r="L108" s="129">
        <f t="shared" si="25"/>
        <v>0</v>
      </c>
      <c r="M108" s="129">
        <f t="shared" si="25"/>
        <v>0</v>
      </c>
      <c r="N108" s="129">
        <f t="shared" si="25"/>
        <v>0</v>
      </c>
      <c r="O108" s="129">
        <f t="shared" si="25"/>
        <v>0</v>
      </c>
      <c r="P108" s="129">
        <f t="shared" si="25"/>
        <v>0</v>
      </c>
      <c r="Q108" s="129">
        <f t="shared" si="25"/>
        <v>0</v>
      </c>
      <c r="R108" s="129">
        <f t="shared" si="25"/>
        <v>0</v>
      </c>
      <c r="S108" s="129">
        <f t="shared" si="25"/>
        <v>0</v>
      </c>
      <c r="T108" s="129">
        <f t="shared" si="25"/>
        <v>0</v>
      </c>
      <c r="U108" s="129">
        <f t="shared" si="25"/>
        <v>101.25650914430199</v>
      </c>
      <c r="V108" s="129">
        <f t="shared" si="25"/>
        <v>0</v>
      </c>
      <c r="W108" s="129">
        <f t="shared" si="25"/>
        <v>0</v>
      </c>
      <c r="X108" s="129">
        <f t="shared" si="25"/>
        <v>0</v>
      </c>
      <c r="Y108" s="129">
        <f t="shared" si="25"/>
        <v>0</v>
      </c>
      <c r="Z108" s="129">
        <f t="shared" si="25"/>
        <v>0</v>
      </c>
      <c r="AA108" s="129">
        <f t="shared" si="25"/>
        <v>0</v>
      </c>
      <c r="AB108" s="129">
        <f t="shared" si="25"/>
        <v>0</v>
      </c>
      <c r="AC108" s="129">
        <f t="shared" si="25"/>
        <v>0</v>
      </c>
      <c r="AD108" s="129">
        <f t="shared" si="25"/>
        <v>0</v>
      </c>
      <c r="AE108" s="129">
        <f t="shared" si="25"/>
        <v>0</v>
      </c>
      <c r="AF108" s="129">
        <f t="shared" si="25"/>
        <v>0</v>
      </c>
      <c r="AG108" s="129">
        <f t="shared" si="25"/>
        <v>0</v>
      </c>
      <c r="AH108" s="129">
        <f t="shared" si="25"/>
        <v>0</v>
      </c>
      <c r="AI108" s="129">
        <f t="shared" si="25"/>
        <v>0</v>
      </c>
      <c r="AJ108" s="129">
        <f t="shared" si="25"/>
        <v>0</v>
      </c>
      <c r="AK108" s="129">
        <f t="shared" si="25"/>
        <v>0</v>
      </c>
      <c r="AL108" s="129">
        <f t="shared" si="25"/>
        <v>0</v>
      </c>
      <c r="AM108" s="129">
        <f t="shared" si="25"/>
        <v>0</v>
      </c>
      <c r="AN108" s="129">
        <f t="shared" si="25"/>
        <v>0</v>
      </c>
      <c r="AO108" s="129">
        <f t="shared" si="25"/>
        <v>0</v>
      </c>
      <c r="AP108" s="129">
        <f t="shared" si="25"/>
        <v>0</v>
      </c>
    </row>
    <row r="109" spans="3:44" x14ac:dyDescent="0.25">
      <c r="C109" s="91"/>
      <c r="F109" s="111" t="s">
        <v>101</v>
      </c>
      <c r="G109" s="244" t="s">
        <v>335</v>
      </c>
      <c r="H109" s="157">
        <f>SUM(H102:H108)</f>
        <v>283799.40750133968</v>
      </c>
      <c r="I109" s="111"/>
      <c r="J109" s="157">
        <f t="shared" ref="J109:AP109" si="26">SUM(J102:J108)</f>
        <v>227133.12758944</v>
      </c>
      <c r="K109" s="157">
        <f t="shared" si="26"/>
        <v>4109.5861684384818</v>
      </c>
      <c r="L109" s="157">
        <f t="shared" si="26"/>
        <v>0</v>
      </c>
      <c r="M109" s="157">
        <f t="shared" si="26"/>
        <v>11749.4158716845</v>
      </c>
      <c r="N109" s="157">
        <f t="shared" si="26"/>
        <v>0</v>
      </c>
      <c r="O109" s="157">
        <f t="shared" si="26"/>
        <v>0</v>
      </c>
      <c r="P109" s="157">
        <f t="shared" si="26"/>
        <v>0</v>
      </c>
      <c r="Q109" s="157">
        <f t="shared" si="26"/>
        <v>0</v>
      </c>
      <c r="R109" s="157">
        <f t="shared" si="26"/>
        <v>0</v>
      </c>
      <c r="S109" s="157">
        <f t="shared" si="26"/>
        <v>0</v>
      </c>
      <c r="T109" s="157">
        <f t="shared" si="26"/>
        <v>0</v>
      </c>
      <c r="U109" s="157">
        <f t="shared" si="26"/>
        <v>28683.439157196626</v>
      </c>
      <c r="V109" s="157">
        <f t="shared" si="26"/>
        <v>12048.32969458003</v>
      </c>
      <c r="W109" s="157">
        <f t="shared" si="26"/>
        <v>0</v>
      </c>
      <c r="X109" s="157">
        <f t="shared" si="26"/>
        <v>0</v>
      </c>
      <c r="Y109" s="157">
        <f t="shared" si="26"/>
        <v>75.509020000000007</v>
      </c>
      <c r="Z109" s="157">
        <f t="shared" si="26"/>
        <v>0</v>
      </c>
      <c r="AA109" s="157">
        <f t="shared" si="26"/>
        <v>0</v>
      </c>
      <c r="AB109" s="157">
        <f t="shared" si="26"/>
        <v>0</v>
      </c>
      <c r="AC109" s="157">
        <f t="shared" si="26"/>
        <v>0</v>
      </c>
      <c r="AD109" s="157">
        <f t="shared" si="26"/>
        <v>0</v>
      </c>
      <c r="AE109" s="157">
        <f t="shared" si="26"/>
        <v>0</v>
      </c>
      <c r="AF109" s="157">
        <f t="shared" si="26"/>
        <v>0</v>
      </c>
      <c r="AG109" s="157">
        <f t="shared" si="26"/>
        <v>0</v>
      </c>
      <c r="AH109" s="157">
        <f t="shared" si="26"/>
        <v>0</v>
      </c>
      <c r="AI109" s="157">
        <f t="shared" si="26"/>
        <v>0</v>
      </c>
      <c r="AJ109" s="157">
        <f t="shared" si="26"/>
        <v>0</v>
      </c>
      <c r="AK109" s="157">
        <f t="shared" si="26"/>
        <v>0</v>
      </c>
      <c r="AL109" s="157">
        <f t="shared" si="26"/>
        <v>0</v>
      </c>
      <c r="AM109" s="157">
        <f t="shared" si="26"/>
        <v>0</v>
      </c>
      <c r="AN109" s="157">
        <f t="shared" si="26"/>
        <v>0</v>
      </c>
      <c r="AO109" s="157">
        <f t="shared" si="26"/>
        <v>0</v>
      </c>
      <c r="AP109" s="157">
        <f t="shared" si="26"/>
        <v>0</v>
      </c>
    </row>
    <row r="110" spans="3:44" x14ac:dyDescent="0.25">
      <c r="C110" s="91"/>
      <c r="D110" s="2"/>
      <c r="E110" s="2"/>
      <c r="G110" s="13"/>
      <c r="H110" s="92"/>
      <c r="J110" s="92"/>
      <c r="K110" s="92"/>
      <c r="L110" s="92"/>
      <c r="M110" s="92"/>
      <c r="N110" s="92"/>
      <c r="O110" s="92"/>
      <c r="P110" s="92"/>
      <c r="Q110" s="92"/>
      <c r="R110" s="92"/>
      <c r="S110" s="92"/>
      <c r="T110" s="92"/>
      <c r="U110" s="92"/>
      <c r="V110" s="92"/>
      <c r="W110" s="92"/>
      <c r="X110" s="92"/>
      <c r="Y110" s="92"/>
      <c r="Z110" s="92"/>
      <c r="AA110" s="92"/>
      <c r="AB110" s="92"/>
      <c r="AC110" s="92"/>
      <c r="AD110" s="92"/>
      <c r="AE110" s="92"/>
      <c r="AF110" s="92"/>
      <c r="AG110" s="92"/>
      <c r="AH110" s="92"/>
      <c r="AI110" s="92"/>
      <c r="AJ110" s="92"/>
      <c r="AK110" s="92"/>
      <c r="AL110" s="92"/>
      <c r="AM110" s="92"/>
      <c r="AN110" s="92"/>
      <c r="AO110" s="92"/>
      <c r="AP110" s="92"/>
    </row>
    <row r="111" spans="3:44" x14ac:dyDescent="0.25">
      <c r="C111" s="31" t="str">
        <f ca="1">INDEX('Version control'!$H$34:$H$56,MATCH($A$1,'Version control'!$F$34:$F$56,0),1)&amp;"-E: Net revenue summary (for information only)"</f>
        <v>Section 117-E: Net revenue summary (for information only)</v>
      </c>
      <c r="D111" s="31"/>
      <c r="E111" s="31"/>
      <c r="F111" s="31"/>
      <c r="G111" s="31"/>
      <c r="H111" s="93"/>
      <c r="I111" s="31"/>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c r="AM111" s="93"/>
      <c r="AN111" s="93"/>
      <c r="AO111" s="93"/>
      <c r="AP111" s="93"/>
      <c r="AQ111" s="31"/>
      <c r="AR111" s="31"/>
    </row>
    <row r="112" spans="3:44" x14ac:dyDescent="0.25">
      <c r="F112" s="3"/>
      <c r="G112" s="242"/>
      <c r="H112" s="130"/>
      <c r="I112" s="3"/>
      <c r="J112" s="92"/>
      <c r="K112" s="92"/>
      <c r="L112" s="92"/>
      <c r="M112" s="92"/>
      <c r="N112" s="92"/>
      <c r="O112" s="92"/>
      <c r="P112" s="92"/>
      <c r="Q112" s="92"/>
      <c r="R112" s="92"/>
      <c r="S112" s="92"/>
      <c r="T112" s="92"/>
      <c r="U112" s="92"/>
      <c r="V112" s="92"/>
      <c r="W112" s="92"/>
      <c r="X112" s="92"/>
      <c r="Y112" s="92"/>
      <c r="Z112" s="92"/>
      <c r="AA112" s="92"/>
      <c r="AB112" s="92"/>
      <c r="AC112" s="92"/>
      <c r="AD112" s="92"/>
      <c r="AE112" s="92"/>
      <c r="AF112" s="92"/>
      <c r="AG112" s="92"/>
      <c r="AH112" s="92"/>
      <c r="AI112" s="92"/>
      <c r="AJ112" s="92"/>
      <c r="AK112" s="92"/>
      <c r="AL112" s="92"/>
      <c r="AM112" s="92"/>
      <c r="AN112" s="92"/>
      <c r="AO112" s="92"/>
      <c r="AP112" s="92"/>
    </row>
    <row r="113" spans="3:44" x14ac:dyDescent="0.25">
      <c r="E113" t="s">
        <v>863</v>
      </c>
      <c r="G113" s="13" t="s">
        <v>335</v>
      </c>
      <c r="H113" s="245">
        <f>H73</f>
        <v>268421124.97878766</v>
      </c>
      <c r="J113" s="216"/>
      <c r="K113" s="216"/>
      <c r="L113" s="216"/>
      <c r="M113" s="216"/>
      <c r="N113" s="216"/>
      <c r="O113" s="216"/>
      <c r="P113" s="216"/>
      <c r="Q113" s="216"/>
      <c r="R113" s="216"/>
      <c r="S113" s="216"/>
      <c r="T113" s="216"/>
      <c r="U113" s="216"/>
      <c r="V113" s="216"/>
      <c r="W113" s="216"/>
      <c r="X113" s="216"/>
      <c r="Y113" s="216"/>
      <c r="Z113" s="216"/>
      <c r="AA113" s="216"/>
      <c r="AB113" s="216"/>
      <c r="AC113" s="216"/>
      <c r="AD113" s="216"/>
      <c r="AE113" s="216"/>
      <c r="AF113" s="216"/>
      <c r="AG113" s="216"/>
      <c r="AH113" s="216"/>
      <c r="AI113" s="216"/>
      <c r="AJ113" s="216"/>
      <c r="AK113" s="216"/>
      <c r="AL113" s="216"/>
      <c r="AM113" s="216"/>
      <c r="AN113" s="216"/>
      <c r="AO113" s="216"/>
      <c r="AP113" s="216"/>
    </row>
    <row r="114" spans="3:44" x14ac:dyDescent="0.25">
      <c r="E114" t="s">
        <v>1059</v>
      </c>
      <c r="G114" s="13" t="s">
        <v>335</v>
      </c>
      <c r="H114" s="245">
        <f>H74</f>
        <v>161670554.64749214</v>
      </c>
      <c r="J114" s="216"/>
      <c r="K114" s="216"/>
      <c r="L114" s="216"/>
      <c r="M114" s="216"/>
      <c r="N114" s="216"/>
      <c r="O114" s="216"/>
      <c r="P114" s="216"/>
      <c r="Q114" s="216"/>
      <c r="R114" s="216"/>
      <c r="S114" s="216"/>
      <c r="T114" s="216"/>
      <c r="U114" s="216"/>
      <c r="V114" s="216"/>
      <c r="W114" s="216"/>
      <c r="X114" s="216"/>
      <c r="Y114" s="216"/>
      <c r="Z114" s="216"/>
      <c r="AA114" s="216"/>
      <c r="AB114" s="216"/>
      <c r="AC114" s="216"/>
      <c r="AD114" s="216"/>
      <c r="AE114" s="216"/>
      <c r="AF114" s="216"/>
      <c r="AG114" s="216"/>
      <c r="AH114" s="216"/>
      <c r="AI114" s="216"/>
      <c r="AJ114" s="216"/>
      <c r="AK114" s="216"/>
      <c r="AL114" s="216"/>
      <c r="AM114" s="216"/>
      <c r="AN114" s="216"/>
      <c r="AO114" s="216"/>
      <c r="AP114" s="216"/>
    </row>
    <row r="115" spans="3:44" x14ac:dyDescent="0.25">
      <c r="E115" t="s">
        <v>1060</v>
      </c>
      <c r="G115" s="13" t="s">
        <v>335</v>
      </c>
      <c r="H115" s="245">
        <f>H75-'Net revenue summary'!H114</f>
        <v>106750570.33129555</v>
      </c>
      <c r="J115" s="216"/>
      <c r="K115" s="216"/>
      <c r="L115" s="216"/>
      <c r="M115" s="216"/>
      <c r="N115" s="216"/>
      <c r="O115" s="216"/>
      <c r="P115" s="216"/>
      <c r="Q115" s="216"/>
      <c r="R115" s="216"/>
      <c r="S115" s="216"/>
      <c r="T115" s="216"/>
      <c r="U115" s="216"/>
      <c r="V115" s="216"/>
      <c r="W115" s="216"/>
      <c r="X115" s="216"/>
      <c r="Y115" s="216"/>
      <c r="Z115" s="216"/>
      <c r="AA115" s="216"/>
      <c r="AB115" s="216"/>
      <c r="AC115" s="216"/>
      <c r="AD115" s="216"/>
      <c r="AE115" s="216"/>
      <c r="AF115" s="216"/>
      <c r="AG115" s="216"/>
      <c r="AH115" s="216"/>
      <c r="AI115" s="216"/>
      <c r="AJ115" s="216"/>
      <c r="AK115" s="216"/>
      <c r="AL115" s="216"/>
      <c r="AM115" s="216"/>
      <c r="AN115" s="216"/>
      <c r="AO115" s="216"/>
      <c r="AP115" s="216"/>
    </row>
    <row r="116" spans="3:44" x14ac:dyDescent="0.25">
      <c r="E116" t="s">
        <v>1061</v>
      </c>
      <c r="G116" s="13" t="s">
        <v>335</v>
      </c>
      <c r="H116" s="245">
        <f>SUM(H89,H99,H109) - SUM(H114:H115)</f>
        <v>-5518.9623888134956</v>
      </c>
      <c r="J116" s="216"/>
      <c r="K116" s="216"/>
      <c r="L116" s="216"/>
      <c r="M116" s="216"/>
      <c r="N116" s="216"/>
      <c r="O116" s="216"/>
      <c r="P116" s="216"/>
      <c r="Q116" s="216"/>
      <c r="R116" s="216"/>
      <c r="S116" s="216"/>
      <c r="T116" s="216"/>
      <c r="U116" s="216"/>
      <c r="V116" s="216"/>
      <c r="W116" s="216"/>
      <c r="X116" s="216"/>
      <c r="Y116" s="216"/>
      <c r="Z116" s="216"/>
      <c r="AA116" s="216"/>
      <c r="AB116" s="216"/>
      <c r="AC116" s="216"/>
      <c r="AD116" s="216"/>
      <c r="AE116" s="216"/>
      <c r="AF116" s="216"/>
      <c r="AG116" s="216"/>
      <c r="AH116" s="216"/>
      <c r="AI116" s="216"/>
      <c r="AJ116" s="216"/>
      <c r="AK116" s="216"/>
      <c r="AL116" s="216"/>
      <c r="AM116" s="216"/>
      <c r="AN116" s="216"/>
      <c r="AO116" s="216"/>
      <c r="AP116" s="216"/>
    </row>
    <row r="117" spans="3:44" x14ac:dyDescent="0.25">
      <c r="E117" s="111" t="s">
        <v>1062</v>
      </c>
      <c r="F117" s="111"/>
      <c r="G117" s="244" t="s">
        <v>335</v>
      </c>
      <c r="H117" s="246">
        <f>SUM(H114:H116)</f>
        <v>268415606.01639888</v>
      </c>
      <c r="J117" s="216"/>
      <c r="K117" s="216"/>
      <c r="L117" s="216"/>
      <c r="M117" s="216"/>
      <c r="N117" s="216"/>
      <c r="O117" s="216"/>
      <c r="P117" s="216"/>
      <c r="Q117" s="216"/>
      <c r="R117" s="216"/>
      <c r="S117" s="216"/>
      <c r="T117" s="216"/>
      <c r="U117" s="216"/>
      <c r="V117" s="216"/>
      <c r="W117" s="216"/>
      <c r="X117" s="216"/>
      <c r="Y117" s="216"/>
      <c r="Z117" s="216"/>
      <c r="AA117" s="216"/>
      <c r="AB117" s="216"/>
      <c r="AC117" s="216"/>
      <c r="AD117" s="216"/>
      <c r="AE117" s="216"/>
      <c r="AF117" s="216"/>
      <c r="AG117" s="216"/>
      <c r="AH117" s="216"/>
      <c r="AI117" s="216"/>
      <c r="AJ117" s="216"/>
      <c r="AK117" s="216"/>
      <c r="AL117" s="216"/>
      <c r="AM117" s="216"/>
      <c r="AN117" s="216"/>
      <c r="AO117" s="216"/>
      <c r="AP117" s="216"/>
    </row>
    <row r="118" spans="3:44" x14ac:dyDescent="0.25">
      <c r="G118" s="13"/>
      <c r="H118" s="216"/>
      <c r="J118" s="216"/>
      <c r="K118" s="216"/>
      <c r="L118" s="216"/>
      <c r="M118" s="216"/>
      <c r="N118" s="216"/>
      <c r="O118" s="216"/>
      <c r="P118" s="216"/>
      <c r="Q118" s="216"/>
      <c r="R118" s="216"/>
      <c r="S118" s="216"/>
      <c r="T118" s="216"/>
      <c r="U118" s="216"/>
      <c r="V118" s="216"/>
      <c r="W118" s="216"/>
      <c r="X118" s="216"/>
      <c r="Y118" s="216"/>
      <c r="Z118" s="216"/>
      <c r="AA118" s="216"/>
      <c r="AB118" s="216"/>
      <c r="AC118" s="216"/>
      <c r="AD118" s="216"/>
      <c r="AE118" s="216"/>
      <c r="AF118" s="216"/>
      <c r="AG118" s="216"/>
      <c r="AH118" s="216"/>
      <c r="AI118" s="216"/>
      <c r="AJ118" s="216"/>
      <c r="AK118" s="216"/>
      <c r="AL118" s="216"/>
      <c r="AM118" s="216"/>
      <c r="AN118" s="216"/>
      <c r="AO118" s="216"/>
      <c r="AP118" s="216"/>
    </row>
    <row r="119" spans="3:44" x14ac:dyDescent="0.25">
      <c r="E119" t="s">
        <v>1063</v>
      </c>
      <c r="G119" s="13" t="s">
        <v>335</v>
      </c>
      <c r="H119" s="245">
        <f>H117 - H113</f>
        <v>-5518.9623887836933</v>
      </c>
      <c r="J119" s="216"/>
      <c r="K119" s="216"/>
      <c r="L119" s="216"/>
      <c r="M119" s="216"/>
      <c r="N119" s="216"/>
      <c r="O119" s="216"/>
      <c r="P119" s="216"/>
      <c r="Q119" s="216"/>
      <c r="R119" s="216"/>
      <c r="S119" s="216"/>
      <c r="T119" s="216"/>
      <c r="U119" s="216"/>
      <c r="V119" s="216"/>
      <c r="W119" s="216"/>
      <c r="X119" s="216"/>
      <c r="Y119" s="216"/>
      <c r="Z119" s="216"/>
      <c r="AA119" s="216"/>
      <c r="AB119" s="216"/>
      <c r="AC119" s="216"/>
      <c r="AD119" s="216"/>
      <c r="AE119" s="216"/>
      <c r="AF119" s="216"/>
      <c r="AG119" s="216"/>
      <c r="AH119" s="216"/>
      <c r="AI119" s="216"/>
      <c r="AJ119" s="216"/>
      <c r="AK119" s="216"/>
      <c r="AL119" s="216"/>
      <c r="AM119" s="216"/>
      <c r="AN119" s="216"/>
      <c r="AO119" s="216"/>
      <c r="AP119" s="216"/>
    </row>
    <row r="120" spans="3:44" x14ac:dyDescent="0.25">
      <c r="E120" t="s">
        <v>1063</v>
      </c>
      <c r="G120" s="13" t="s">
        <v>203</v>
      </c>
      <c r="H120" s="245">
        <f>(H117 - H113) / H113</f>
        <v>-2.0560834730201792E-5</v>
      </c>
      <c r="J120" s="216"/>
      <c r="K120" s="216"/>
      <c r="L120" s="216"/>
      <c r="M120" s="216"/>
      <c r="N120" s="216"/>
      <c r="O120" s="216"/>
      <c r="P120" s="216"/>
      <c r="Q120" s="216"/>
      <c r="R120" s="216"/>
      <c r="S120" s="216"/>
      <c r="T120" s="216"/>
      <c r="U120" s="216"/>
      <c r="V120" s="216"/>
      <c r="W120" s="216"/>
      <c r="X120" s="216"/>
      <c r="Y120" s="216"/>
      <c r="Z120" s="216"/>
      <c r="AA120" s="216"/>
      <c r="AB120" s="216"/>
      <c r="AC120" s="216"/>
      <c r="AD120" s="216"/>
      <c r="AE120" s="216"/>
      <c r="AF120" s="216"/>
      <c r="AG120" s="216"/>
      <c r="AH120" s="216"/>
      <c r="AI120" s="216"/>
      <c r="AJ120" s="216"/>
      <c r="AK120" s="216"/>
      <c r="AL120" s="216"/>
      <c r="AM120" s="216"/>
      <c r="AN120" s="216"/>
      <c r="AO120" s="216"/>
      <c r="AP120" s="216"/>
    </row>
    <row r="121" spans="3:44" x14ac:dyDescent="0.25">
      <c r="C121" s="91"/>
      <c r="D121" s="2"/>
      <c r="E121" s="2"/>
      <c r="G121" s="13"/>
      <c r="J121" s="92"/>
      <c r="K121" s="92"/>
      <c r="L121" s="92"/>
      <c r="M121" s="92"/>
      <c r="N121" s="92"/>
      <c r="O121" s="92"/>
      <c r="P121" s="92"/>
      <c r="Q121" s="92"/>
      <c r="R121" s="92"/>
      <c r="S121" s="92"/>
      <c r="T121" s="92"/>
      <c r="U121" s="92"/>
      <c r="V121" s="92"/>
      <c r="W121" s="92"/>
      <c r="X121" s="92"/>
      <c r="Y121" s="92"/>
      <c r="Z121" s="92"/>
      <c r="AA121" s="92"/>
      <c r="AB121" s="92"/>
      <c r="AC121" s="92"/>
      <c r="AD121" s="92"/>
      <c r="AE121" s="92"/>
      <c r="AF121" s="92"/>
      <c r="AG121" s="92"/>
      <c r="AH121" s="92"/>
      <c r="AI121" s="92"/>
      <c r="AJ121" s="92"/>
      <c r="AK121" s="92"/>
      <c r="AL121" s="92"/>
      <c r="AM121" s="92"/>
      <c r="AN121" s="92"/>
      <c r="AO121" s="92"/>
      <c r="AP121" s="92"/>
    </row>
    <row r="122" spans="3:44" x14ac:dyDescent="0.25">
      <c r="C122" s="31" t="str">
        <f ca="1">INDEX('Version control'!$H$34:$H$56,MATCH($A$1,'Version control'!$F$34:$F$56,0),1)&amp;"-F: Typical bills"</f>
        <v>Section 117-F: Typical bills</v>
      </c>
      <c r="D122" s="31"/>
      <c r="E122" s="31"/>
      <c r="F122" s="31"/>
      <c r="G122" s="31"/>
      <c r="H122" s="31"/>
      <c r="I122" s="31"/>
      <c r="J122" s="93"/>
      <c r="K122" s="93"/>
      <c r="L122" s="93"/>
      <c r="M122" s="93"/>
      <c r="N122" s="93"/>
      <c r="O122" s="93"/>
      <c r="P122" s="93"/>
      <c r="Q122" s="93"/>
      <c r="R122" s="93"/>
      <c r="S122" s="93"/>
      <c r="T122" s="93"/>
      <c r="U122" s="93"/>
      <c r="V122" s="93"/>
      <c r="W122" s="93"/>
      <c r="X122" s="93"/>
      <c r="Y122" s="93"/>
      <c r="Z122" s="93"/>
      <c r="AA122" s="93"/>
      <c r="AB122" s="93"/>
      <c r="AC122" s="93"/>
      <c r="AD122" s="93"/>
      <c r="AE122" s="93"/>
      <c r="AF122" s="93"/>
      <c r="AG122" s="93"/>
      <c r="AH122" s="93"/>
      <c r="AI122" s="93"/>
      <c r="AJ122" s="93"/>
      <c r="AK122" s="93"/>
      <c r="AL122" s="93"/>
      <c r="AM122" s="93"/>
      <c r="AN122" s="93"/>
      <c r="AO122" s="93"/>
      <c r="AP122" s="93"/>
      <c r="AQ122" s="31"/>
      <c r="AR122" s="31"/>
    </row>
    <row r="123" spans="3:44" x14ac:dyDescent="0.25">
      <c r="F123" s="3"/>
      <c r="G123" s="242"/>
      <c r="H123" s="3"/>
      <c r="I123" s="3"/>
      <c r="J123" s="92"/>
      <c r="K123" s="92"/>
      <c r="L123" s="92"/>
      <c r="M123" s="92"/>
      <c r="N123" s="92"/>
      <c r="O123" s="92"/>
      <c r="P123" s="92"/>
      <c r="Q123" s="92"/>
      <c r="R123" s="92"/>
      <c r="S123" s="92"/>
      <c r="T123" s="92"/>
      <c r="U123" s="92"/>
      <c r="V123" s="92"/>
      <c r="W123" s="92"/>
      <c r="X123" s="92"/>
      <c r="Y123" s="92"/>
      <c r="Z123" s="92"/>
      <c r="AA123" s="92"/>
      <c r="AB123" s="92"/>
      <c r="AC123" s="92"/>
      <c r="AD123" s="92"/>
      <c r="AE123" s="92"/>
      <c r="AF123" s="92"/>
      <c r="AG123" s="92"/>
      <c r="AH123" s="92"/>
      <c r="AI123" s="92"/>
      <c r="AJ123" s="92"/>
      <c r="AK123" s="92"/>
      <c r="AL123" s="92"/>
      <c r="AM123" s="92"/>
      <c r="AN123" s="92"/>
      <c r="AO123" s="92"/>
      <c r="AP123" s="92"/>
    </row>
    <row r="124" spans="3:44" x14ac:dyDescent="0.25">
      <c r="E124" t="s">
        <v>1064</v>
      </c>
      <c r="G124" s="13" t="s">
        <v>1065</v>
      </c>
      <c r="H124" t="s">
        <v>1066</v>
      </c>
      <c r="J124" s="216">
        <f t="shared" ref="J124:AP124" si="27" xml:space="preserve"> IF( J19 &lt;&gt; 0, J89 / J19, "")</f>
        <v>158.02926662686087</v>
      </c>
      <c r="K124" s="216">
        <f t="shared" si="27"/>
        <v>256.88632465403765</v>
      </c>
      <c r="L124" s="216">
        <f t="shared" si="27"/>
        <v>132.445179713828</v>
      </c>
      <c r="M124" s="216">
        <f t="shared" si="27"/>
        <v>537.13750933398376</v>
      </c>
      <c r="N124" s="216">
        <f t="shared" si="27"/>
        <v>804.74414986850741</v>
      </c>
      <c r="O124" s="216">
        <f t="shared" si="27"/>
        <v>260.5790697848181</v>
      </c>
      <c r="P124" s="216">
        <f t="shared" si="27"/>
        <v>3472.6306681904816</v>
      </c>
      <c r="Q124" s="216" t="str">
        <f t="shared" si="27"/>
        <v/>
      </c>
      <c r="R124" s="216">
        <f t="shared" si="27"/>
        <v>26232.503589000247</v>
      </c>
      <c r="S124" s="216">
        <f t="shared" si="27"/>
        <v>209.08519216162566</v>
      </c>
      <c r="T124" s="216">
        <f t="shared" si="27"/>
        <v>2815.1862972217623</v>
      </c>
      <c r="U124" s="216">
        <f t="shared" si="27"/>
        <v>9461.1947240546342</v>
      </c>
      <c r="V124" s="216">
        <f t="shared" si="27"/>
        <v>41846.856565414979</v>
      </c>
      <c r="W124" s="216">
        <f t="shared" si="27"/>
        <v>49192.113640019612</v>
      </c>
      <c r="X124" s="216">
        <f t="shared" si="27"/>
        <v>2576.6314683628079</v>
      </c>
      <c r="Y124" s="216">
        <f t="shared" si="27"/>
        <v>359.1813064279491</v>
      </c>
      <c r="Z124" s="216">
        <f t="shared" si="27"/>
        <v>142.93247108937518</v>
      </c>
      <c r="AA124" s="216">
        <f t="shared" si="27"/>
        <v>350.88295592888426</v>
      </c>
      <c r="AB124" s="216">
        <f t="shared" si="27"/>
        <v>291969.48626638943</v>
      </c>
      <c r="AC124" s="216">
        <f t="shared" si="27"/>
        <v>-203.66508370751507</v>
      </c>
      <c r="AD124" s="216" t="str">
        <f t="shared" si="27"/>
        <v/>
      </c>
      <c r="AE124" s="216">
        <f t="shared" si="27"/>
        <v>-5876.5864396142597</v>
      </c>
      <c r="AF124" s="216" t="str">
        <f t="shared" si="27"/>
        <v/>
      </c>
      <c r="AG124" s="216">
        <f t="shared" si="27"/>
        <v>-15988.728594029533</v>
      </c>
      <c r="AH124" s="216" t="str">
        <f t="shared" si="27"/>
        <v/>
      </c>
      <c r="AI124" s="216">
        <f t="shared" si="27"/>
        <v>-20236.54464</v>
      </c>
      <c r="AJ124" s="216" t="str">
        <f t="shared" si="27"/>
        <v/>
      </c>
      <c r="AK124" s="216" t="str">
        <f t="shared" si="27"/>
        <v/>
      </c>
      <c r="AL124" s="216" t="str">
        <f t="shared" si="27"/>
        <v/>
      </c>
      <c r="AM124" s="216">
        <f t="shared" si="27"/>
        <v>-12026.032859660188</v>
      </c>
      <c r="AN124" s="216" t="str">
        <f t="shared" si="27"/>
        <v/>
      </c>
      <c r="AO124" s="216">
        <f t="shared" si="27"/>
        <v>-56452.820696419018</v>
      </c>
      <c r="AP124" s="216" t="str">
        <f t="shared" si="27"/>
        <v/>
      </c>
    </row>
    <row r="125" spans="3:44" x14ac:dyDescent="0.25">
      <c r="E125" t="s">
        <v>1067</v>
      </c>
      <c r="G125" s="13" t="s">
        <v>1065</v>
      </c>
      <c r="H125" t="s">
        <v>508</v>
      </c>
      <c r="J125" s="216">
        <f t="shared" ref="J125:AP125" si="28" xml:space="preserve"> IF( J28 &lt;&gt; 0, J99 / J28, "")</f>
        <v>94.96520034520934</v>
      </c>
      <c r="K125" s="216">
        <f t="shared" si="28"/>
        <v>222.00967958625111</v>
      </c>
      <c r="L125" s="216" t="str">
        <f t="shared" si="28"/>
        <v/>
      </c>
      <c r="M125" s="216">
        <f t="shared" si="28"/>
        <v>140.42811380258226</v>
      </c>
      <c r="N125" s="216" t="str">
        <f t="shared" si="28"/>
        <v/>
      </c>
      <c r="O125" s="216" t="str">
        <f t="shared" si="28"/>
        <v/>
      </c>
      <c r="P125" s="216" t="str">
        <f t="shared" si="28"/>
        <v/>
      </c>
      <c r="Q125" s="216" t="str">
        <f t="shared" si="28"/>
        <v/>
      </c>
      <c r="R125" s="216" t="str">
        <f t="shared" si="28"/>
        <v/>
      </c>
      <c r="S125" s="216" t="str">
        <f t="shared" si="28"/>
        <v/>
      </c>
      <c r="T125" s="216" t="str">
        <f t="shared" si="28"/>
        <v/>
      </c>
      <c r="U125" s="216">
        <f t="shared" si="28"/>
        <v>7552.2944223266404</v>
      </c>
      <c r="V125" s="216" t="str">
        <f t="shared" si="28"/>
        <v/>
      </c>
      <c r="W125" s="216" t="str">
        <f t="shared" si="28"/>
        <v/>
      </c>
      <c r="X125" s="216" t="str">
        <f t="shared" si="28"/>
        <v/>
      </c>
      <c r="Y125" s="216" t="str">
        <f t="shared" si="28"/>
        <v/>
      </c>
      <c r="Z125" s="216" t="str">
        <f t="shared" si="28"/>
        <v/>
      </c>
      <c r="AA125" s="216" t="str">
        <f t="shared" si="28"/>
        <v/>
      </c>
      <c r="AB125" s="216" t="str">
        <f t="shared" si="28"/>
        <v/>
      </c>
      <c r="AC125" s="216" t="str">
        <f t="shared" si="28"/>
        <v/>
      </c>
      <c r="AD125" s="216" t="str">
        <f t="shared" si="28"/>
        <v/>
      </c>
      <c r="AE125" s="216" t="str">
        <f t="shared" si="28"/>
        <v/>
      </c>
      <c r="AF125" s="216" t="str">
        <f t="shared" si="28"/>
        <v/>
      </c>
      <c r="AG125" s="216" t="str">
        <f t="shared" si="28"/>
        <v/>
      </c>
      <c r="AH125" s="216" t="str">
        <f t="shared" si="28"/>
        <v/>
      </c>
      <c r="AI125" s="216" t="str">
        <f t="shared" si="28"/>
        <v/>
      </c>
      <c r="AJ125" s="216" t="str">
        <f t="shared" si="28"/>
        <v/>
      </c>
      <c r="AK125" s="216" t="str">
        <f t="shared" si="28"/>
        <v/>
      </c>
      <c r="AL125" s="216" t="str">
        <f t="shared" si="28"/>
        <v/>
      </c>
      <c r="AM125" s="216" t="str">
        <f t="shared" si="28"/>
        <v/>
      </c>
      <c r="AN125" s="216" t="str">
        <f t="shared" si="28"/>
        <v/>
      </c>
      <c r="AO125" s="216" t="str">
        <f t="shared" si="28"/>
        <v/>
      </c>
      <c r="AP125" s="216" t="str">
        <f t="shared" si="28"/>
        <v/>
      </c>
    </row>
    <row r="126" spans="3:44" x14ac:dyDescent="0.25">
      <c r="E126" t="s">
        <v>1068</v>
      </c>
      <c r="G126" s="13" t="s">
        <v>1065</v>
      </c>
      <c r="H126" t="s">
        <v>509</v>
      </c>
      <c r="J126" s="216">
        <f t="shared" ref="J126:AP126" si="29" xml:space="preserve"> IF( J37 &lt;&gt; 0, J109 / J37, "")</f>
        <v>54.289680673968363</v>
      </c>
      <c r="K126" s="216">
        <f t="shared" si="29"/>
        <v>76.103447563675587</v>
      </c>
      <c r="L126" s="216" t="str">
        <f t="shared" si="29"/>
        <v/>
      </c>
      <c r="M126" s="216">
        <f t="shared" si="29"/>
        <v>243.18243165300672</v>
      </c>
      <c r="N126" s="216" t="str">
        <f t="shared" si="29"/>
        <v/>
      </c>
      <c r="O126" s="216" t="str">
        <f t="shared" si="29"/>
        <v/>
      </c>
      <c r="P126" s="216" t="str">
        <f t="shared" si="29"/>
        <v/>
      </c>
      <c r="Q126" s="216" t="str">
        <f t="shared" si="29"/>
        <v/>
      </c>
      <c r="R126" s="216" t="str">
        <f t="shared" si="29"/>
        <v/>
      </c>
      <c r="S126" s="216" t="str">
        <f t="shared" si="29"/>
        <v/>
      </c>
      <c r="T126" s="216" t="str">
        <f t="shared" si="29"/>
        <v/>
      </c>
      <c r="U126" s="216">
        <f t="shared" si="29"/>
        <v>4751.2445229712202</v>
      </c>
      <c r="V126" s="216">
        <f t="shared" si="29"/>
        <v>12048.32969458003</v>
      </c>
      <c r="W126" s="216" t="str">
        <f t="shared" si="29"/>
        <v/>
      </c>
      <c r="X126" s="216" t="str">
        <f t="shared" si="29"/>
        <v/>
      </c>
      <c r="Y126" s="216">
        <f t="shared" si="29"/>
        <v>37.754510000000003</v>
      </c>
      <c r="Z126" s="216" t="str">
        <f t="shared" si="29"/>
        <v/>
      </c>
      <c r="AA126" s="216" t="str">
        <f t="shared" si="29"/>
        <v/>
      </c>
      <c r="AB126" s="216" t="str">
        <f t="shared" si="29"/>
        <v/>
      </c>
      <c r="AC126" s="216" t="str">
        <f t="shared" si="29"/>
        <v/>
      </c>
      <c r="AD126" s="216" t="str">
        <f t="shared" si="29"/>
        <v/>
      </c>
      <c r="AE126" s="216" t="str">
        <f t="shared" si="29"/>
        <v/>
      </c>
      <c r="AF126" s="216" t="str">
        <f t="shared" si="29"/>
        <v/>
      </c>
      <c r="AG126" s="216" t="str">
        <f t="shared" si="29"/>
        <v/>
      </c>
      <c r="AH126" s="216" t="str">
        <f t="shared" si="29"/>
        <v/>
      </c>
      <c r="AI126" s="216" t="str">
        <f t="shared" si="29"/>
        <v/>
      </c>
      <c r="AJ126" s="216" t="str">
        <f t="shared" si="29"/>
        <v/>
      </c>
      <c r="AK126" s="216" t="str">
        <f t="shared" si="29"/>
        <v/>
      </c>
      <c r="AL126" s="216" t="str">
        <f t="shared" si="29"/>
        <v/>
      </c>
      <c r="AM126" s="216" t="str">
        <f t="shared" si="29"/>
        <v/>
      </c>
      <c r="AN126" s="216" t="str">
        <f t="shared" si="29"/>
        <v/>
      </c>
      <c r="AO126" s="216" t="str">
        <f t="shared" si="29"/>
        <v/>
      </c>
      <c r="AP126" s="216" t="str">
        <f t="shared" si="29"/>
        <v/>
      </c>
    </row>
    <row r="127" spans="3:44" x14ac:dyDescent="0.25">
      <c r="D127" s="2"/>
      <c r="E127" s="2"/>
      <c r="G127" s="13"/>
      <c r="J127" s="92"/>
      <c r="K127" s="92"/>
      <c r="L127" s="92"/>
      <c r="M127" s="92"/>
      <c r="N127" s="92"/>
      <c r="O127" s="92"/>
      <c r="P127" s="92"/>
      <c r="Q127" s="92"/>
      <c r="R127" s="92"/>
      <c r="S127" s="92"/>
      <c r="T127" s="92"/>
      <c r="U127" s="92"/>
      <c r="V127" s="92"/>
      <c r="W127" s="92"/>
      <c r="X127" s="92"/>
      <c r="Y127" s="92"/>
      <c r="Z127" s="92"/>
      <c r="AA127" s="92"/>
      <c r="AB127" s="92"/>
      <c r="AC127" s="92"/>
      <c r="AD127" s="92"/>
      <c r="AE127" s="92"/>
      <c r="AF127" s="92"/>
      <c r="AG127" s="92"/>
      <c r="AH127" s="92"/>
      <c r="AI127" s="92"/>
      <c r="AJ127" s="92"/>
      <c r="AK127" s="92"/>
      <c r="AL127" s="92"/>
      <c r="AM127" s="92"/>
      <c r="AN127" s="92"/>
      <c r="AO127" s="92"/>
      <c r="AP127" s="92"/>
    </row>
    <row r="128" spans="3:44" x14ac:dyDescent="0.25">
      <c r="C128" s="31" t="str">
        <f ca="1">INDEX('Version control'!$H$34:$H$56,MATCH($A$1,'Version control'!$F$34:$F$56,0),1)&amp;"-G: Average bill per kWh"</f>
        <v>Section 117-G: Average bill per kWh</v>
      </c>
      <c r="D128" s="31"/>
      <c r="E128" s="31"/>
      <c r="F128" s="31"/>
      <c r="G128" s="31"/>
      <c r="H128" s="31"/>
      <c r="I128" s="31"/>
      <c r="J128" s="93"/>
      <c r="K128" s="93"/>
      <c r="L128" s="93"/>
      <c r="M128" s="93"/>
      <c r="N128" s="93"/>
      <c r="O128" s="93"/>
      <c r="P128" s="93"/>
      <c r="Q128" s="93"/>
      <c r="R128" s="93"/>
      <c r="S128" s="93"/>
      <c r="T128" s="93"/>
      <c r="U128" s="93"/>
      <c r="V128" s="93"/>
      <c r="W128" s="93"/>
      <c r="X128" s="93"/>
      <c r="Y128" s="93"/>
      <c r="Z128" s="93"/>
      <c r="AA128" s="93"/>
      <c r="AB128" s="93"/>
      <c r="AC128" s="93"/>
      <c r="AD128" s="93"/>
      <c r="AE128" s="93"/>
      <c r="AF128" s="93"/>
      <c r="AG128" s="93"/>
      <c r="AH128" s="93"/>
      <c r="AI128" s="93"/>
      <c r="AJ128" s="93"/>
      <c r="AK128" s="93"/>
      <c r="AL128" s="93"/>
      <c r="AM128" s="93"/>
      <c r="AN128" s="93"/>
      <c r="AO128" s="93"/>
      <c r="AP128" s="93"/>
      <c r="AQ128" s="31"/>
      <c r="AR128" s="31"/>
    </row>
    <row r="129" spans="2:44" x14ac:dyDescent="0.25">
      <c r="F129" s="3"/>
      <c r="G129" s="242"/>
      <c r="H129" s="3"/>
      <c r="I129" s="3"/>
      <c r="J129" s="92"/>
      <c r="K129" s="92"/>
      <c r="L129" s="92"/>
      <c r="M129" s="92"/>
      <c r="N129" s="92"/>
      <c r="O129" s="92"/>
      <c r="P129" s="92"/>
      <c r="Q129" s="92"/>
      <c r="R129" s="92"/>
      <c r="S129" s="92"/>
      <c r="T129" s="92"/>
      <c r="U129" s="92"/>
      <c r="V129" s="92"/>
      <c r="W129" s="92"/>
      <c r="X129" s="92"/>
      <c r="Y129" s="92"/>
      <c r="Z129" s="92"/>
      <c r="AA129" s="92"/>
      <c r="AB129" s="92"/>
      <c r="AC129" s="92"/>
      <c r="AD129" s="92"/>
      <c r="AE129" s="92"/>
      <c r="AF129" s="92"/>
      <c r="AG129" s="92"/>
      <c r="AH129" s="92"/>
      <c r="AI129" s="92"/>
      <c r="AJ129" s="92"/>
      <c r="AK129" s="92"/>
      <c r="AL129" s="92"/>
      <c r="AM129" s="92"/>
      <c r="AN129" s="92"/>
      <c r="AO129" s="92"/>
      <c r="AP129" s="92"/>
    </row>
    <row r="130" spans="2:44" x14ac:dyDescent="0.25">
      <c r="E130" t="s">
        <v>1069</v>
      </c>
      <c r="G130" s="13" t="s">
        <v>327</v>
      </c>
      <c r="H130" s="304" t="s">
        <v>1066</v>
      </c>
      <c r="I130" s="304"/>
      <c r="J130" s="315">
        <f t="shared" ref="J130:AP130" si="30" xml:space="preserve"> IF( SUM(J$16:J$18) &lt;&gt; 0, J$89 / SUM(J$16:J$18) * hundred / thousand, "")</f>
        <v>4.3359978394221672</v>
      </c>
      <c r="K130" s="315">
        <f t="shared" si="30"/>
        <v>3.5938002022835875</v>
      </c>
      <c r="L130" s="315">
        <f t="shared" si="30"/>
        <v>2.339</v>
      </c>
      <c r="M130" s="315">
        <f t="shared" si="30"/>
        <v>3.9785666689987655</v>
      </c>
      <c r="N130" s="315">
        <f t="shared" si="30"/>
        <v>3.4736902978527846</v>
      </c>
      <c r="O130" s="315">
        <f t="shared" si="30"/>
        <v>2.2589999999999995</v>
      </c>
      <c r="P130" s="315">
        <f t="shared" si="30"/>
        <v>3.5469873407460275</v>
      </c>
      <c r="Q130" s="315" t="str">
        <f t="shared" si="30"/>
        <v/>
      </c>
      <c r="R130" s="315">
        <f t="shared" si="30"/>
        <v>3.20624932384584</v>
      </c>
      <c r="S130" s="315">
        <f t="shared" si="30"/>
        <v>4.2492613421825105</v>
      </c>
      <c r="T130" s="315">
        <f t="shared" si="30"/>
        <v>3.6926264113012861</v>
      </c>
      <c r="U130" s="315">
        <f t="shared" si="30"/>
        <v>3.9573946904120341</v>
      </c>
      <c r="V130" s="315">
        <f t="shared" si="30"/>
        <v>3.0325944863534846</v>
      </c>
      <c r="W130" s="315">
        <f t="shared" si="30"/>
        <v>3.8736051197757457</v>
      </c>
      <c r="X130" s="315">
        <f t="shared" si="30"/>
        <v>4.7549999999999999</v>
      </c>
      <c r="Y130" s="315">
        <f t="shared" si="30"/>
        <v>4.8419999999999987</v>
      </c>
      <c r="Z130" s="315">
        <f t="shared" si="30"/>
        <v>5.7080000000000002</v>
      </c>
      <c r="AA130" s="315">
        <f t="shared" si="30"/>
        <v>4.7580000000000009</v>
      </c>
      <c r="AB130" s="315">
        <f t="shared" si="30"/>
        <v>4.9330520529228661</v>
      </c>
      <c r="AC130" s="315">
        <f t="shared" si="30"/>
        <v>-1.2840000000000003</v>
      </c>
      <c r="AD130" s="315" t="str">
        <f t="shared" si="30"/>
        <v/>
      </c>
      <c r="AE130" s="315">
        <f t="shared" si="30"/>
        <v>-1.2751137933419343</v>
      </c>
      <c r="AF130" s="315" t="str">
        <f t="shared" si="30"/>
        <v/>
      </c>
      <c r="AG130" s="315">
        <f t="shared" si="30"/>
        <v>-1.3206328939756764</v>
      </c>
      <c r="AH130" s="315" t="str">
        <f t="shared" si="30"/>
        <v/>
      </c>
      <c r="AI130" s="315">
        <f t="shared" si="30"/>
        <v>-1.1519999999999999</v>
      </c>
      <c r="AJ130" s="315" t="str">
        <f t="shared" si="30"/>
        <v/>
      </c>
      <c r="AK130" s="315" t="str">
        <f t="shared" si="30"/>
        <v/>
      </c>
      <c r="AL130" s="315" t="str">
        <f t="shared" si="30"/>
        <v/>
      </c>
      <c r="AM130" s="315">
        <f t="shared" si="30"/>
        <v>-0.53991471524622192</v>
      </c>
      <c r="AN130" s="315" t="str">
        <f t="shared" si="30"/>
        <v/>
      </c>
      <c r="AO130" s="315">
        <f t="shared" si="30"/>
        <v>-0.67225662457795266</v>
      </c>
      <c r="AP130" s="315" t="str">
        <f t="shared" si="30"/>
        <v/>
      </c>
      <c r="AQ130" s="304"/>
      <c r="AR130" s="304"/>
    </row>
    <row r="131" spans="2:44" x14ac:dyDescent="0.25">
      <c r="E131" t="s">
        <v>1070</v>
      </c>
      <c r="G131" s="13" t="s">
        <v>327</v>
      </c>
      <c r="H131" s="304" t="s">
        <v>508</v>
      </c>
      <c r="I131" s="304"/>
      <c r="J131" s="315">
        <f t="shared" ref="J131:AP131" si="31" xml:space="preserve"> IF( SUM(J$25:J$27) &lt;&gt; 0, J$99 / SUM(J$25:J$27) * hundred / thousand, "")</f>
        <v>3.1620747654792503</v>
      </c>
      <c r="K131" s="315">
        <f t="shared" si="31"/>
        <v>2.4393541046976446</v>
      </c>
      <c r="L131" s="315" t="str">
        <f t="shared" si="31"/>
        <v/>
      </c>
      <c r="M131" s="315">
        <f t="shared" si="31"/>
        <v>3.1821606833925422</v>
      </c>
      <c r="N131" s="315" t="str">
        <f t="shared" si="31"/>
        <v/>
      </c>
      <c r="O131" s="315" t="str">
        <f t="shared" si="31"/>
        <v/>
      </c>
      <c r="P131" s="315" t="str">
        <f t="shared" si="31"/>
        <v/>
      </c>
      <c r="Q131" s="315" t="str">
        <f t="shared" si="31"/>
        <v/>
      </c>
      <c r="R131" s="315" t="str">
        <f t="shared" si="31"/>
        <v/>
      </c>
      <c r="S131" s="315" t="str">
        <f t="shared" si="31"/>
        <v/>
      </c>
      <c r="T131" s="315" t="str">
        <f t="shared" si="31"/>
        <v/>
      </c>
      <c r="U131" s="315">
        <f t="shared" si="31"/>
        <v>3.0468165547341859</v>
      </c>
      <c r="V131" s="315" t="str">
        <f t="shared" si="31"/>
        <v/>
      </c>
      <c r="W131" s="315" t="str">
        <f t="shared" si="31"/>
        <v/>
      </c>
      <c r="X131" s="315" t="str">
        <f t="shared" si="31"/>
        <v/>
      </c>
      <c r="Y131" s="315" t="str">
        <f t="shared" si="31"/>
        <v/>
      </c>
      <c r="Z131" s="315" t="str">
        <f t="shared" si="31"/>
        <v/>
      </c>
      <c r="AA131" s="315" t="str">
        <f t="shared" si="31"/>
        <v/>
      </c>
      <c r="AB131" s="315" t="str">
        <f t="shared" si="31"/>
        <v/>
      </c>
      <c r="AC131" s="315" t="str">
        <f t="shared" si="31"/>
        <v/>
      </c>
      <c r="AD131" s="315" t="str">
        <f t="shared" si="31"/>
        <v/>
      </c>
      <c r="AE131" s="315" t="str">
        <f t="shared" si="31"/>
        <v/>
      </c>
      <c r="AF131" s="315" t="str">
        <f t="shared" si="31"/>
        <v/>
      </c>
      <c r="AG131" s="315" t="str">
        <f t="shared" si="31"/>
        <v/>
      </c>
      <c r="AH131" s="315" t="str">
        <f t="shared" si="31"/>
        <v/>
      </c>
      <c r="AI131" s="315" t="str">
        <f t="shared" si="31"/>
        <v/>
      </c>
      <c r="AJ131" s="315" t="str">
        <f t="shared" si="31"/>
        <v/>
      </c>
      <c r="AK131" s="315" t="str">
        <f t="shared" si="31"/>
        <v/>
      </c>
      <c r="AL131" s="315" t="str">
        <f t="shared" si="31"/>
        <v/>
      </c>
      <c r="AM131" s="315" t="str">
        <f t="shared" si="31"/>
        <v/>
      </c>
      <c r="AN131" s="315" t="str">
        <f t="shared" si="31"/>
        <v/>
      </c>
      <c r="AO131" s="315" t="str">
        <f t="shared" si="31"/>
        <v/>
      </c>
      <c r="AP131" s="315" t="str">
        <f t="shared" si="31"/>
        <v/>
      </c>
      <c r="AQ131" s="304"/>
      <c r="AR131" s="304"/>
    </row>
    <row r="132" spans="2:44" x14ac:dyDescent="0.25">
      <c r="E132" t="s">
        <v>1071</v>
      </c>
      <c r="G132" s="13" t="s">
        <v>327</v>
      </c>
      <c r="H132" s="304" t="s">
        <v>509</v>
      </c>
      <c r="I132" s="304"/>
      <c r="J132" s="315">
        <f t="shared" ref="J132:AP132" si="32" xml:space="preserve"> IF( SUM(J$34:J$36) &lt;&gt; 0, J$109 / SUM(J$34:J$36) * hundred / thousand, "")</f>
        <v>1.8900765104710067</v>
      </c>
      <c r="K132" s="315">
        <f t="shared" si="32"/>
        <v>1.5984327211080045</v>
      </c>
      <c r="L132" s="315" t="str">
        <f t="shared" si="32"/>
        <v/>
      </c>
      <c r="M132" s="315">
        <f t="shared" si="32"/>
        <v>1.6556554634303093</v>
      </c>
      <c r="N132" s="315" t="str">
        <f t="shared" si="32"/>
        <v/>
      </c>
      <c r="O132" s="315" t="str">
        <f t="shared" si="32"/>
        <v/>
      </c>
      <c r="P132" s="315" t="str">
        <f t="shared" si="32"/>
        <v/>
      </c>
      <c r="Q132" s="315" t="str">
        <f t="shared" si="32"/>
        <v/>
      </c>
      <c r="R132" s="315" t="str">
        <f t="shared" si="32"/>
        <v/>
      </c>
      <c r="S132" s="315" t="str">
        <f t="shared" si="32"/>
        <v/>
      </c>
      <c r="T132" s="315" t="str">
        <f t="shared" si="32"/>
        <v/>
      </c>
      <c r="U132" s="315">
        <f t="shared" si="32"/>
        <v>2.0823009087671367</v>
      </c>
      <c r="V132" s="315">
        <f t="shared" si="32"/>
        <v>2.0956257872017603</v>
      </c>
      <c r="W132" s="315" t="str">
        <f t="shared" si="32"/>
        <v/>
      </c>
      <c r="X132" s="315" t="str">
        <f t="shared" si="32"/>
        <v/>
      </c>
      <c r="Y132" s="315">
        <f t="shared" si="32"/>
        <v>2.0260000000000002</v>
      </c>
      <c r="Z132" s="315" t="str">
        <f t="shared" si="32"/>
        <v/>
      </c>
      <c r="AA132" s="315" t="str">
        <f t="shared" si="32"/>
        <v/>
      </c>
      <c r="AB132" s="315" t="str">
        <f t="shared" si="32"/>
        <v/>
      </c>
      <c r="AC132" s="315" t="str">
        <f t="shared" si="32"/>
        <v/>
      </c>
      <c r="AD132" s="315" t="str">
        <f t="shared" si="32"/>
        <v/>
      </c>
      <c r="AE132" s="315" t="str">
        <f t="shared" si="32"/>
        <v/>
      </c>
      <c r="AF132" s="315" t="str">
        <f t="shared" si="32"/>
        <v/>
      </c>
      <c r="AG132" s="315" t="str">
        <f t="shared" si="32"/>
        <v/>
      </c>
      <c r="AH132" s="315" t="str">
        <f t="shared" si="32"/>
        <v/>
      </c>
      <c r="AI132" s="315" t="str">
        <f t="shared" si="32"/>
        <v/>
      </c>
      <c r="AJ132" s="315" t="str">
        <f t="shared" si="32"/>
        <v/>
      </c>
      <c r="AK132" s="315" t="str">
        <f t="shared" si="32"/>
        <v/>
      </c>
      <c r="AL132" s="315" t="str">
        <f t="shared" si="32"/>
        <v/>
      </c>
      <c r="AM132" s="315" t="str">
        <f t="shared" si="32"/>
        <v/>
      </c>
      <c r="AN132" s="315" t="str">
        <f t="shared" si="32"/>
        <v/>
      </c>
      <c r="AO132" s="315" t="str">
        <f t="shared" si="32"/>
        <v/>
      </c>
      <c r="AP132" s="315" t="str">
        <f t="shared" si="32"/>
        <v/>
      </c>
      <c r="AQ132" s="304"/>
      <c r="AR132" s="304"/>
    </row>
    <row r="133" spans="2:44" x14ac:dyDescent="0.25">
      <c r="C133" s="91"/>
      <c r="D133" s="2"/>
      <c r="E133" s="2"/>
      <c r="G133" s="13"/>
      <c r="J133" s="92"/>
      <c r="K133" s="92"/>
      <c r="L133" s="92"/>
      <c r="M133" s="92"/>
      <c r="N133" s="92"/>
      <c r="O133" s="92"/>
      <c r="P133" s="92"/>
      <c r="Q133" s="92"/>
      <c r="R133" s="92"/>
      <c r="S133" s="92"/>
      <c r="T133" s="92"/>
      <c r="U133" s="92"/>
      <c r="V133" s="92"/>
      <c r="W133" s="92"/>
      <c r="X133" s="92"/>
      <c r="Y133" s="92"/>
      <c r="Z133" s="92"/>
      <c r="AA133" s="92"/>
      <c r="AB133" s="92"/>
      <c r="AC133" s="92"/>
      <c r="AD133" s="92"/>
      <c r="AE133" s="92"/>
      <c r="AF133" s="92"/>
      <c r="AG133" s="92"/>
      <c r="AH133" s="92"/>
      <c r="AI133" s="92"/>
      <c r="AJ133" s="92"/>
      <c r="AK133" s="92"/>
      <c r="AL133" s="92"/>
      <c r="AM133" s="92"/>
      <c r="AN133" s="92"/>
      <c r="AO133" s="92"/>
      <c r="AP133" s="92"/>
    </row>
    <row r="134" spans="2:44" x14ac:dyDescent="0.25">
      <c r="B134" s="30" t="s">
        <v>1072</v>
      </c>
      <c r="C134" s="30"/>
      <c r="D134" s="30"/>
      <c r="E134" s="30"/>
      <c r="F134" s="30"/>
      <c r="G134" s="95"/>
      <c r="H134" s="30"/>
      <c r="I134" s="30"/>
      <c r="J134" s="201"/>
      <c r="K134" s="201"/>
      <c r="L134" s="201"/>
      <c r="M134" s="201"/>
      <c r="N134" s="201"/>
      <c r="O134" s="201"/>
      <c r="P134" s="201"/>
      <c r="Q134" s="201"/>
      <c r="R134" s="201"/>
      <c r="S134" s="201"/>
      <c r="T134" s="201"/>
      <c r="U134" s="201"/>
      <c r="V134" s="201"/>
      <c r="W134" s="201"/>
      <c r="X134" s="201"/>
      <c r="Y134" s="201"/>
      <c r="Z134" s="201"/>
      <c r="AA134" s="201"/>
      <c r="AB134" s="201"/>
      <c r="AC134" s="201"/>
      <c r="AD134" s="201"/>
      <c r="AE134" s="201"/>
      <c r="AF134" s="201"/>
      <c r="AG134" s="201"/>
      <c r="AH134" s="201"/>
      <c r="AI134" s="201"/>
      <c r="AJ134" s="201"/>
      <c r="AK134" s="201"/>
      <c r="AL134" s="201"/>
      <c r="AM134" s="201"/>
      <c r="AN134" s="201"/>
      <c r="AO134" s="201"/>
      <c r="AP134" s="201"/>
      <c r="AQ134" s="30"/>
      <c r="AR134" s="30"/>
    </row>
    <row r="135" spans="2:44" x14ac:dyDescent="0.25">
      <c r="F135" s="3"/>
      <c r="G135" s="242"/>
      <c r="H135" s="3"/>
      <c r="I135" s="3"/>
      <c r="J135" s="92"/>
      <c r="K135" s="92"/>
      <c r="L135" s="92"/>
      <c r="M135" s="92"/>
      <c r="N135" s="92"/>
      <c r="O135" s="92"/>
      <c r="P135" s="92"/>
      <c r="Q135" s="92"/>
      <c r="R135" s="92"/>
      <c r="S135" s="92"/>
      <c r="T135" s="92"/>
      <c r="U135" s="92"/>
      <c r="V135" s="92"/>
      <c r="W135" s="92"/>
      <c r="X135" s="92"/>
      <c r="Y135" s="92"/>
      <c r="Z135" s="92"/>
      <c r="AA135" s="92"/>
      <c r="AB135" s="92"/>
      <c r="AC135" s="92"/>
      <c r="AD135" s="92"/>
      <c r="AE135" s="92"/>
      <c r="AF135" s="92"/>
      <c r="AG135" s="92"/>
      <c r="AH135" s="92"/>
      <c r="AI135" s="92"/>
      <c r="AJ135" s="92"/>
      <c r="AK135" s="92"/>
      <c r="AL135" s="92"/>
      <c r="AM135" s="92"/>
      <c r="AN135" s="92"/>
      <c r="AO135" s="92"/>
      <c r="AP135" s="92"/>
    </row>
    <row r="136" spans="2:44" x14ac:dyDescent="0.25">
      <c r="C136" s="31" t="str">
        <f ca="1">INDEX('Version control'!$H$34:$H$56,MATCH($A$1,'Version control'!$F$34:$F$56,0),1)&amp;"-H: Previous year all the way tariff forecast"</f>
        <v>Section 117-H: Previous year all the way tariff forecast</v>
      </c>
      <c r="D136" s="31"/>
      <c r="E136" s="31"/>
      <c r="F136" s="31"/>
      <c r="G136" s="31"/>
      <c r="H136" s="31"/>
      <c r="I136" s="31"/>
      <c r="J136" s="93"/>
      <c r="K136" s="93"/>
      <c r="L136" s="93"/>
      <c r="M136" s="93"/>
      <c r="N136" s="93"/>
      <c r="O136" s="93"/>
      <c r="P136" s="93"/>
      <c r="Q136" s="93"/>
      <c r="R136" s="93"/>
      <c r="S136" s="93"/>
      <c r="T136" s="93"/>
      <c r="U136" s="93"/>
      <c r="V136" s="93"/>
      <c r="W136" s="93"/>
      <c r="X136" s="93"/>
      <c r="Y136" s="93"/>
      <c r="Z136" s="93"/>
      <c r="AA136" s="93"/>
      <c r="AB136" s="93"/>
      <c r="AC136" s="93"/>
      <c r="AD136" s="93"/>
      <c r="AE136" s="93"/>
      <c r="AF136" s="93"/>
      <c r="AG136" s="93"/>
      <c r="AH136" s="93"/>
      <c r="AI136" s="93"/>
      <c r="AJ136" s="93"/>
      <c r="AK136" s="93"/>
      <c r="AL136" s="93"/>
      <c r="AM136" s="93"/>
      <c r="AN136" s="93"/>
      <c r="AO136" s="93"/>
      <c r="AP136" s="93"/>
      <c r="AQ136" s="31"/>
      <c r="AR136" s="31"/>
    </row>
    <row r="137" spans="2:44" x14ac:dyDescent="0.25">
      <c r="D137" s="32"/>
      <c r="J137" s="92"/>
      <c r="K137" s="92"/>
      <c r="L137" s="92"/>
      <c r="M137" s="92"/>
      <c r="N137" s="92"/>
      <c r="O137" s="92"/>
      <c r="P137" s="92"/>
      <c r="Q137" s="92"/>
      <c r="R137" s="92"/>
      <c r="S137" s="92"/>
      <c r="T137" s="92"/>
      <c r="U137" s="92"/>
      <c r="V137" s="92"/>
      <c r="W137" s="92"/>
      <c r="X137" s="92"/>
      <c r="Y137" s="92"/>
      <c r="Z137" s="92"/>
      <c r="AA137" s="92"/>
      <c r="AB137" s="92"/>
      <c r="AC137" s="92"/>
      <c r="AD137" s="92"/>
      <c r="AE137" s="92"/>
      <c r="AF137" s="92"/>
      <c r="AG137" s="92"/>
      <c r="AH137" s="92"/>
      <c r="AI137" s="92"/>
      <c r="AJ137" s="92"/>
      <c r="AK137" s="92"/>
      <c r="AL137" s="92"/>
      <c r="AM137" s="92"/>
      <c r="AN137" s="92"/>
      <c r="AO137" s="92"/>
      <c r="AP137" s="92"/>
    </row>
    <row r="138" spans="2:44" x14ac:dyDescent="0.25">
      <c r="E138" s="32" t="s">
        <v>1073</v>
      </c>
      <c r="J138" s="92"/>
      <c r="K138" s="92"/>
      <c r="L138" s="92"/>
      <c r="M138" s="92"/>
      <c r="N138" s="92"/>
      <c r="O138" s="92"/>
      <c r="P138" s="92"/>
      <c r="Q138" s="92"/>
      <c r="R138" s="92"/>
      <c r="S138" s="92"/>
      <c r="T138" s="92"/>
      <c r="U138" s="92"/>
      <c r="V138" s="92"/>
      <c r="W138" s="92"/>
      <c r="X138" s="92"/>
      <c r="Y138" s="92"/>
      <c r="Z138" s="92"/>
      <c r="AA138" s="92"/>
      <c r="AB138" s="92"/>
      <c r="AC138" s="92"/>
      <c r="AD138" s="92"/>
      <c r="AE138" s="92"/>
      <c r="AF138" s="92"/>
      <c r="AG138" s="92"/>
      <c r="AH138" s="92"/>
      <c r="AI138" s="92"/>
      <c r="AJ138" s="92"/>
      <c r="AK138" s="92"/>
      <c r="AL138" s="92"/>
      <c r="AM138" s="92"/>
      <c r="AN138" s="92"/>
      <c r="AO138" s="92"/>
      <c r="AP138" s="92"/>
    </row>
    <row r="139" spans="2:44" x14ac:dyDescent="0.25">
      <c r="F139" s="23" t="s">
        <v>192</v>
      </c>
      <c r="G139" s="23" t="s">
        <v>327</v>
      </c>
      <c r="H139" s="302"/>
      <c r="I139" s="302"/>
      <c r="J139" s="318">
        <f>'Inputs by customer type'!J82</f>
        <v>3.3690000000000002</v>
      </c>
      <c r="K139" s="318">
        <f>'Inputs by customer type'!K82</f>
        <v>3.7770000000000001</v>
      </c>
      <c r="L139" s="318">
        <f>'Inputs by customer type'!L82</f>
        <v>2.1269999999999998</v>
      </c>
      <c r="M139" s="318">
        <f>'Inputs by customer type'!M82</f>
        <v>3.383</v>
      </c>
      <c r="N139" s="318">
        <f>'Inputs by customer type'!N82</f>
        <v>3.6230000000000002</v>
      </c>
      <c r="O139" s="318">
        <f>'Inputs by customer type'!O82</f>
        <v>2.0329999999999999</v>
      </c>
      <c r="P139" s="318">
        <f>'Inputs by customer type'!P82</f>
        <v>3.367</v>
      </c>
      <c r="Q139" s="318">
        <f>'Inputs by customer type'!Q82</f>
        <v>2.758</v>
      </c>
      <c r="R139" s="318">
        <f>'Inputs by customer type'!R82</f>
        <v>1.978</v>
      </c>
      <c r="S139" s="318">
        <f>'Inputs by customer type'!S82</f>
        <v>9.2119999999999997</v>
      </c>
      <c r="T139" s="318">
        <f>'Inputs by customer type'!T82</f>
        <v>9.6280000000000001</v>
      </c>
      <c r="U139" s="318">
        <f>'Inputs by customer type'!U82</f>
        <v>7.02</v>
      </c>
      <c r="V139" s="318">
        <f>'Inputs by customer type'!V82</f>
        <v>4.5380000000000003</v>
      </c>
      <c r="W139" s="318">
        <f>'Inputs by customer type'!W82</f>
        <v>3.1930000000000001</v>
      </c>
      <c r="X139" s="318">
        <f>'Inputs by customer type'!X82</f>
        <v>4.5149999999999997</v>
      </c>
      <c r="Y139" s="318">
        <f>'Inputs by customer type'!Y82</f>
        <v>4.5199999999999996</v>
      </c>
      <c r="Z139" s="318">
        <f>'Inputs by customer type'!Z82</f>
        <v>5.3630000000000004</v>
      </c>
      <c r="AA139" s="318">
        <f>'Inputs by customer type'!AA82</f>
        <v>4.5670000000000002</v>
      </c>
      <c r="AB139" s="318">
        <f>'Inputs by customer type'!AB82</f>
        <v>18.666</v>
      </c>
      <c r="AC139" s="318">
        <f>'Inputs by customer type'!AC82</f>
        <v>-1.2110000000000001</v>
      </c>
      <c r="AD139" s="318">
        <f>'Inputs by customer type'!AD82</f>
        <v>-1.0780000000000001</v>
      </c>
      <c r="AE139" s="318">
        <f>'Inputs by customer type'!AE82</f>
        <v>-1.2110000000000001</v>
      </c>
      <c r="AF139" s="318">
        <f>'Inputs by customer type'!AF82</f>
        <v>-1.2110000000000001</v>
      </c>
      <c r="AG139" s="318">
        <f>'Inputs by customer type'!AG82</f>
        <v>-5.6920000000000002</v>
      </c>
      <c r="AH139" s="318">
        <f>'Inputs by customer type'!AH82</f>
        <v>-5.6920000000000002</v>
      </c>
      <c r="AI139" s="318">
        <f>'Inputs by customer type'!AI82</f>
        <v>-1.0780000000000001</v>
      </c>
      <c r="AJ139" s="318">
        <f>'Inputs by customer type'!AJ82</f>
        <v>-1.0780000000000001</v>
      </c>
      <c r="AK139" s="318">
        <f>'Inputs by customer type'!AK82</f>
        <v>-5.0759999999999996</v>
      </c>
      <c r="AL139" s="318">
        <f>'Inputs by customer type'!AL82</f>
        <v>-5.0759999999999996</v>
      </c>
      <c r="AM139" s="318">
        <f>'Inputs by customer type'!AM82</f>
        <v>-0.54200000000000004</v>
      </c>
      <c r="AN139" s="318">
        <f>'Inputs by customer type'!AN82</f>
        <v>-0.54200000000000004</v>
      </c>
      <c r="AO139" s="318">
        <f>'Inputs by customer type'!AO82</f>
        <v>-2.625</v>
      </c>
      <c r="AP139" s="318">
        <f>'Inputs by customer type'!AP82</f>
        <v>-2.625</v>
      </c>
      <c r="AQ139" s="304"/>
      <c r="AR139" s="304"/>
    </row>
    <row r="140" spans="2:44" x14ac:dyDescent="0.25">
      <c r="E140" s="28"/>
      <c r="F140" t="s">
        <v>193</v>
      </c>
      <c r="G140" t="s">
        <v>327</v>
      </c>
      <c r="H140" s="304"/>
      <c r="I140" s="304"/>
      <c r="J140" s="319">
        <f>'Inputs by customer type'!J83</f>
        <v>0</v>
      </c>
      <c r="K140" s="319">
        <f>'Inputs by customer type'!K83</f>
        <v>2.1120000000000001</v>
      </c>
      <c r="L140" s="319">
        <f>'Inputs by customer type'!L83</f>
        <v>0</v>
      </c>
      <c r="M140" s="319">
        <f>'Inputs by customer type'!M83</f>
        <v>0</v>
      </c>
      <c r="N140" s="319">
        <f>'Inputs by customer type'!N83</f>
        <v>1.9370000000000001</v>
      </c>
      <c r="O140" s="319">
        <f>'Inputs by customer type'!O83</f>
        <v>0</v>
      </c>
      <c r="P140" s="319">
        <f>'Inputs by customer type'!P83</f>
        <v>1.9390000000000001</v>
      </c>
      <c r="Q140" s="319">
        <f>'Inputs by customer type'!Q83</f>
        <v>1.7470000000000001</v>
      </c>
      <c r="R140" s="319">
        <f>'Inputs by customer type'!R83</f>
        <v>1.4890000000000001</v>
      </c>
      <c r="S140" s="319">
        <f>'Inputs by customer type'!S83</f>
        <v>2.948</v>
      </c>
      <c r="T140" s="319">
        <f>'Inputs by customer type'!T83</f>
        <v>3.036</v>
      </c>
      <c r="U140" s="319">
        <f>'Inputs by customer type'!U83</f>
        <v>2.4780000000000002</v>
      </c>
      <c r="V140" s="319">
        <f>'Inputs by customer type'!V83</f>
        <v>1.9350000000000001</v>
      </c>
      <c r="W140" s="319">
        <f>'Inputs by customer type'!W83</f>
        <v>1.6459999999999999</v>
      </c>
      <c r="X140" s="319">
        <f>'Inputs by customer type'!X83</f>
        <v>0</v>
      </c>
      <c r="Y140" s="319">
        <f>'Inputs by customer type'!Y83</f>
        <v>0</v>
      </c>
      <c r="Z140" s="319">
        <f>'Inputs by customer type'!Z83</f>
        <v>0</v>
      </c>
      <c r="AA140" s="319">
        <f>'Inputs by customer type'!AA83</f>
        <v>0</v>
      </c>
      <c r="AB140" s="319">
        <f>'Inputs by customer type'!AB83</f>
        <v>4.5979999999999999</v>
      </c>
      <c r="AC140" s="319">
        <f>'Inputs by customer type'!AC83</f>
        <v>0</v>
      </c>
      <c r="AD140" s="319">
        <f>'Inputs by customer type'!AD83</f>
        <v>0</v>
      </c>
      <c r="AE140" s="319">
        <f>'Inputs by customer type'!AE83</f>
        <v>0</v>
      </c>
      <c r="AF140" s="319">
        <f>'Inputs by customer type'!AF83</f>
        <v>0</v>
      </c>
      <c r="AG140" s="319">
        <f>'Inputs by customer type'!AG83</f>
        <v>-1.1930000000000001</v>
      </c>
      <c r="AH140" s="319">
        <f>'Inputs by customer type'!AH83</f>
        <v>-1.1930000000000001</v>
      </c>
      <c r="AI140" s="319">
        <f>'Inputs by customer type'!AI83</f>
        <v>0</v>
      </c>
      <c r="AJ140" s="319">
        <f>'Inputs by customer type'!AJ83</f>
        <v>0</v>
      </c>
      <c r="AK140" s="319">
        <f>'Inputs by customer type'!AK83</f>
        <v>-1.06</v>
      </c>
      <c r="AL140" s="319">
        <f>'Inputs by customer type'!AL83</f>
        <v>-1.06</v>
      </c>
      <c r="AM140" s="319">
        <f>'Inputs by customer type'!AM83</f>
        <v>0</v>
      </c>
      <c r="AN140" s="319">
        <f>'Inputs by customer type'!AN83</f>
        <v>0</v>
      </c>
      <c r="AO140" s="319">
        <f>'Inputs by customer type'!AO83</f>
        <v>-0.52300000000000002</v>
      </c>
      <c r="AP140" s="319">
        <f>'Inputs by customer type'!AP83</f>
        <v>-0.52300000000000002</v>
      </c>
      <c r="AQ140" s="304"/>
      <c r="AR140" s="304"/>
    </row>
    <row r="141" spans="2:44" x14ac:dyDescent="0.25">
      <c r="E141" s="28"/>
      <c r="F141" t="s">
        <v>194</v>
      </c>
      <c r="G141" t="s">
        <v>327</v>
      </c>
      <c r="H141" s="304"/>
      <c r="I141" s="304"/>
      <c r="J141" s="319">
        <f>'Inputs by customer type'!J84</f>
        <v>0</v>
      </c>
      <c r="K141" s="319">
        <f>'Inputs by customer type'!K84</f>
        <v>0</v>
      </c>
      <c r="L141" s="319">
        <f>'Inputs by customer type'!L84</f>
        <v>0</v>
      </c>
      <c r="M141" s="319">
        <f>'Inputs by customer type'!M84</f>
        <v>0</v>
      </c>
      <c r="N141" s="319">
        <f>'Inputs by customer type'!N84</f>
        <v>0</v>
      </c>
      <c r="O141" s="319">
        <f>'Inputs by customer type'!O84</f>
        <v>0</v>
      </c>
      <c r="P141" s="319">
        <f>'Inputs by customer type'!P84</f>
        <v>0</v>
      </c>
      <c r="Q141" s="319">
        <f>'Inputs by customer type'!Q84</f>
        <v>0</v>
      </c>
      <c r="R141" s="319">
        <f>'Inputs by customer type'!R84</f>
        <v>0</v>
      </c>
      <c r="S141" s="319">
        <f>'Inputs by customer type'!S84</f>
        <v>1.851</v>
      </c>
      <c r="T141" s="319">
        <f>'Inputs by customer type'!T84</f>
        <v>1.881</v>
      </c>
      <c r="U141" s="319">
        <f>'Inputs by customer type'!U84</f>
        <v>1.6910000000000001</v>
      </c>
      <c r="V141" s="319">
        <f>'Inputs by customer type'!V84</f>
        <v>1.5049999999999999</v>
      </c>
      <c r="W141" s="319">
        <f>'Inputs by customer type'!W84</f>
        <v>1.407</v>
      </c>
      <c r="X141" s="319">
        <f>'Inputs by customer type'!X84</f>
        <v>0</v>
      </c>
      <c r="Y141" s="319">
        <f>'Inputs by customer type'!Y84</f>
        <v>0</v>
      </c>
      <c r="Z141" s="319">
        <f>'Inputs by customer type'!Z84</f>
        <v>0</v>
      </c>
      <c r="AA141" s="319">
        <f>'Inputs by customer type'!AA84</f>
        <v>0</v>
      </c>
      <c r="AB141" s="319">
        <f>'Inputs by customer type'!AB84</f>
        <v>3.5830000000000002</v>
      </c>
      <c r="AC141" s="319">
        <f>'Inputs by customer type'!AC84</f>
        <v>0</v>
      </c>
      <c r="AD141" s="319">
        <f>'Inputs by customer type'!AD84</f>
        <v>0</v>
      </c>
      <c r="AE141" s="319">
        <f>'Inputs by customer type'!AE84</f>
        <v>0</v>
      </c>
      <c r="AF141" s="319">
        <f>'Inputs by customer type'!AF84</f>
        <v>0</v>
      </c>
      <c r="AG141" s="319">
        <f>'Inputs by customer type'!AG84</f>
        <v>-0.40500000000000003</v>
      </c>
      <c r="AH141" s="319">
        <f>'Inputs by customer type'!AH84</f>
        <v>-0.40500000000000003</v>
      </c>
      <c r="AI141" s="319">
        <f>'Inputs by customer type'!AI84</f>
        <v>0</v>
      </c>
      <c r="AJ141" s="319">
        <f>'Inputs by customer type'!AJ84</f>
        <v>0</v>
      </c>
      <c r="AK141" s="319">
        <f>'Inputs by customer type'!AK84</f>
        <v>-0.36</v>
      </c>
      <c r="AL141" s="319">
        <f>'Inputs by customer type'!AL84</f>
        <v>-0.36</v>
      </c>
      <c r="AM141" s="319">
        <f>'Inputs by customer type'!AM84</f>
        <v>0</v>
      </c>
      <c r="AN141" s="319">
        <f>'Inputs by customer type'!AN84</f>
        <v>0</v>
      </c>
      <c r="AO141" s="319">
        <f>'Inputs by customer type'!AO84</f>
        <v>-0.17599999999999999</v>
      </c>
      <c r="AP141" s="319">
        <f>'Inputs by customer type'!AP84</f>
        <v>-0.17599999999999999</v>
      </c>
      <c r="AQ141" s="304"/>
      <c r="AR141" s="304"/>
    </row>
    <row r="142" spans="2:44" x14ac:dyDescent="0.25">
      <c r="E142" s="28"/>
      <c r="F142" t="s">
        <v>195</v>
      </c>
      <c r="G142" t="s">
        <v>328</v>
      </c>
      <c r="J142" s="123">
        <f>'Inputs by customer type'!J85</f>
        <v>6.6</v>
      </c>
      <c r="K142" s="123">
        <f>'Inputs by customer type'!K85</f>
        <v>6.6</v>
      </c>
      <c r="L142" s="123">
        <f>'Inputs by customer type'!L85</f>
        <v>0</v>
      </c>
      <c r="M142" s="123">
        <f>'Inputs by customer type'!M85</f>
        <v>9.02</v>
      </c>
      <c r="N142" s="123">
        <f>'Inputs by customer type'!N85</f>
        <v>9.02</v>
      </c>
      <c r="O142" s="123">
        <f>'Inputs by customer type'!O85</f>
        <v>0</v>
      </c>
      <c r="P142" s="123">
        <f>'Inputs by customer type'!P85</f>
        <v>83.99</v>
      </c>
      <c r="Q142" s="123">
        <f>'Inputs by customer type'!Q85</f>
        <v>44.34</v>
      </c>
      <c r="R142" s="123">
        <f>'Inputs by customer type'!R85</f>
        <v>1964.83</v>
      </c>
      <c r="S142" s="123">
        <f>'Inputs by customer type'!S85</f>
        <v>6.6</v>
      </c>
      <c r="T142" s="123">
        <f>'Inputs by customer type'!T85</f>
        <v>9.02</v>
      </c>
      <c r="U142" s="123">
        <f>'Inputs by customer type'!U85</f>
        <v>26.58</v>
      </c>
      <c r="V142" s="123">
        <f>'Inputs by customer type'!V85</f>
        <v>44.34</v>
      </c>
      <c r="W142" s="123">
        <f>'Inputs by customer type'!W85</f>
        <v>278.92</v>
      </c>
      <c r="X142" s="123">
        <f>'Inputs by customer type'!X85</f>
        <v>0</v>
      </c>
      <c r="Y142" s="123">
        <f>'Inputs by customer type'!Y85</f>
        <v>0</v>
      </c>
      <c r="Z142" s="123">
        <f>'Inputs by customer type'!Z85</f>
        <v>0</v>
      </c>
      <c r="AA142" s="123">
        <f>'Inputs by customer type'!AA85</f>
        <v>0</v>
      </c>
      <c r="AB142" s="123">
        <f>'Inputs by customer type'!AB85</f>
        <v>0</v>
      </c>
      <c r="AC142" s="123">
        <f>'Inputs by customer type'!AC85</f>
        <v>0</v>
      </c>
      <c r="AD142" s="123">
        <f>'Inputs by customer type'!AD85</f>
        <v>0</v>
      </c>
      <c r="AE142" s="123">
        <f>'Inputs by customer type'!AE85</f>
        <v>0</v>
      </c>
      <c r="AF142" s="123">
        <f>'Inputs by customer type'!AF85</f>
        <v>0</v>
      </c>
      <c r="AG142" s="123">
        <f>'Inputs by customer type'!AG85</f>
        <v>0</v>
      </c>
      <c r="AH142" s="123">
        <f>'Inputs by customer type'!AH85</f>
        <v>0</v>
      </c>
      <c r="AI142" s="123">
        <f>'Inputs by customer type'!AI85</f>
        <v>0</v>
      </c>
      <c r="AJ142" s="123">
        <f>'Inputs by customer type'!AJ85</f>
        <v>0</v>
      </c>
      <c r="AK142" s="123">
        <f>'Inputs by customer type'!AK85</f>
        <v>0</v>
      </c>
      <c r="AL142" s="123">
        <f>'Inputs by customer type'!AL85</f>
        <v>0</v>
      </c>
      <c r="AM142" s="123">
        <f>'Inputs by customer type'!AM85</f>
        <v>414.38</v>
      </c>
      <c r="AN142" s="123">
        <f>'Inputs by customer type'!AN85</f>
        <v>414.38</v>
      </c>
      <c r="AO142" s="123">
        <f>'Inputs by customer type'!AO85</f>
        <v>414.38</v>
      </c>
      <c r="AP142" s="123">
        <f>'Inputs by customer type'!AP85</f>
        <v>414.38</v>
      </c>
    </row>
    <row r="143" spans="2:44" x14ac:dyDescent="0.25">
      <c r="E143" s="28"/>
      <c r="F143" t="s">
        <v>196</v>
      </c>
      <c r="G143" t="s">
        <v>329</v>
      </c>
      <c r="J143" s="123">
        <f>'Inputs by customer type'!J86</f>
        <v>0</v>
      </c>
      <c r="K143" s="123">
        <f>'Inputs by customer type'!K86</f>
        <v>0</v>
      </c>
      <c r="L143" s="123">
        <f>'Inputs by customer type'!L86</f>
        <v>0</v>
      </c>
      <c r="M143" s="123">
        <f>'Inputs by customer type'!M86</f>
        <v>0</v>
      </c>
      <c r="N143" s="123">
        <f>'Inputs by customer type'!N86</f>
        <v>0</v>
      </c>
      <c r="O143" s="123">
        <f>'Inputs by customer type'!O86</f>
        <v>0</v>
      </c>
      <c r="P143" s="123">
        <f>'Inputs by customer type'!P86</f>
        <v>0</v>
      </c>
      <c r="Q143" s="123">
        <f>'Inputs by customer type'!Q86</f>
        <v>0</v>
      </c>
      <c r="R143" s="123">
        <f>'Inputs by customer type'!R86</f>
        <v>0</v>
      </c>
      <c r="S143" s="123">
        <f>'Inputs by customer type'!S86</f>
        <v>0</v>
      </c>
      <c r="T143" s="123">
        <f>'Inputs by customer type'!T86</f>
        <v>0</v>
      </c>
      <c r="U143" s="123">
        <f>'Inputs by customer type'!U86</f>
        <v>4.8899999999999997</v>
      </c>
      <c r="V143" s="123">
        <f>'Inputs by customer type'!V86</f>
        <v>8.24</v>
      </c>
      <c r="W143" s="123">
        <f>'Inputs by customer type'!W86</f>
        <v>10.97</v>
      </c>
      <c r="X143" s="123">
        <f>'Inputs by customer type'!X86</f>
        <v>0</v>
      </c>
      <c r="Y143" s="123">
        <f>'Inputs by customer type'!Y86</f>
        <v>0</v>
      </c>
      <c r="Z143" s="123">
        <f>'Inputs by customer type'!Z86</f>
        <v>0</v>
      </c>
      <c r="AA143" s="123">
        <f>'Inputs by customer type'!AA86</f>
        <v>0</v>
      </c>
      <c r="AB143" s="123">
        <f>'Inputs by customer type'!AB86</f>
        <v>0</v>
      </c>
      <c r="AC143" s="123">
        <f>'Inputs by customer type'!AC86</f>
        <v>0</v>
      </c>
      <c r="AD143" s="123">
        <f>'Inputs by customer type'!AD86</f>
        <v>0</v>
      </c>
      <c r="AE143" s="123">
        <f>'Inputs by customer type'!AE86</f>
        <v>0</v>
      </c>
      <c r="AF143" s="123">
        <f>'Inputs by customer type'!AF86</f>
        <v>0</v>
      </c>
      <c r="AG143" s="123">
        <f>'Inputs by customer type'!AG86</f>
        <v>0</v>
      </c>
      <c r="AH143" s="123">
        <f>'Inputs by customer type'!AH86</f>
        <v>0</v>
      </c>
      <c r="AI143" s="123">
        <f>'Inputs by customer type'!AI86</f>
        <v>0</v>
      </c>
      <c r="AJ143" s="123">
        <f>'Inputs by customer type'!AJ86</f>
        <v>0</v>
      </c>
      <c r="AK143" s="123">
        <f>'Inputs by customer type'!AK86</f>
        <v>0</v>
      </c>
      <c r="AL143" s="123">
        <f>'Inputs by customer type'!AL86</f>
        <v>0</v>
      </c>
      <c r="AM143" s="123">
        <f>'Inputs by customer type'!AM86</f>
        <v>0</v>
      </c>
      <c r="AN143" s="123">
        <f>'Inputs by customer type'!AN86</f>
        <v>0</v>
      </c>
      <c r="AO143" s="123">
        <f>'Inputs by customer type'!AO86</f>
        <v>0</v>
      </c>
      <c r="AP143" s="123">
        <f>'Inputs by customer type'!AP86</f>
        <v>0</v>
      </c>
    </row>
    <row r="144" spans="2:44" x14ac:dyDescent="0.25">
      <c r="E144" s="28"/>
      <c r="F144" t="s">
        <v>197</v>
      </c>
      <c r="G144" t="s">
        <v>329</v>
      </c>
      <c r="J144" s="123">
        <f>'Inputs by customer type'!J87</f>
        <v>0</v>
      </c>
      <c r="K144" s="123">
        <f>'Inputs by customer type'!K87</f>
        <v>0</v>
      </c>
      <c r="L144" s="123">
        <f>'Inputs by customer type'!L87</f>
        <v>0</v>
      </c>
      <c r="M144" s="123">
        <f>'Inputs by customer type'!M87</f>
        <v>0</v>
      </c>
      <c r="N144" s="123">
        <f>'Inputs by customer type'!N87</f>
        <v>0</v>
      </c>
      <c r="O144" s="123">
        <f>'Inputs by customer type'!O87</f>
        <v>0</v>
      </c>
      <c r="P144" s="123">
        <f>'Inputs by customer type'!P87</f>
        <v>0</v>
      </c>
      <c r="Q144" s="123">
        <f>'Inputs by customer type'!Q87</f>
        <v>0</v>
      </c>
      <c r="R144" s="123">
        <f>'Inputs by customer type'!R87</f>
        <v>0</v>
      </c>
      <c r="S144" s="123">
        <f>'Inputs by customer type'!S87</f>
        <v>0</v>
      </c>
      <c r="T144" s="123">
        <f>'Inputs by customer type'!T87</f>
        <v>0</v>
      </c>
      <c r="U144" s="123">
        <f>'Inputs by customer type'!U87</f>
        <v>8.99</v>
      </c>
      <c r="V144" s="123">
        <f>'Inputs by customer type'!V87</f>
        <v>11.45</v>
      </c>
      <c r="W144" s="123">
        <f>'Inputs by customer type'!W87</f>
        <v>12.97</v>
      </c>
      <c r="X144" s="123">
        <f>'Inputs by customer type'!X87</f>
        <v>0</v>
      </c>
      <c r="Y144" s="123">
        <f>'Inputs by customer type'!Y87</f>
        <v>0</v>
      </c>
      <c r="Z144" s="123">
        <f>'Inputs by customer type'!Z87</f>
        <v>0</v>
      </c>
      <c r="AA144" s="123">
        <f>'Inputs by customer type'!AA87</f>
        <v>0</v>
      </c>
      <c r="AB144" s="123">
        <f>'Inputs by customer type'!AB87</f>
        <v>0</v>
      </c>
      <c r="AC144" s="123">
        <f>'Inputs by customer type'!AC87</f>
        <v>0</v>
      </c>
      <c r="AD144" s="123">
        <f>'Inputs by customer type'!AD87</f>
        <v>0</v>
      </c>
      <c r="AE144" s="123">
        <f>'Inputs by customer type'!AE87</f>
        <v>0</v>
      </c>
      <c r="AF144" s="123">
        <f>'Inputs by customer type'!AF87</f>
        <v>0</v>
      </c>
      <c r="AG144" s="123">
        <f>'Inputs by customer type'!AG87</f>
        <v>0</v>
      </c>
      <c r="AH144" s="123">
        <f>'Inputs by customer type'!AH87</f>
        <v>0</v>
      </c>
      <c r="AI144" s="123">
        <f>'Inputs by customer type'!AI87</f>
        <v>0</v>
      </c>
      <c r="AJ144" s="123">
        <f>'Inputs by customer type'!AJ87</f>
        <v>0</v>
      </c>
      <c r="AK144" s="123">
        <f>'Inputs by customer type'!AK87</f>
        <v>0</v>
      </c>
      <c r="AL144" s="123">
        <f>'Inputs by customer type'!AL87</f>
        <v>0</v>
      </c>
      <c r="AM144" s="123">
        <f>'Inputs by customer type'!AM87</f>
        <v>0</v>
      </c>
      <c r="AN144" s="123">
        <f>'Inputs by customer type'!AN87</f>
        <v>0</v>
      </c>
      <c r="AO144" s="123">
        <f>'Inputs by customer type'!AO87</f>
        <v>0</v>
      </c>
      <c r="AP144" s="123">
        <f>'Inputs by customer type'!AP87</f>
        <v>0</v>
      </c>
    </row>
    <row r="145" spans="2:44" x14ac:dyDescent="0.25">
      <c r="E145" s="28"/>
      <c r="F145" s="37" t="s">
        <v>198</v>
      </c>
      <c r="G145" s="37" t="s">
        <v>330</v>
      </c>
      <c r="H145" s="308"/>
      <c r="I145" s="308"/>
      <c r="J145" s="323">
        <f>'Inputs by customer type'!J88</f>
        <v>0</v>
      </c>
      <c r="K145" s="323">
        <f>'Inputs by customer type'!K88</f>
        <v>0</v>
      </c>
      <c r="L145" s="323">
        <f>'Inputs by customer type'!L88</f>
        <v>0</v>
      </c>
      <c r="M145" s="323">
        <f>'Inputs by customer type'!M88</f>
        <v>0</v>
      </c>
      <c r="N145" s="323">
        <f>'Inputs by customer type'!N88</f>
        <v>0</v>
      </c>
      <c r="O145" s="323">
        <f>'Inputs by customer type'!O88</f>
        <v>0</v>
      </c>
      <c r="P145" s="323">
        <f>'Inputs by customer type'!P88</f>
        <v>0</v>
      </c>
      <c r="Q145" s="323">
        <f>'Inputs by customer type'!Q88</f>
        <v>0</v>
      </c>
      <c r="R145" s="323">
        <f>'Inputs by customer type'!R88</f>
        <v>0</v>
      </c>
      <c r="S145" s="323">
        <f>'Inputs by customer type'!S88</f>
        <v>0</v>
      </c>
      <c r="T145" s="323">
        <f>'Inputs by customer type'!T88</f>
        <v>0</v>
      </c>
      <c r="U145" s="323">
        <f>'Inputs by customer type'!U88</f>
        <v>0.26300000000000001</v>
      </c>
      <c r="V145" s="323">
        <f>'Inputs by customer type'!V88</f>
        <v>0.13500000000000001</v>
      </c>
      <c r="W145" s="323">
        <f>'Inputs by customer type'!W88</f>
        <v>7.8E-2</v>
      </c>
      <c r="X145" s="323">
        <f>'Inputs by customer type'!X88</f>
        <v>0</v>
      </c>
      <c r="Y145" s="323">
        <f>'Inputs by customer type'!Y88</f>
        <v>0</v>
      </c>
      <c r="Z145" s="323">
        <f>'Inputs by customer type'!Z88</f>
        <v>0</v>
      </c>
      <c r="AA145" s="323">
        <f>'Inputs by customer type'!AA88</f>
        <v>0</v>
      </c>
      <c r="AB145" s="323">
        <f>'Inputs by customer type'!AB88</f>
        <v>0</v>
      </c>
      <c r="AC145" s="323">
        <f>'Inputs by customer type'!AC88</f>
        <v>0</v>
      </c>
      <c r="AD145" s="323">
        <f>'Inputs by customer type'!AD88</f>
        <v>0</v>
      </c>
      <c r="AE145" s="323">
        <f>'Inputs by customer type'!AE88</f>
        <v>0.26500000000000001</v>
      </c>
      <c r="AF145" s="323">
        <f>'Inputs by customer type'!AF88</f>
        <v>0</v>
      </c>
      <c r="AG145" s="323">
        <f>'Inputs by customer type'!AG88</f>
        <v>0.26500000000000001</v>
      </c>
      <c r="AH145" s="323">
        <f>'Inputs by customer type'!AH88</f>
        <v>0</v>
      </c>
      <c r="AI145" s="323">
        <f>'Inputs by customer type'!AI88</f>
        <v>0.222</v>
      </c>
      <c r="AJ145" s="323">
        <f>'Inputs by customer type'!AJ88</f>
        <v>0</v>
      </c>
      <c r="AK145" s="323">
        <f>'Inputs by customer type'!AK88</f>
        <v>0.222</v>
      </c>
      <c r="AL145" s="323">
        <f>'Inputs by customer type'!AL88</f>
        <v>0</v>
      </c>
      <c r="AM145" s="323">
        <f>'Inputs by customer type'!AM88</f>
        <v>0.20300000000000001</v>
      </c>
      <c r="AN145" s="323">
        <f>'Inputs by customer type'!AN88</f>
        <v>0</v>
      </c>
      <c r="AO145" s="323">
        <f>'Inputs by customer type'!AO88</f>
        <v>0.20300000000000001</v>
      </c>
      <c r="AP145" s="323">
        <f>'Inputs by customer type'!AP88</f>
        <v>0</v>
      </c>
      <c r="AQ145" s="304"/>
      <c r="AR145" s="304"/>
    </row>
    <row r="146" spans="2:44" x14ac:dyDescent="0.25">
      <c r="D146" s="28"/>
      <c r="E146" s="72"/>
      <c r="F146" s="72"/>
      <c r="G146" s="72"/>
      <c r="J146" s="92"/>
      <c r="K146" s="92"/>
      <c r="L146" s="92"/>
      <c r="M146" s="92"/>
      <c r="N146" s="92"/>
      <c r="O146" s="92"/>
      <c r="P146" s="92"/>
      <c r="Q146" s="92"/>
      <c r="R146" s="92"/>
      <c r="S146" s="92"/>
      <c r="T146" s="92"/>
      <c r="U146" s="92"/>
      <c r="V146" s="92"/>
      <c r="W146" s="92"/>
      <c r="X146" s="92"/>
      <c r="Y146" s="92"/>
      <c r="Z146" s="92"/>
      <c r="AA146" s="92"/>
      <c r="AB146" s="92"/>
      <c r="AC146" s="92"/>
      <c r="AD146" s="92"/>
      <c r="AE146" s="92"/>
      <c r="AF146" s="92"/>
      <c r="AG146" s="92"/>
      <c r="AH146" s="92"/>
      <c r="AI146" s="92"/>
      <c r="AJ146" s="92"/>
      <c r="AK146" s="92"/>
      <c r="AL146" s="92"/>
      <c r="AM146" s="92"/>
      <c r="AN146" s="92"/>
      <c r="AO146" s="92"/>
      <c r="AP146" s="92"/>
    </row>
    <row r="147" spans="2:44" x14ac:dyDescent="0.25">
      <c r="C147" s="31" t="str">
        <f ca="1">INDEX('Version control'!$H$34:$H$56,MATCH($A$1,'Version control'!$F$34:$F$56,0),1)&amp;"-I: Previous year net revenue from all the way tariff forecast"</f>
        <v>Section 117-I: Previous year net revenue from all the way tariff forecast</v>
      </c>
      <c r="D147" s="31"/>
      <c r="E147" s="31"/>
      <c r="F147" s="31"/>
      <c r="G147" s="31"/>
      <c r="H147" s="31"/>
      <c r="I147" s="31"/>
      <c r="J147" s="93"/>
      <c r="K147" s="93"/>
      <c r="L147" s="93"/>
      <c r="M147" s="93"/>
      <c r="N147" s="93"/>
      <c r="O147" s="93"/>
      <c r="P147" s="93"/>
      <c r="Q147" s="93"/>
      <c r="R147" s="93"/>
      <c r="S147" s="93"/>
      <c r="T147" s="93"/>
      <c r="U147" s="93"/>
      <c r="V147" s="93"/>
      <c r="W147" s="93"/>
      <c r="X147" s="93"/>
      <c r="Y147" s="93"/>
      <c r="Z147" s="93"/>
      <c r="AA147" s="93"/>
      <c r="AB147" s="93"/>
      <c r="AC147" s="93"/>
      <c r="AD147" s="93"/>
      <c r="AE147" s="93"/>
      <c r="AF147" s="93"/>
      <c r="AG147" s="93"/>
      <c r="AH147" s="93"/>
      <c r="AI147" s="93"/>
      <c r="AJ147" s="93"/>
      <c r="AK147" s="93"/>
      <c r="AL147" s="93"/>
      <c r="AM147" s="93"/>
      <c r="AN147" s="93"/>
      <c r="AO147" s="93"/>
      <c r="AP147" s="93"/>
      <c r="AQ147" s="31"/>
      <c r="AR147" s="31"/>
    </row>
    <row r="148" spans="2:44" x14ac:dyDescent="0.25">
      <c r="D148" s="32"/>
      <c r="J148" s="92"/>
      <c r="K148" s="92"/>
      <c r="L148" s="92"/>
      <c r="M148" s="92"/>
      <c r="N148" s="92"/>
      <c r="O148" s="92"/>
      <c r="P148" s="92"/>
      <c r="Q148" s="92"/>
      <c r="R148" s="92"/>
      <c r="S148" s="92"/>
      <c r="T148" s="92"/>
      <c r="U148" s="92"/>
      <c r="V148" s="92"/>
      <c r="W148" s="92"/>
      <c r="X148" s="92"/>
      <c r="Y148" s="92"/>
      <c r="Z148" s="92"/>
      <c r="AA148" s="92"/>
      <c r="AB148" s="92"/>
      <c r="AC148" s="92"/>
      <c r="AD148" s="92"/>
      <c r="AE148" s="92"/>
      <c r="AF148" s="92"/>
      <c r="AG148" s="92"/>
      <c r="AH148" s="92"/>
      <c r="AI148" s="92"/>
      <c r="AJ148" s="92"/>
      <c r="AK148" s="92"/>
      <c r="AL148" s="92"/>
      <c r="AM148" s="92"/>
      <c r="AN148" s="92"/>
      <c r="AO148" s="92"/>
      <c r="AP148" s="92"/>
    </row>
    <row r="149" spans="2:44" x14ac:dyDescent="0.25">
      <c r="D149" s="29" t="s">
        <v>1074</v>
      </c>
      <c r="J149" s="92"/>
      <c r="K149" s="92"/>
      <c r="L149" s="92"/>
      <c r="M149" s="92"/>
      <c r="N149" s="92"/>
      <c r="O149" s="92"/>
      <c r="P149" s="92"/>
      <c r="Q149" s="92"/>
      <c r="R149" s="92"/>
      <c r="S149" s="92"/>
      <c r="T149" s="92"/>
      <c r="U149" s="92"/>
      <c r="V149" s="92"/>
      <c r="W149" s="92"/>
      <c r="X149" s="92"/>
      <c r="Y149" s="92"/>
      <c r="Z149" s="92"/>
      <c r="AA149" s="92"/>
      <c r="AB149" s="92"/>
      <c r="AC149" s="92"/>
      <c r="AD149" s="92"/>
      <c r="AE149" s="92"/>
      <c r="AF149" s="92"/>
      <c r="AG149" s="92"/>
      <c r="AH149" s="92"/>
      <c r="AI149" s="92"/>
      <c r="AJ149" s="92"/>
      <c r="AK149" s="92"/>
      <c r="AL149" s="92"/>
      <c r="AM149" s="92"/>
      <c r="AN149" s="92"/>
      <c r="AO149" s="92"/>
      <c r="AP149" s="92"/>
    </row>
    <row r="150" spans="2:44" x14ac:dyDescent="0.25">
      <c r="D150" s="94" t="s">
        <v>1075</v>
      </c>
      <c r="J150" s="92"/>
      <c r="K150" s="92"/>
      <c r="L150" s="92"/>
      <c r="M150" s="92"/>
      <c r="N150" s="92"/>
      <c r="O150" s="92"/>
      <c r="P150" s="92"/>
      <c r="Q150" s="92"/>
      <c r="R150" s="92"/>
      <c r="S150" s="92"/>
      <c r="T150" s="92"/>
      <c r="U150" s="92"/>
      <c r="V150" s="92"/>
      <c r="W150" s="92"/>
      <c r="X150" s="92"/>
      <c r="Y150" s="92"/>
      <c r="Z150" s="92"/>
      <c r="AA150" s="92"/>
      <c r="AB150" s="92"/>
      <c r="AC150" s="92"/>
      <c r="AD150" s="92"/>
      <c r="AE150" s="92"/>
      <c r="AF150" s="92"/>
      <c r="AG150" s="92"/>
      <c r="AH150" s="92"/>
      <c r="AI150" s="92"/>
      <c r="AJ150" s="92"/>
      <c r="AK150" s="92"/>
      <c r="AL150" s="92"/>
      <c r="AM150" s="92"/>
      <c r="AN150" s="92"/>
      <c r="AO150" s="92"/>
      <c r="AP150" s="92"/>
    </row>
    <row r="151" spans="2:44" x14ac:dyDescent="0.25">
      <c r="C151" s="91"/>
      <c r="D151" s="2"/>
      <c r="E151" s="2"/>
      <c r="G151" s="13"/>
      <c r="J151" s="92"/>
      <c r="K151" s="92"/>
      <c r="L151" s="92"/>
      <c r="M151" s="92"/>
      <c r="N151" s="92"/>
      <c r="O151" s="92"/>
      <c r="P151" s="92"/>
      <c r="Q151" s="92"/>
      <c r="R151" s="92"/>
      <c r="S151" s="92"/>
      <c r="T151" s="92"/>
      <c r="U151" s="92"/>
      <c r="V151" s="92"/>
      <c r="W151" s="92"/>
      <c r="X151" s="92"/>
      <c r="Y151" s="92"/>
      <c r="Z151" s="92"/>
      <c r="AA151" s="92"/>
      <c r="AB151" s="92"/>
      <c r="AC151" s="92"/>
      <c r="AD151" s="92"/>
      <c r="AE151" s="92"/>
      <c r="AF151" s="92"/>
      <c r="AG151" s="92"/>
      <c r="AH151" s="92"/>
      <c r="AI151" s="92"/>
      <c r="AJ151" s="92"/>
      <c r="AK151" s="92"/>
      <c r="AL151" s="92"/>
      <c r="AM151" s="92"/>
      <c r="AN151" s="92"/>
      <c r="AO151" s="92"/>
      <c r="AP151" s="92"/>
    </row>
    <row r="152" spans="2:44" x14ac:dyDescent="0.25">
      <c r="E152" s="111" t="s">
        <v>1076</v>
      </c>
      <c r="F152" s="111"/>
      <c r="G152" s="111" t="s">
        <v>335</v>
      </c>
      <c r="H152" s="111"/>
      <c r="I152" s="111"/>
      <c r="J152" s="247">
        <f>IF('Inputs by customer type'!J96 = "", "", 'Inputs by customer type'!J96)</f>
        <v>91731229.664949134</v>
      </c>
      <c r="K152" s="247">
        <f>IF('Inputs by customer type'!K96 = "", "", 'Inputs by customer type'!K96)</f>
        <v>13892990.973000305</v>
      </c>
      <c r="L152" s="247">
        <f>IF('Inputs by customer type'!L96 = "", "", 'Inputs by customer type'!L96)</f>
        <v>9062160.2887673546</v>
      </c>
      <c r="M152" s="247">
        <f>IF('Inputs by customer type'!M96 = "", "", 'Inputs by customer type'!M96)</f>
        <v>29207895.290780306</v>
      </c>
      <c r="N152" s="247">
        <f>IF('Inputs by customer type'!N96 = "", "", 'Inputs by customer type'!N96)</f>
        <v>7131221.796259366</v>
      </c>
      <c r="O152" s="247">
        <f>IF('Inputs by customer type'!O96 = "", "", 'Inputs by customer type'!O96)</f>
        <v>559188.81571061467</v>
      </c>
      <c r="P152" s="247">
        <f>IF('Inputs by customer type'!P96 = "", "", 'Inputs by customer type'!P96)</f>
        <v>208879.52896995828</v>
      </c>
      <c r="Q152" s="247">
        <f>IF('Inputs by customer type'!Q96 = "", "", 'Inputs by customer type'!Q96)</f>
        <v>0</v>
      </c>
      <c r="R152" s="247">
        <f>IF('Inputs by customer type'!R96 = "", "", 'Inputs by customer type'!R96)</f>
        <v>36498.762293903703</v>
      </c>
      <c r="S152" s="247">
        <f>IF('Inputs by customer type'!S96 = "", "", 'Inputs by customer type'!S96)</f>
        <v>13142.234149250657</v>
      </c>
      <c r="T152" s="247">
        <f>IF('Inputs by customer type'!T96 = "", "", 'Inputs by customer type'!T96)</f>
        <v>3369054.6610414786</v>
      </c>
      <c r="U152" s="247">
        <f>IF('Inputs by customer type'!U96 = "", "", 'Inputs by customer type'!U96)</f>
        <v>59168055.300833553</v>
      </c>
      <c r="V152" s="247">
        <f>IF('Inputs by customer type'!V96 = "", "", 'Inputs by customer type'!V96)</f>
        <v>3592455.4789058981</v>
      </c>
      <c r="W152" s="247">
        <f>IF('Inputs by customer type'!W96 = "", "", 'Inputs by customer type'!W96)</f>
        <v>35113391.829872876</v>
      </c>
      <c r="X152" s="247">
        <f>IF('Inputs by customer type'!X96 = "", "", 'Inputs by customer type'!X96)</f>
        <v>593197.67976237799</v>
      </c>
      <c r="Y152" s="247">
        <f>IF('Inputs by customer type'!Y96 = "", "", 'Inputs by customer type'!Y96)</f>
        <v>408311.90826476493</v>
      </c>
      <c r="Z152" s="247">
        <f>IF('Inputs by customer type'!Z96 = "", "", 'Inputs by customer type'!Z96)</f>
        <v>197229.04401042123</v>
      </c>
      <c r="AA152" s="247">
        <f>IF('Inputs by customer type'!AA96 = "", "", 'Inputs by customer type'!AA96)</f>
        <v>2197.5649914851383</v>
      </c>
      <c r="AB152" s="247">
        <f>IF('Inputs by customer type'!AB96 = "", "", 'Inputs by customer type'!AB96)</f>
        <v>4285708.6439116495</v>
      </c>
      <c r="AC152" s="247">
        <f>IF('Inputs by customer type'!AC96 = "", "", 'Inputs by customer type'!AC96)</f>
        <v>-75777.117094664965</v>
      </c>
      <c r="AD152" s="247">
        <f>IF('Inputs by customer type'!AD96 = "", "", 'Inputs by customer type'!AD96)</f>
        <v>0</v>
      </c>
      <c r="AE152" s="247">
        <f>IF('Inputs by customer type'!AE96 = "", "", 'Inputs by customer type'!AE96)</f>
        <v>-4132198.5904392712</v>
      </c>
      <c r="AF152" s="247">
        <f>IF('Inputs by customer type'!AF96 = "", "", 'Inputs by customer type'!AF96)</f>
        <v>0</v>
      </c>
      <c r="AG152" s="247">
        <f>IF('Inputs by customer type'!AG96 = "", "", 'Inputs by customer type'!AG96)</f>
        <v>-636737.34694336436</v>
      </c>
      <c r="AH152" s="247">
        <f>IF('Inputs by customer type'!AH96 = "", "", 'Inputs by customer type'!AH96)</f>
        <v>0</v>
      </c>
      <c r="AI152" s="247">
        <f>IF('Inputs by customer type'!AI96 = "", "", 'Inputs by customer type'!AI96)</f>
        <v>-45811.249638000008</v>
      </c>
      <c r="AJ152" s="247">
        <f>IF('Inputs by customer type'!AJ96 = "", "", 'Inputs by customer type'!AJ96)</f>
        <v>0</v>
      </c>
      <c r="AK152" s="247">
        <f>IF('Inputs by customer type'!AK96 = "", "", 'Inputs by customer type'!AK96)</f>
        <v>0</v>
      </c>
      <c r="AL152" s="247">
        <f>IF('Inputs by customer type'!AL96 = "", "", 'Inputs by customer type'!AL96)</f>
        <v>0</v>
      </c>
      <c r="AM152" s="247">
        <f>IF('Inputs by customer type'!AM96 = "", "", 'Inputs by customer type'!AM96)</f>
        <v>-3201591.8774693506</v>
      </c>
      <c r="AN152" s="247">
        <f>IF('Inputs by customer type'!AN96 = "", "", 'Inputs by customer type'!AN96)</f>
        <v>0</v>
      </c>
      <c r="AO152" s="247">
        <f>IF('Inputs by customer type'!AO96 = "", "", 'Inputs by customer type'!AO96)</f>
        <v>-5073025.6802367643</v>
      </c>
      <c r="AP152" s="247">
        <f>IF('Inputs by customer type'!AP96 = "", "", 'Inputs by customer type'!AP96)</f>
        <v>0</v>
      </c>
    </row>
    <row r="153" spans="2:44" x14ac:dyDescent="0.25">
      <c r="D153" s="28"/>
      <c r="E153" s="72"/>
      <c r="F153" s="72"/>
      <c r="G153" s="72"/>
      <c r="J153" s="92"/>
      <c r="K153" s="92"/>
      <c r="L153" s="92"/>
      <c r="M153" s="92"/>
      <c r="N153" s="92"/>
      <c r="O153" s="92"/>
      <c r="P153" s="92"/>
      <c r="Q153" s="92"/>
      <c r="R153" s="92"/>
      <c r="S153" s="92"/>
      <c r="T153" s="92"/>
      <c r="U153" s="92"/>
      <c r="V153" s="92"/>
      <c r="W153" s="92"/>
      <c r="X153" s="92"/>
      <c r="Y153" s="92"/>
      <c r="Z153" s="92"/>
      <c r="AA153" s="92"/>
      <c r="AB153" s="92"/>
      <c r="AC153" s="92"/>
      <c r="AD153" s="92"/>
      <c r="AE153" s="92"/>
      <c r="AF153" s="92"/>
      <c r="AG153" s="92"/>
      <c r="AH153" s="92"/>
      <c r="AI153" s="92"/>
      <c r="AJ153" s="92"/>
      <c r="AK153" s="92"/>
      <c r="AL153" s="92"/>
      <c r="AM153" s="92"/>
      <c r="AN153" s="92"/>
      <c r="AO153" s="92"/>
      <c r="AP153" s="92"/>
    </row>
    <row r="154" spans="2:44" x14ac:dyDescent="0.25">
      <c r="E154" t="s">
        <v>1077</v>
      </c>
      <c r="G154" t="s">
        <v>335</v>
      </c>
      <c r="J154" s="101">
        <f t="shared" ref="J154:AP154" si="33">IF(J152 = "", (J142*J19 + J143*J20 + J144*J21) / hundred * days_in_year + (J139*J16 + J140*J17 + J141*J18 + J145*J22) * ten, J152)</f>
        <v>91731229.664949134</v>
      </c>
      <c r="K154" s="101">
        <f t="shared" si="33"/>
        <v>13892990.973000305</v>
      </c>
      <c r="L154" s="101">
        <f t="shared" si="33"/>
        <v>9062160.2887673546</v>
      </c>
      <c r="M154" s="101">
        <f t="shared" si="33"/>
        <v>29207895.290780306</v>
      </c>
      <c r="N154" s="101">
        <f t="shared" si="33"/>
        <v>7131221.796259366</v>
      </c>
      <c r="O154" s="101">
        <f t="shared" si="33"/>
        <v>559188.81571061467</v>
      </c>
      <c r="P154" s="101">
        <f t="shared" si="33"/>
        <v>208879.52896995828</v>
      </c>
      <c r="Q154" s="101">
        <f t="shared" si="33"/>
        <v>0</v>
      </c>
      <c r="R154" s="101">
        <f t="shared" si="33"/>
        <v>36498.762293903703</v>
      </c>
      <c r="S154" s="101">
        <f t="shared" si="33"/>
        <v>13142.234149250657</v>
      </c>
      <c r="T154" s="101">
        <f t="shared" si="33"/>
        <v>3369054.6610414786</v>
      </c>
      <c r="U154" s="101">
        <f t="shared" si="33"/>
        <v>59168055.300833553</v>
      </c>
      <c r="V154" s="101">
        <f t="shared" si="33"/>
        <v>3592455.4789058981</v>
      </c>
      <c r="W154" s="101">
        <f t="shared" si="33"/>
        <v>35113391.829872876</v>
      </c>
      <c r="X154" s="101">
        <f t="shared" si="33"/>
        <v>593197.67976237799</v>
      </c>
      <c r="Y154" s="101">
        <f t="shared" si="33"/>
        <v>408311.90826476493</v>
      </c>
      <c r="Z154" s="101">
        <f t="shared" si="33"/>
        <v>197229.04401042123</v>
      </c>
      <c r="AA154" s="101">
        <f t="shared" si="33"/>
        <v>2197.5649914851383</v>
      </c>
      <c r="AB154" s="101">
        <f t="shared" si="33"/>
        <v>4285708.6439116495</v>
      </c>
      <c r="AC154" s="101">
        <f t="shared" si="33"/>
        <v>-75777.117094664965</v>
      </c>
      <c r="AD154" s="101">
        <f t="shared" si="33"/>
        <v>0</v>
      </c>
      <c r="AE154" s="101">
        <f t="shared" si="33"/>
        <v>-4132198.5904392712</v>
      </c>
      <c r="AF154" s="101">
        <f t="shared" si="33"/>
        <v>0</v>
      </c>
      <c r="AG154" s="101">
        <f t="shared" si="33"/>
        <v>-636737.34694336436</v>
      </c>
      <c r="AH154" s="101">
        <f t="shared" si="33"/>
        <v>0</v>
      </c>
      <c r="AI154" s="101">
        <f t="shared" si="33"/>
        <v>-45811.249638000008</v>
      </c>
      <c r="AJ154" s="101">
        <f t="shared" si="33"/>
        <v>0</v>
      </c>
      <c r="AK154" s="101">
        <f t="shared" si="33"/>
        <v>0</v>
      </c>
      <c r="AL154" s="101">
        <f t="shared" si="33"/>
        <v>0</v>
      </c>
      <c r="AM154" s="101">
        <f t="shared" si="33"/>
        <v>-3201591.8774693506</v>
      </c>
      <c r="AN154" s="101">
        <f t="shared" si="33"/>
        <v>0</v>
      </c>
      <c r="AO154" s="101">
        <f t="shared" si="33"/>
        <v>-5073025.6802367643</v>
      </c>
      <c r="AP154" s="101">
        <f t="shared" si="33"/>
        <v>0</v>
      </c>
    </row>
    <row r="155" spans="2:44" x14ac:dyDescent="0.25">
      <c r="F155" s="3"/>
      <c r="G155" s="242"/>
      <c r="H155" s="3"/>
      <c r="I155" s="3"/>
    </row>
    <row r="156" spans="2:44" x14ac:dyDescent="0.25">
      <c r="E156" t="s">
        <v>1078</v>
      </c>
      <c r="G156" s="13" t="s">
        <v>203</v>
      </c>
      <c r="J156" s="114">
        <f t="shared" ref="J156:AP156" si="34">IF( J154 &lt;&gt; 0, (J89 - J154) / J154, 0)</f>
        <v>0.11046128994699879</v>
      </c>
      <c r="K156" s="114">
        <f t="shared" si="34"/>
        <v>0.15233286283599651</v>
      </c>
      <c r="L156" s="114">
        <f t="shared" si="34"/>
        <v>9.1933563437997162E-2</v>
      </c>
      <c r="M156" s="114">
        <f t="shared" si="34"/>
        <v>0.14006788256024333</v>
      </c>
      <c r="N156" s="114">
        <f t="shared" si="34"/>
        <v>0.1421235339461599</v>
      </c>
      <c r="O156" s="114">
        <f t="shared" si="34"/>
        <v>0.1368549662249747</v>
      </c>
      <c r="P156" s="114">
        <f t="shared" si="34"/>
        <v>5.7848667323528513</v>
      </c>
      <c r="Q156" s="114">
        <f t="shared" si="34"/>
        <v>0</v>
      </c>
      <c r="R156" s="114">
        <f t="shared" si="34"/>
        <v>-0.28127689980923554</v>
      </c>
      <c r="S156" s="114">
        <f t="shared" si="34"/>
        <v>0.15127125436595829</v>
      </c>
      <c r="T156" s="114">
        <f t="shared" si="34"/>
        <v>-0.18775907193064018</v>
      </c>
      <c r="U156" s="114">
        <f t="shared" si="34"/>
        <v>6.938103116711887E-2</v>
      </c>
      <c r="V156" s="114">
        <f t="shared" si="34"/>
        <v>4.5451030608086196E-2</v>
      </c>
      <c r="W156" s="114">
        <f t="shared" si="34"/>
        <v>1.3099857005285884E-2</v>
      </c>
      <c r="X156" s="114">
        <f t="shared" si="34"/>
        <v>0.13368753146856874</v>
      </c>
      <c r="Y156" s="114">
        <f t="shared" si="34"/>
        <v>1.0490536103353578</v>
      </c>
      <c r="Z156" s="114">
        <f t="shared" si="34"/>
        <v>1.8932355323098348E-2</v>
      </c>
      <c r="AA156" s="114">
        <f t="shared" si="34"/>
        <v>-4.1986132955948462E-2</v>
      </c>
      <c r="AB156" s="114">
        <f t="shared" si="34"/>
        <v>-4.623175596961606E-2</v>
      </c>
      <c r="AC156" s="114">
        <f t="shared" si="34"/>
        <v>8.6571653937943041E-2</v>
      </c>
      <c r="AD156" s="114">
        <f t="shared" si="34"/>
        <v>0</v>
      </c>
      <c r="AE156" s="114">
        <f t="shared" si="34"/>
        <v>0.10867213970945942</v>
      </c>
      <c r="AF156" s="114">
        <f t="shared" si="34"/>
        <v>0</v>
      </c>
      <c r="AG156" s="114">
        <f t="shared" si="34"/>
        <v>0.10590380714316877</v>
      </c>
      <c r="AH156" s="114">
        <f t="shared" si="34"/>
        <v>0</v>
      </c>
      <c r="AI156" s="114">
        <f t="shared" si="34"/>
        <v>-0.11652509809669225</v>
      </c>
      <c r="AJ156" s="114">
        <f t="shared" si="34"/>
        <v>0</v>
      </c>
      <c r="AK156" s="114">
        <f t="shared" si="34"/>
        <v>0</v>
      </c>
      <c r="AL156" s="114">
        <f t="shared" si="34"/>
        <v>0</v>
      </c>
      <c r="AM156" s="114">
        <f t="shared" si="34"/>
        <v>0.10058613425319926</v>
      </c>
      <c r="AN156" s="114">
        <f t="shared" si="34"/>
        <v>0</v>
      </c>
      <c r="AO156" s="114">
        <f t="shared" si="34"/>
        <v>0.11280376356747122</v>
      </c>
      <c r="AP156" s="114">
        <f t="shared" si="34"/>
        <v>0</v>
      </c>
    </row>
    <row r="157" spans="2:44" x14ac:dyDescent="0.25">
      <c r="C157" s="91"/>
      <c r="D157" s="2"/>
      <c r="E157" s="2"/>
      <c r="G157" s="13"/>
    </row>
    <row r="158" spans="2:44" x14ac:dyDescent="0.25">
      <c r="E158" t="s">
        <v>1079</v>
      </c>
      <c r="G158" s="13" t="s">
        <v>327</v>
      </c>
      <c r="H158" s="304"/>
      <c r="I158" s="304"/>
      <c r="J158" s="315">
        <f t="shared" ref="J158:AP158" si="35" xml:space="preserve"> (J89 - J154) / IF( SUM(J16:J18) = 0, 1, SUM(J16:J18)) / ten</f>
        <v>0.43131617363522201</v>
      </c>
      <c r="K158" s="315">
        <f t="shared" si="35"/>
        <v>0.47508310396278047</v>
      </c>
      <c r="L158" s="315">
        <f t="shared" si="35"/>
        <v>0.19692828582394381</v>
      </c>
      <c r="M158" s="315">
        <f t="shared" si="35"/>
        <v>0.48880370851248012</v>
      </c>
      <c r="N158" s="315">
        <f t="shared" si="35"/>
        <v>0.43225896874707026</v>
      </c>
      <c r="O158" s="315">
        <f t="shared" si="35"/>
        <v>0.27193914605377933</v>
      </c>
      <c r="P158" s="315">
        <f t="shared" si="35"/>
        <v>3.0242081203624305</v>
      </c>
      <c r="Q158" s="315">
        <f t="shared" si="35"/>
        <v>0</v>
      </c>
      <c r="R158" s="315">
        <f t="shared" si="35"/>
        <v>-1.254786258556942</v>
      </c>
      <c r="S158" s="315">
        <f t="shared" si="35"/>
        <v>0.55833157557184854</v>
      </c>
      <c r="T158" s="315">
        <f t="shared" si="35"/>
        <v>-0.853594154163695</v>
      </c>
      <c r="U158" s="315">
        <f t="shared" si="35"/>
        <v>0.25675424975175154</v>
      </c>
      <c r="V158" s="315">
        <f t="shared" si="35"/>
        <v>0.13184218178157447</v>
      </c>
      <c r="W158" s="315">
        <f t="shared" si="35"/>
        <v>5.0087533635631357E-2</v>
      </c>
      <c r="X158" s="315">
        <f t="shared" si="35"/>
        <v>0.56072259285553283</v>
      </c>
      <c r="Y158" s="315">
        <f t="shared" si="35"/>
        <v>2.478957873831551</v>
      </c>
      <c r="Z158" s="315">
        <f t="shared" si="35"/>
        <v>0.10605795725269536</v>
      </c>
      <c r="AA158" s="315">
        <f t="shared" si="35"/>
        <v>-0.20852518682301802</v>
      </c>
      <c r="AB158" s="315">
        <f t="shared" si="35"/>
        <v>-0.2391185281367767</v>
      </c>
      <c r="AC158" s="315">
        <f t="shared" si="35"/>
        <v>-0.10230158614340901</v>
      </c>
      <c r="AD158" s="315">
        <f t="shared" si="35"/>
        <v>0</v>
      </c>
      <c r="AE158" s="315">
        <f t="shared" si="35"/>
        <v>-0.12498676509705312</v>
      </c>
      <c r="AF158" s="315">
        <f t="shared" si="35"/>
        <v>0</v>
      </c>
      <c r="AG158" s="315">
        <f t="shared" si="35"/>
        <v>-0.12646674186954743</v>
      </c>
      <c r="AH158" s="315">
        <f t="shared" si="35"/>
        <v>0</v>
      </c>
      <c r="AI158" s="315">
        <f t="shared" si="35"/>
        <v>0.15194196543466842</v>
      </c>
      <c r="AJ158" s="315">
        <f t="shared" si="35"/>
        <v>0</v>
      </c>
      <c r="AK158" s="315">
        <f t="shared" si="35"/>
        <v>0</v>
      </c>
      <c r="AL158" s="315">
        <f t="shared" si="35"/>
        <v>0</v>
      </c>
      <c r="AM158" s="315">
        <f t="shared" si="35"/>
        <v>-4.9344555907825313E-2</v>
      </c>
      <c r="AN158" s="315">
        <f t="shared" si="35"/>
        <v>0</v>
      </c>
      <c r="AO158" s="315">
        <f t="shared" si="35"/>
        <v>-6.8145956922763179E-2</v>
      </c>
      <c r="AP158" s="315">
        <f t="shared" si="35"/>
        <v>0</v>
      </c>
      <c r="AQ158" s="304"/>
      <c r="AR158" s="304"/>
    </row>
    <row r="159" spans="2:44" x14ac:dyDescent="0.25">
      <c r="C159" s="91"/>
      <c r="D159" s="2"/>
      <c r="E159" s="2"/>
      <c r="G159" s="13"/>
    </row>
    <row r="160" spans="2:44" x14ac:dyDescent="0.25">
      <c r="B160" s="30" t="s">
        <v>1080</v>
      </c>
      <c r="C160" s="30"/>
      <c r="D160" s="30"/>
      <c r="E160" s="30"/>
      <c r="F160" s="30"/>
      <c r="G160" s="95"/>
      <c r="H160" s="30"/>
      <c r="I160" s="30"/>
      <c r="J160" s="30"/>
      <c r="K160" s="30"/>
      <c r="L160" s="30"/>
      <c r="M160" s="30"/>
      <c r="N160" s="30"/>
      <c r="O160" s="30"/>
      <c r="P160" s="30"/>
      <c r="Q160" s="30"/>
      <c r="R160" s="30"/>
      <c r="S160" s="30"/>
      <c r="T160" s="30"/>
      <c r="U160" s="30"/>
      <c r="V160" s="30"/>
      <c r="W160" s="30"/>
      <c r="X160" s="30"/>
      <c r="Y160" s="30"/>
      <c r="Z160" s="30"/>
      <c r="AA160" s="30"/>
      <c r="AB160" s="30"/>
      <c r="AC160" s="30"/>
      <c r="AD160" s="30"/>
      <c r="AE160" s="30"/>
      <c r="AF160" s="30"/>
      <c r="AG160" s="30"/>
      <c r="AH160" s="30"/>
      <c r="AI160" s="30"/>
      <c r="AJ160" s="30"/>
      <c r="AK160" s="30"/>
      <c r="AL160" s="30"/>
      <c r="AM160" s="30"/>
      <c r="AN160" s="30"/>
      <c r="AO160" s="30"/>
      <c r="AP160" s="30"/>
      <c r="AQ160" s="30"/>
      <c r="AR160" s="30"/>
    </row>
    <row r="161" spans="3:44" x14ac:dyDescent="0.25">
      <c r="F161" s="3"/>
      <c r="G161" s="242"/>
      <c r="H161" s="3"/>
      <c r="I161" s="3"/>
    </row>
    <row r="162" spans="3:44" x14ac:dyDescent="0.25">
      <c r="C162" s="31" t="str">
        <f ca="1">INDEX('Version control'!$H$34:$H$56,MATCH($A$1,'Version control'!$F$34:$F$56,0),1)&amp;"-J: LDNO typical bills using all-the-way volumes"</f>
        <v>Section 117-J: LDNO typical bills using all-the-way volumes</v>
      </c>
      <c r="D162" s="31"/>
      <c r="E162" s="31"/>
      <c r="F162" s="31"/>
      <c r="G162" s="31"/>
      <c r="H162" s="31"/>
      <c r="I162" s="31"/>
      <c r="J162" s="31"/>
      <c r="K162" s="31"/>
      <c r="L162" s="31"/>
      <c r="M162" s="31"/>
      <c r="N162" s="31"/>
      <c r="O162" s="31"/>
      <c r="P162" s="31"/>
      <c r="Q162" s="31"/>
      <c r="R162" s="31"/>
      <c r="S162" s="31"/>
      <c r="T162" s="31"/>
      <c r="U162" s="31"/>
      <c r="V162" s="31"/>
      <c r="W162" s="31"/>
      <c r="X162" s="31"/>
      <c r="Y162" s="31"/>
      <c r="Z162" s="31"/>
      <c r="AA162" s="31"/>
      <c r="AB162" s="31"/>
      <c r="AC162" s="31"/>
      <c r="AD162" s="31"/>
      <c r="AE162" s="31"/>
      <c r="AF162" s="31"/>
      <c r="AG162" s="31"/>
      <c r="AH162" s="31"/>
      <c r="AI162" s="31"/>
      <c r="AJ162" s="31"/>
      <c r="AK162" s="31"/>
      <c r="AL162" s="31"/>
      <c r="AM162" s="31"/>
      <c r="AN162" s="31"/>
      <c r="AO162" s="31"/>
      <c r="AP162" s="31"/>
      <c r="AQ162" s="31"/>
      <c r="AR162" s="31"/>
    </row>
    <row r="163" spans="3:44" x14ac:dyDescent="0.25">
      <c r="C163" s="91"/>
      <c r="D163" s="2"/>
      <c r="E163" s="2"/>
      <c r="G163" s="13"/>
    </row>
    <row r="164" spans="3:44" x14ac:dyDescent="0.25">
      <c r="E164" s="32" t="s">
        <v>1081</v>
      </c>
      <c r="G164" s="13"/>
      <c r="H164" s="131"/>
      <c r="J164" s="63"/>
      <c r="K164" s="63"/>
      <c r="L164" s="63"/>
      <c r="M164" s="63"/>
      <c r="N164" s="63"/>
      <c r="O164" s="63"/>
      <c r="P164" s="63"/>
      <c r="Q164" s="63"/>
      <c r="R164" s="63"/>
      <c r="S164" s="63"/>
      <c r="T164" s="63"/>
      <c r="U164" s="63"/>
      <c r="V164" s="63"/>
      <c r="W164" s="63"/>
      <c r="X164" s="63"/>
      <c r="Y164" s="63"/>
      <c r="Z164" s="63"/>
      <c r="AA164" s="63"/>
      <c r="AB164" s="63"/>
      <c r="AC164" s="63"/>
      <c r="AD164" s="63"/>
      <c r="AE164" s="63"/>
      <c r="AF164" s="63"/>
      <c r="AG164" s="63"/>
      <c r="AH164" s="63"/>
      <c r="AI164" s="63"/>
      <c r="AJ164" s="63"/>
      <c r="AK164" s="63"/>
      <c r="AL164" s="63"/>
      <c r="AM164" s="63"/>
      <c r="AN164" s="63"/>
      <c r="AO164" s="63"/>
      <c r="AP164" s="63"/>
    </row>
    <row r="165" spans="3:44" x14ac:dyDescent="0.25">
      <c r="E165" s="29" t="s">
        <v>1082</v>
      </c>
    </row>
    <row r="166" spans="3:44" x14ac:dyDescent="0.25">
      <c r="E166" s="28"/>
      <c r="F166" s="23" t="s">
        <v>192</v>
      </c>
      <c r="G166" s="85" t="s">
        <v>1083</v>
      </c>
      <c r="H166" s="248"/>
      <c r="I166" s="23"/>
      <c r="J166" s="129">
        <f t="shared" ref="J166:AP166" si="36" xml:space="preserve"> IF( J$19 &lt;&gt; 0, J$16 * thousand * J54 / hundred / J$19, "")</f>
        <v>94.249051459749424</v>
      </c>
      <c r="K166" s="129">
        <f t="shared" si="36"/>
        <v>109.55195585594934</v>
      </c>
      <c r="L166" s="129">
        <f t="shared" si="36"/>
        <v>93.487384227246693</v>
      </c>
      <c r="M166" s="129">
        <f t="shared" si="36"/>
        <v>354.80048267858928</v>
      </c>
      <c r="N166" s="129">
        <f t="shared" si="36"/>
        <v>415.90025659564179</v>
      </c>
      <c r="O166" s="129">
        <f t="shared" si="36"/>
        <v>183.98566458910352</v>
      </c>
      <c r="P166" s="129">
        <f t="shared" si="36"/>
        <v>1860.2761504034825</v>
      </c>
      <c r="Q166" s="129" t="str">
        <f t="shared" si="36"/>
        <v/>
      </c>
      <c r="R166" s="129">
        <f t="shared" si="36"/>
        <v>0</v>
      </c>
      <c r="S166" s="129">
        <f t="shared" si="36"/>
        <v>56.759583545852877</v>
      </c>
      <c r="T166" s="129">
        <f t="shared" si="36"/>
        <v>662.14600394990555</v>
      </c>
      <c r="U166" s="129">
        <f t="shared" si="36"/>
        <v>1471.7255877620898</v>
      </c>
      <c r="V166" s="129">
        <f t="shared" si="36"/>
        <v>0</v>
      </c>
      <c r="W166" s="129">
        <f t="shared" si="36"/>
        <v>0</v>
      </c>
      <c r="X166" s="129">
        <f t="shared" si="36"/>
        <v>1819.085560314184</v>
      </c>
      <c r="Y166" s="129">
        <f t="shared" si="36"/>
        <v>253.54847281510334</v>
      </c>
      <c r="Z166" s="129">
        <f t="shared" si="36"/>
        <v>100.91413077963948</v>
      </c>
      <c r="AA166" s="129">
        <f t="shared" si="36"/>
        <v>247.71245249372046</v>
      </c>
      <c r="AB166" s="129">
        <f t="shared" si="36"/>
        <v>46408.168823193795</v>
      </c>
      <c r="AC166" s="129">
        <f t="shared" si="36"/>
        <v>-203.66508370751507</v>
      </c>
      <c r="AD166" s="129" t="str">
        <f t="shared" si="36"/>
        <v/>
      </c>
      <c r="AE166" s="129">
        <f t="shared" si="36"/>
        <v>-5917.540087687923</v>
      </c>
      <c r="AF166" s="129" t="str">
        <f t="shared" si="36"/>
        <v/>
      </c>
      <c r="AG166" s="129">
        <f t="shared" si="36"/>
        <v>-7903.2420571629082</v>
      </c>
      <c r="AH166" s="129" t="str">
        <f t="shared" si="36"/>
        <v/>
      </c>
      <c r="AI166" s="129">
        <f t="shared" si="36"/>
        <v>0</v>
      </c>
      <c r="AJ166" s="129" t="str">
        <f t="shared" si="36"/>
        <v/>
      </c>
      <c r="AK166" s="129" t="str">
        <f t="shared" si="36"/>
        <v/>
      </c>
      <c r="AL166" s="129" t="str">
        <f t="shared" si="36"/>
        <v/>
      </c>
      <c r="AM166" s="129">
        <f t="shared" si="36"/>
        <v>0</v>
      </c>
      <c r="AN166" s="129" t="str">
        <f t="shared" si="36"/>
        <v/>
      </c>
      <c r="AO166" s="129">
        <f t="shared" si="36"/>
        <v>0</v>
      </c>
      <c r="AP166" s="129" t="str">
        <f t="shared" si="36"/>
        <v/>
      </c>
    </row>
    <row r="167" spans="3:44" x14ac:dyDescent="0.25">
      <c r="E167" s="28"/>
      <c r="F167" t="s">
        <v>193</v>
      </c>
      <c r="G167" s="13" t="s">
        <v>1083</v>
      </c>
      <c r="H167" s="105"/>
      <c r="J167" s="101">
        <f t="shared" ref="J167:AP167" si="37" xml:space="preserve"> IF( J$19 &lt;&gt; 0, J$17 * thousand * J55 / hundred / J$19, "")</f>
        <v>0</v>
      </c>
      <c r="K167" s="101">
        <f t="shared" si="37"/>
        <v>54.495637056514354</v>
      </c>
      <c r="L167" s="101">
        <f t="shared" si="37"/>
        <v>0</v>
      </c>
      <c r="M167" s="101">
        <f t="shared" si="37"/>
        <v>0</v>
      </c>
      <c r="N167" s="101">
        <f t="shared" si="37"/>
        <v>127.81419334796671</v>
      </c>
      <c r="O167" s="101">
        <f t="shared" si="37"/>
        <v>0</v>
      </c>
      <c r="P167" s="101">
        <f t="shared" si="37"/>
        <v>378.94370635398951</v>
      </c>
      <c r="Q167" s="101" t="str">
        <f t="shared" si="37"/>
        <v/>
      </c>
      <c r="R167" s="101">
        <f t="shared" si="37"/>
        <v>0</v>
      </c>
      <c r="S167" s="101">
        <f t="shared" si="37"/>
        <v>38.848161836345191</v>
      </c>
      <c r="T167" s="101">
        <f t="shared" si="37"/>
        <v>863.70791091959643</v>
      </c>
      <c r="U167" s="101">
        <f t="shared" si="37"/>
        <v>2165.6736588447707</v>
      </c>
      <c r="V167" s="101">
        <f t="shared" si="37"/>
        <v>0</v>
      </c>
      <c r="W167" s="101">
        <f t="shared" si="37"/>
        <v>0</v>
      </c>
      <c r="X167" s="101">
        <f t="shared" si="37"/>
        <v>0</v>
      </c>
      <c r="Y167" s="101">
        <f t="shared" si="37"/>
        <v>0</v>
      </c>
      <c r="Z167" s="101">
        <f t="shared" si="37"/>
        <v>0</v>
      </c>
      <c r="AA167" s="101">
        <f t="shared" si="37"/>
        <v>0</v>
      </c>
      <c r="AB167" s="101">
        <f t="shared" si="37"/>
        <v>37680.313735886783</v>
      </c>
      <c r="AC167" s="101">
        <f t="shared" si="37"/>
        <v>0</v>
      </c>
      <c r="AD167" s="101" t="str">
        <f t="shared" si="37"/>
        <v/>
      </c>
      <c r="AE167" s="101">
        <f t="shared" si="37"/>
        <v>0</v>
      </c>
      <c r="AF167" s="101" t="str">
        <f t="shared" si="37"/>
        <v/>
      </c>
      <c r="AG167" s="101">
        <f t="shared" si="37"/>
        <v>-5311.7999792787132</v>
      </c>
      <c r="AH167" s="101" t="str">
        <f t="shared" si="37"/>
        <v/>
      </c>
      <c r="AI167" s="101">
        <f t="shared" si="37"/>
        <v>0</v>
      </c>
      <c r="AJ167" s="101" t="str">
        <f t="shared" si="37"/>
        <v/>
      </c>
      <c r="AK167" s="101" t="str">
        <f t="shared" si="37"/>
        <v/>
      </c>
      <c r="AL167" s="101" t="str">
        <f t="shared" si="37"/>
        <v/>
      </c>
      <c r="AM167" s="101">
        <f t="shared" si="37"/>
        <v>0</v>
      </c>
      <c r="AN167" s="101" t="str">
        <f t="shared" si="37"/>
        <v/>
      </c>
      <c r="AO167" s="101">
        <f t="shared" si="37"/>
        <v>0</v>
      </c>
      <c r="AP167" s="101" t="str">
        <f t="shared" si="37"/>
        <v/>
      </c>
    </row>
    <row r="168" spans="3:44" x14ac:dyDescent="0.25">
      <c r="E168" s="28"/>
      <c r="F168" t="s">
        <v>194</v>
      </c>
      <c r="G168" s="13" t="s">
        <v>1083</v>
      </c>
      <c r="H168" s="105"/>
      <c r="J168" s="101">
        <f t="shared" ref="J168:AP168" si="38" xml:space="preserve"> IF( J$19 &lt;&gt; 0, J$18 * thousand * J56 / hundred / J$19, "")</f>
        <v>0</v>
      </c>
      <c r="K168" s="101">
        <f t="shared" si="38"/>
        <v>0</v>
      </c>
      <c r="L168" s="101">
        <f t="shared" si="38"/>
        <v>0</v>
      </c>
      <c r="M168" s="101">
        <f t="shared" si="38"/>
        <v>0</v>
      </c>
      <c r="N168" s="101">
        <f t="shared" si="38"/>
        <v>0</v>
      </c>
      <c r="O168" s="101">
        <f t="shared" si="38"/>
        <v>0</v>
      </c>
      <c r="P168" s="101">
        <f t="shared" si="38"/>
        <v>0</v>
      </c>
      <c r="Q168" s="101" t="str">
        <f t="shared" si="38"/>
        <v/>
      </c>
      <c r="R168" s="101">
        <f t="shared" si="38"/>
        <v>0</v>
      </c>
      <c r="S168" s="101">
        <f t="shared" si="38"/>
        <v>34.699498231533227</v>
      </c>
      <c r="T168" s="101">
        <f t="shared" si="38"/>
        <v>437.07536832463484</v>
      </c>
      <c r="U168" s="101">
        <f t="shared" si="38"/>
        <v>1282.6814529550909</v>
      </c>
      <c r="V168" s="101">
        <f t="shared" si="38"/>
        <v>0</v>
      </c>
      <c r="W168" s="101">
        <f t="shared" si="38"/>
        <v>0</v>
      </c>
      <c r="X168" s="101">
        <f t="shared" si="38"/>
        <v>0</v>
      </c>
      <c r="Y168" s="101">
        <f t="shared" si="38"/>
        <v>0</v>
      </c>
      <c r="Z168" s="101">
        <f t="shared" si="38"/>
        <v>0</v>
      </c>
      <c r="AA168" s="101">
        <f t="shared" si="38"/>
        <v>0</v>
      </c>
      <c r="AB168" s="101">
        <f t="shared" si="38"/>
        <v>122051.28653728573</v>
      </c>
      <c r="AC168" s="101">
        <f t="shared" si="38"/>
        <v>0</v>
      </c>
      <c r="AD168" s="101" t="str">
        <f t="shared" si="38"/>
        <v/>
      </c>
      <c r="AE168" s="101">
        <f t="shared" si="38"/>
        <v>0</v>
      </c>
      <c r="AF168" s="101" t="str">
        <f t="shared" si="38"/>
        <v/>
      </c>
      <c r="AG168" s="101">
        <f t="shared" si="38"/>
        <v>-2853.3419561338001</v>
      </c>
      <c r="AH168" s="101" t="str">
        <f t="shared" si="38"/>
        <v/>
      </c>
      <c r="AI168" s="101">
        <f t="shared" si="38"/>
        <v>0</v>
      </c>
      <c r="AJ168" s="101" t="str">
        <f t="shared" si="38"/>
        <v/>
      </c>
      <c r="AK168" s="101" t="str">
        <f t="shared" si="38"/>
        <v/>
      </c>
      <c r="AL168" s="101" t="str">
        <f t="shared" si="38"/>
        <v/>
      </c>
      <c r="AM168" s="101">
        <f t="shared" si="38"/>
        <v>0</v>
      </c>
      <c r="AN168" s="101" t="str">
        <f t="shared" si="38"/>
        <v/>
      </c>
      <c r="AO168" s="101">
        <f t="shared" si="38"/>
        <v>0</v>
      </c>
      <c r="AP168" s="101" t="str">
        <f t="shared" si="38"/>
        <v/>
      </c>
    </row>
    <row r="169" spans="3:44" x14ac:dyDescent="0.25">
      <c r="E169" s="28"/>
      <c r="F169" s="23" t="s">
        <v>195</v>
      </c>
      <c r="G169" s="85" t="s">
        <v>1083</v>
      </c>
      <c r="H169" s="248"/>
      <c r="I169" s="23"/>
      <c r="J169" s="129">
        <f t="shared" ref="J169:AP169" si="39" xml:space="preserve"> IF( J$19 &lt;&gt; 0, J$19 * J57 * days_in_year / hundred / J$19, "")</f>
        <v>17.301000000000002</v>
      </c>
      <c r="K169" s="129">
        <f t="shared" si="39"/>
        <v>17.301000000000002</v>
      </c>
      <c r="L169" s="129">
        <f t="shared" si="39"/>
        <v>0</v>
      </c>
      <c r="M169" s="129">
        <f t="shared" si="39"/>
        <v>24.455000000000002</v>
      </c>
      <c r="N169" s="129">
        <f t="shared" si="39"/>
        <v>24.455000000000005</v>
      </c>
      <c r="O169" s="129">
        <f t="shared" si="39"/>
        <v>0</v>
      </c>
      <c r="P169" s="129">
        <f t="shared" si="39"/>
        <v>212.28400000000002</v>
      </c>
      <c r="Q169" s="129" t="str">
        <f t="shared" si="39"/>
        <v/>
      </c>
      <c r="R169" s="129">
        <f t="shared" si="39"/>
        <v>0</v>
      </c>
      <c r="S169" s="129">
        <f t="shared" si="39"/>
        <v>17.301000000000002</v>
      </c>
      <c r="T169" s="129">
        <f t="shared" si="39"/>
        <v>24.455000000000002</v>
      </c>
      <c r="U169" s="129">
        <f t="shared" si="39"/>
        <v>69.203999999999994</v>
      </c>
      <c r="V169" s="129">
        <f t="shared" si="39"/>
        <v>0</v>
      </c>
      <c r="W169" s="129">
        <f t="shared" si="39"/>
        <v>0</v>
      </c>
      <c r="X169" s="129">
        <f t="shared" si="39"/>
        <v>0</v>
      </c>
      <c r="Y169" s="129">
        <f t="shared" si="39"/>
        <v>0</v>
      </c>
      <c r="Z169" s="129">
        <f t="shared" si="39"/>
        <v>0</v>
      </c>
      <c r="AA169" s="129">
        <f t="shared" si="39"/>
        <v>0</v>
      </c>
      <c r="AB169" s="129">
        <f t="shared" si="39"/>
        <v>0</v>
      </c>
      <c r="AC169" s="129">
        <f t="shared" si="39"/>
        <v>0</v>
      </c>
      <c r="AD169" s="129" t="str">
        <f t="shared" si="39"/>
        <v/>
      </c>
      <c r="AE169" s="129">
        <f t="shared" si="39"/>
        <v>0</v>
      </c>
      <c r="AF169" s="129" t="str">
        <f t="shared" si="39"/>
        <v/>
      </c>
      <c r="AG169" s="129">
        <f t="shared" si="39"/>
        <v>0</v>
      </c>
      <c r="AH169" s="129" t="str">
        <f t="shared" si="39"/>
        <v/>
      </c>
      <c r="AI169" s="129">
        <f t="shared" si="39"/>
        <v>0</v>
      </c>
      <c r="AJ169" s="129" t="str">
        <f t="shared" si="39"/>
        <v/>
      </c>
      <c r="AK169" s="129" t="str">
        <f t="shared" si="39"/>
        <v/>
      </c>
      <c r="AL169" s="129" t="str">
        <f t="shared" si="39"/>
        <v/>
      </c>
      <c r="AM169" s="129">
        <f t="shared" si="39"/>
        <v>0</v>
      </c>
      <c r="AN169" s="129" t="str">
        <f t="shared" si="39"/>
        <v/>
      </c>
      <c r="AO169" s="129">
        <f t="shared" si="39"/>
        <v>0</v>
      </c>
      <c r="AP169" s="129" t="str">
        <f t="shared" si="39"/>
        <v/>
      </c>
    </row>
    <row r="170" spans="3:44" x14ac:dyDescent="0.25">
      <c r="E170" s="28"/>
      <c r="F170" t="s">
        <v>196</v>
      </c>
      <c r="G170" s="13" t="s">
        <v>1083</v>
      </c>
      <c r="H170" s="105"/>
      <c r="J170" s="101">
        <f t="shared" ref="J170:AP170" si="40" xml:space="preserve"> IF( J$19 &lt;&gt; 0, J$20 * J58 * days_in_year / hundred / J$19, "")</f>
        <v>0</v>
      </c>
      <c r="K170" s="101">
        <f t="shared" si="40"/>
        <v>0</v>
      </c>
      <c r="L170" s="101">
        <f t="shared" si="40"/>
        <v>0</v>
      </c>
      <c r="M170" s="101">
        <f t="shared" si="40"/>
        <v>0</v>
      </c>
      <c r="N170" s="101">
        <f t="shared" si="40"/>
        <v>0</v>
      </c>
      <c r="O170" s="101">
        <f t="shared" si="40"/>
        <v>0</v>
      </c>
      <c r="P170" s="101">
        <f t="shared" si="40"/>
        <v>0</v>
      </c>
      <c r="Q170" s="101" t="str">
        <f t="shared" si="40"/>
        <v/>
      </c>
      <c r="R170" s="101">
        <f t="shared" si="40"/>
        <v>0</v>
      </c>
      <c r="S170" s="101">
        <f t="shared" si="40"/>
        <v>0</v>
      </c>
      <c r="T170" s="101">
        <f t="shared" si="40"/>
        <v>0</v>
      </c>
      <c r="U170" s="101">
        <f t="shared" si="40"/>
        <v>1584.4863424366845</v>
      </c>
      <c r="V170" s="101">
        <f t="shared" si="40"/>
        <v>0</v>
      </c>
      <c r="W170" s="101">
        <f t="shared" si="40"/>
        <v>0</v>
      </c>
      <c r="X170" s="101">
        <f t="shared" si="40"/>
        <v>0</v>
      </c>
      <c r="Y170" s="101">
        <f t="shared" si="40"/>
        <v>0</v>
      </c>
      <c r="Z170" s="101">
        <f t="shared" si="40"/>
        <v>0</v>
      </c>
      <c r="AA170" s="101">
        <f t="shared" si="40"/>
        <v>0</v>
      </c>
      <c r="AB170" s="101">
        <f t="shared" si="40"/>
        <v>0</v>
      </c>
      <c r="AC170" s="101">
        <f t="shared" si="40"/>
        <v>0</v>
      </c>
      <c r="AD170" s="101" t="str">
        <f t="shared" si="40"/>
        <v/>
      </c>
      <c r="AE170" s="101">
        <f t="shared" si="40"/>
        <v>0</v>
      </c>
      <c r="AF170" s="101" t="str">
        <f t="shared" si="40"/>
        <v/>
      </c>
      <c r="AG170" s="101">
        <f t="shared" si="40"/>
        <v>0</v>
      </c>
      <c r="AH170" s="101" t="str">
        <f t="shared" si="40"/>
        <v/>
      </c>
      <c r="AI170" s="101">
        <f t="shared" si="40"/>
        <v>0</v>
      </c>
      <c r="AJ170" s="101" t="str">
        <f t="shared" si="40"/>
        <v/>
      </c>
      <c r="AK170" s="101" t="str">
        <f t="shared" si="40"/>
        <v/>
      </c>
      <c r="AL170" s="101" t="str">
        <f t="shared" si="40"/>
        <v/>
      </c>
      <c r="AM170" s="101">
        <f t="shared" si="40"/>
        <v>0</v>
      </c>
      <c r="AN170" s="101" t="str">
        <f t="shared" si="40"/>
        <v/>
      </c>
      <c r="AO170" s="101">
        <f t="shared" si="40"/>
        <v>0</v>
      </c>
      <c r="AP170" s="101" t="str">
        <f t="shared" si="40"/>
        <v/>
      </c>
    </row>
    <row r="171" spans="3:44" x14ac:dyDescent="0.25">
      <c r="E171" s="28"/>
      <c r="F171" t="s">
        <v>197</v>
      </c>
      <c r="G171" s="13" t="s">
        <v>1083</v>
      </c>
      <c r="H171" s="105"/>
      <c r="J171" s="101">
        <f t="shared" ref="J171:AP171" si="41" xml:space="preserve"> IF( J$19 &lt;&gt; 0, J$21 * J59 * days_in_year / hundred / J$19, "")</f>
        <v>0</v>
      </c>
      <c r="K171" s="101">
        <f t="shared" si="41"/>
        <v>0</v>
      </c>
      <c r="L171" s="101">
        <f t="shared" si="41"/>
        <v>0</v>
      </c>
      <c r="M171" s="101">
        <f t="shared" si="41"/>
        <v>0</v>
      </c>
      <c r="N171" s="101">
        <f t="shared" si="41"/>
        <v>0</v>
      </c>
      <c r="O171" s="101">
        <f t="shared" si="41"/>
        <v>0</v>
      </c>
      <c r="P171" s="101">
        <f t="shared" si="41"/>
        <v>0</v>
      </c>
      <c r="Q171" s="101" t="str">
        <f t="shared" si="41"/>
        <v/>
      </c>
      <c r="R171" s="101">
        <f t="shared" si="41"/>
        <v>0</v>
      </c>
      <c r="S171" s="101">
        <f t="shared" si="41"/>
        <v>0</v>
      </c>
      <c r="T171" s="101">
        <f t="shared" si="41"/>
        <v>0</v>
      </c>
      <c r="U171" s="101">
        <f t="shared" si="41"/>
        <v>66.880349299639548</v>
      </c>
      <c r="V171" s="101">
        <f t="shared" si="41"/>
        <v>0</v>
      </c>
      <c r="W171" s="101">
        <f t="shared" si="41"/>
        <v>0</v>
      </c>
      <c r="X171" s="101">
        <f t="shared" si="41"/>
        <v>0</v>
      </c>
      <c r="Y171" s="101">
        <f t="shared" si="41"/>
        <v>0</v>
      </c>
      <c r="Z171" s="101">
        <f t="shared" si="41"/>
        <v>0</v>
      </c>
      <c r="AA171" s="101">
        <f t="shared" si="41"/>
        <v>0</v>
      </c>
      <c r="AB171" s="101">
        <f t="shared" si="41"/>
        <v>0</v>
      </c>
      <c r="AC171" s="101">
        <f t="shared" si="41"/>
        <v>0</v>
      </c>
      <c r="AD171" s="101" t="str">
        <f t="shared" si="41"/>
        <v/>
      </c>
      <c r="AE171" s="101">
        <f t="shared" si="41"/>
        <v>0</v>
      </c>
      <c r="AF171" s="101" t="str">
        <f t="shared" si="41"/>
        <v/>
      </c>
      <c r="AG171" s="101">
        <f t="shared" si="41"/>
        <v>0</v>
      </c>
      <c r="AH171" s="101" t="str">
        <f t="shared" si="41"/>
        <v/>
      </c>
      <c r="AI171" s="101">
        <f t="shared" si="41"/>
        <v>0</v>
      </c>
      <c r="AJ171" s="101" t="str">
        <f t="shared" si="41"/>
        <v/>
      </c>
      <c r="AK171" s="101" t="str">
        <f t="shared" si="41"/>
        <v/>
      </c>
      <c r="AL171" s="101" t="str">
        <f t="shared" si="41"/>
        <v/>
      </c>
      <c r="AM171" s="101">
        <f t="shared" si="41"/>
        <v>0</v>
      </c>
      <c r="AN171" s="101" t="str">
        <f t="shared" si="41"/>
        <v/>
      </c>
      <c r="AO171" s="101">
        <f t="shared" si="41"/>
        <v>0</v>
      </c>
      <c r="AP171" s="101" t="str">
        <f t="shared" si="41"/>
        <v/>
      </c>
    </row>
    <row r="172" spans="3:44" x14ac:dyDescent="0.25">
      <c r="E172" s="28"/>
      <c r="F172" s="23" t="s">
        <v>198</v>
      </c>
      <c r="G172" s="85" t="s">
        <v>1083</v>
      </c>
      <c r="H172" s="248"/>
      <c r="I172" s="23"/>
      <c r="J172" s="129">
        <f t="shared" ref="J172:AP172" si="42" xml:space="preserve"> IF( J$19 &lt;&gt; 0, J$22 * thousand * J60 / hundred / J$19, "")</f>
        <v>0</v>
      </c>
      <c r="K172" s="129">
        <f t="shared" si="42"/>
        <v>0</v>
      </c>
      <c r="L172" s="129">
        <f t="shared" si="42"/>
        <v>0</v>
      </c>
      <c r="M172" s="129">
        <f t="shared" si="42"/>
        <v>0</v>
      </c>
      <c r="N172" s="129">
        <f t="shared" si="42"/>
        <v>0</v>
      </c>
      <c r="O172" s="129">
        <f t="shared" si="42"/>
        <v>0</v>
      </c>
      <c r="P172" s="129">
        <f t="shared" si="42"/>
        <v>0</v>
      </c>
      <c r="Q172" s="129" t="str">
        <f t="shared" si="42"/>
        <v/>
      </c>
      <c r="R172" s="129">
        <f t="shared" si="42"/>
        <v>0</v>
      </c>
      <c r="S172" s="129">
        <f t="shared" si="42"/>
        <v>0</v>
      </c>
      <c r="T172" s="129">
        <f t="shared" si="42"/>
        <v>0</v>
      </c>
      <c r="U172" s="129">
        <f t="shared" si="42"/>
        <v>39.052369464184586</v>
      </c>
      <c r="V172" s="129">
        <f t="shared" si="42"/>
        <v>0</v>
      </c>
      <c r="W172" s="129">
        <f t="shared" si="42"/>
        <v>0</v>
      </c>
      <c r="X172" s="129">
        <f t="shared" si="42"/>
        <v>0</v>
      </c>
      <c r="Y172" s="129">
        <f t="shared" si="42"/>
        <v>0</v>
      </c>
      <c r="Z172" s="129">
        <f t="shared" si="42"/>
        <v>0</v>
      </c>
      <c r="AA172" s="129">
        <f t="shared" si="42"/>
        <v>0</v>
      </c>
      <c r="AB172" s="129">
        <f t="shared" si="42"/>
        <v>0</v>
      </c>
      <c r="AC172" s="129">
        <f t="shared" si="42"/>
        <v>0</v>
      </c>
      <c r="AD172" s="129" t="str">
        <f t="shared" si="42"/>
        <v/>
      </c>
      <c r="AE172" s="129">
        <f t="shared" si="42"/>
        <v>40.953648073663103</v>
      </c>
      <c r="AF172" s="129" t="str">
        <f t="shared" si="42"/>
        <v/>
      </c>
      <c r="AG172" s="129">
        <f t="shared" si="42"/>
        <v>79.655398545888673</v>
      </c>
      <c r="AH172" s="129" t="str">
        <f t="shared" si="42"/>
        <v/>
      </c>
      <c r="AI172" s="129">
        <f t="shared" si="42"/>
        <v>0</v>
      </c>
      <c r="AJ172" s="129" t="str">
        <f t="shared" si="42"/>
        <v/>
      </c>
      <c r="AK172" s="129" t="str">
        <f t="shared" si="42"/>
        <v/>
      </c>
      <c r="AL172" s="129" t="str">
        <f t="shared" si="42"/>
        <v/>
      </c>
      <c r="AM172" s="129">
        <f t="shared" si="42"/>
        <v>0</v>
      </c>
      <c r="AN172" s="129" t="str">
        <f t="shared" si="42"/>
        <v/>
      </c>
      <c r="AO172" s="129">
        <f t="shared" si="42"/>
        <v>0</v>
      </c>
      <c r="AP172" s="129" t="str">
        <f t="shared" si="42"/>
        <v/>
      </c>
    </row>
    <row r="173" spans="3:44" x14ac:dyDescent="0.25">
      <c r="E173" s="28"/>
      <c r="F173" s="111" t="s">
        <v>101</v>
      </c>
      <c r="G173" s="244" t="s">
        <v>1083</v>
      </c>
      <c r="H173" s="249"/>
      <c r="I173" s="111"/>
      <c r="J173" s="157">
        <f t="shared" ref="J173:AP173" si="43">SUM(J166:J172)</f>
        <v>111.55005145974943</v>
      </c>
      <c r="K173" s="157">
        <f t="shared" si="43"/>
        <v>181.34859291246369</v>
      </c>
      <c r="L173" s="157">
        <f t="shared" si="43"/>
        <v>93.487384227246693</v>
      </c>
      <c r="M173" s="157">
        <f t="shared" si="43"/>
        <v>379.25548267858926</v>
      </c>
      <c r="N173" s="157">
        <f t="shared" si="43"/>
        <v>568.16944994360858</v>
      </c>
      <c r="O173" s="157">
        <f t="shared" si="43"/>
        <v>183.98566458910352</v>
      </c>
      <c r="P173" s="157">
        <f t="shared" si="43"/>
        <v>2451.503856757472</v>
      </c>
      <c r="Q173" s="157">
        <f t="shared" si="43"/>
        <v>0</v>
      </c>
      <c r="R173" s="157">
        <f t="shared" si="43"/>
        <v>0</v>
      </c>
      <c r="S173" s="157">
        <f t="shared" si="43"/>
        <v>147.6082436137313</v>
      </c>
      <c r="T173" s="157">
        <f t="shared" si="43"/>
        <v>1987.3842831941367</v>
      </c>
      <c r="U173" s="157">
        <f t="shared" si="43"/>
        <v>6679.7037607624598</v>
      </c>
      <c r="V173" s="157">
        <f t="shared" si="43"/>
        <v>0</v>
      </c>
      <c r="W173" s="157">
        <f t="shared" si="43"/>
        <v>0</v>
      </c>
      <c r="X173" s="157">
        <f t="shared" si="43"/>
        <v>1819.085560314184</v>
      </c>
      <c r="Y173" s="157">
        <f t="shared" si="43"/>
        <v>253.54847281510334</v>
      </c>
      <c r="Z173" s="157">
        <f t="shared" si="43"/>
        <v>100.91413077963948</v>
      </c>
      <c r="AA173" s="157">
        <f t="shared" si="43"/>
        <v>247.71245249372046</v>
      </c>
      <c r="AB173" s="157">
        <f t="shared" si="43"/>
        <v>206139.7690963663</v>
      </c>
      <c r="AC173" s="157">
        <f t="shared" si="43"/>
        <v>-203.66508370751507</v>
      </c>
      <c r="AD173" s="157">
        <f t="shared" si="43"/>
        <v>0</v>
      </c>
      <c r="AE173" s="157">
        <f t="shared" si="43"/>
        <v>-5876.5864396142597</v>
      </c>
      <c r="AF173" s="157">
        <f t="shared" si="43"/>
        <v>0</v>
      </c>
      <c r="AG173" s="157">
        <f t="shared" si="43"/>
        <v>-15988.728594029531</v>
      </c>
      <c r="AH173" s="157">
        <f t="shared" si="43"/>
        <v>0</v>
      </c>
      <c r="AI173" s="157">
        <f t="shared" si="43"/>
        <v>0</v>
      </c>
      <c r="AJ173" s="157">
        <f t="shared" si="43"/>
        <v>0</v>
      </c>
      <c r="AK173" s="157">
        <f t="shared" si="43"/>
        <v>0</v>
      </c>
      <c r="AL173" s="157">
        <f t="shared" si="43"/>
        <v>0</v>
      </c>
      <c r="AM173" s="157">
        <f t="shared" si="43"/>
        <v>0</v>
      </c>
      <c r="AN173" s="157">
        <f t="shared" si="43"/>
        <v>0</v>
      </c>
      <c r="AO173" s="157">
        <f t="shared" si="43"/>
        <v>0</v>
      </c>
      <c r="AP173" s="157">
        <f t="shared" si="43"/>
        <v>0</v>
      </c>
    </row>
    <row r="174" spans="3:44" x14ac:dyDescent="0.25">
      <c r="D174" s="28"/>
      <c r="G174" s="13"/>
      <c r="J174" s="92"/>
      <c r="K174" s="92"/>
      <c r="L174" s="92"/>
      <c r="M174" s="92"/>
      <c r="N174" s="92"/>
      <c r="O174" s="92"/>
      <c r="P174" s="92"/>
      <c r="Q174" s="92"/>
      <c r="R174" s="92"/>
      <c r="S174" s="92"/>
      <c r="T174" s="92"/>
      <c r="U174" s="92"/>
      <c r="V174" s="92"/>
      <c r="W174" s="92"/>
      <c r="X174" s="92"/>
      <c r="Y174" s="92"/>
      <c r="Z174" s="92"/>
      <c r="AA174" s="92"/>
      <c r="AB174" s="92"/>
      <c r="AC174" s="92"/>
      <c r="AD174" s="92"/>
      <c r="AE174" s="92"/>
      <c r="AF174" s="92"/>
      <c r="AG174" s="92"/>
      <c r="AH174" s="92"/>
      <c r="AI174" s="92"/>
      <c r="AJ174" s="92"/>
      <c r="AK174" s="92"/>
      <c r="AL174" s="92"/>
      <c r="AM174" s="92"/>
      <c r="AN174" s="92"/>
      <c r="AO174" s="92"/>
      <c r="AP174" s="92"/>
    </row>
    <row r="175" spans="3:44" x14ac:dyDescent="0.25">
      <c r="E175" s="32" t="s">
        <v>1084</v>
      </c>
      <c r="G175" s="13"/>
      <c r="H175" s="131"/>
      <c r="J175" s="92"/>
      <c r="K175" s="92"/>
      <c r="L175" s="92"/>
      <c r="M175" s="92"/>
      <c r="N175" s="92"/>
      <c r="O175" s="92"/>
      <c r="P175" s="92"/>
      <c r="Q175" s="92"/>
      <c r="R175" s="92"/>
      <c r="S175" s="92"/>
      <c r="T175" s="92"/>
      <c r="U175" s="92"/>
      <c r="V175" s="92"/>
      <c r="W175" s="92"/>
      <c r="X175" s="92"/>
      <c r="Y175" s="92"/>
      <c r="Z175" s="92"/>
      <c r="AA175" s="92"/>
      <c r="AB175" s="92"/>
      <c r="AC175" s="92"/>
      <c r="AD175" s="92"/>
      <c r="AE175" s="92"/>
      <c r="AF175" s="92"/>
      <c r="AG175" s="92"/>
      <c r="AH175" s="92"/>
      <c r="AI175" s="92"/>
      <c r="AJ175" s="92"/>
      <c r="AK175" s="92"/>
      <c r="AL175" s="92"/>
      <c r="AM175" s="92"/>
      <c r="AN175" s="92"/>
      <c r="AO175" s="92"/>
      <c r="AP175" s="92"/>
    </row>
    <row r="176" spans="3:44" x14ac:dyDescent="0.25">
      <c r="E176" s="29" t="s">
        <v>1085</v>
      </c>
      <c r="J176" s="92"/>
      <c r="K176" s="92"/>
      <c r="L176" s="92"/>
      <c r="M176" s="92"/>
      <c r="N176" s="92"/>
      <c r="O176" s="92"/>
      <c r="P176" s="92"/>
      <c r="Q176" s="92"/>
      <c r="R176" s="92"/>
      <c r="S176" s="92"/>
      <c r="T176" s="92"/>
      <c r="U176" s="92"/>
      <c r="V176" s="92"/>
      <c r="W176" s="92"/>
      <c r="X176" s="92"/>
      <c r="Y176" s="92"/>
      <c r="Z176" s="92"/>
      <c r="AA176" s="92"/>
      <c r="AB176" s="92"/>
      <c r="AC176" s="92"/>
      <c r="AD176" s="92"/>
      <c r="AE176" s="92"/>
      <c r="AF176" s="92"/>
      <c r="AG176" s="92"/>
      <c r="AH176" s="92"/>
      <c r="AI176" s="92"/>
      <c r="AJ176" s="92"/>
      <c r="AK176" s="92"/>
      <c r="AL176" s="92"/>
      <c r="AM176" s="92"/>
      <c r="AN176" s="92"/>
      <c r="AO176" s="92"/>
      <c r="AP176" s="92"/>
    </row>
    <row r="177" spans="3:44" x14ac:dyDescent="0.25">
      <c r="C177" s="91"/>
      <c r="F177" s="23" t="s">
        <v>192</v>
      </c>
      <c r="G177" s="85" t="s">
        <v>1083</v>
      </c>
      <c r="H177" s="248"/>
      <c r="I177" s="23"/>
      <c r="J177" s="129">
        <f t="shared" ref="J177:AP177" si="44" xml:space="preserve"> IF( J$19 &lt;&gt; 0, J$16 * thousand * J63 / hundred / J$19,"")</f>
        <v>55.871537466278376</v>
      </c>
      <c r="K177" s="129">
        <f t="shared" si="44"/>
        <v>64.918243805804607</v>
      </c>
      <c r="L177" s="129">
        <f t="shared" si="44"/>
        <v>55.435583984539377</v>
      </c>
      <c r="M177" s="129">
        <f t="shared" si="44"/>
        <v>210.20713528560256</v>
      </c>
      <c r="N177" s="129">
        <f t="shared" si="44"/>
        <v>246.44270446863948</v>
      </c>
      <c r="O177" s="129">
        <f t="shared" si="44"/>
        <v>109.00718058727449</v>
      </c>
      <c r="P177" s="129">
        <f t="shared" si="44"/>
        <v>1102.3858669057677</v>
      </c>
      <c r="Q177" s="129" t="str">
        <f t="shared" si="44"/>
        <v/>
      </c>
      <c r="R177" s="129">
        <f t="shared" si="44"/>
        <v>0</v>
      </c>
      <c r="S177" s="129">
        <f t="shared" si="44"/>
        <v>33.636138368069872</v>
      </c>
      <c r="T177" s="129">
        <f t="shared" si="44"/>
        <v>392.44853291354929</v>
      </c>
      <c r="U177" s="129">
        <f t="shared" si="44"/>
        <v>872.07783291230407</v>
      </c>
      <c r="V177" s="129">
        <f t="shared" si="44"/>
        <v>4200.4712681366345</v>
      </c>
      <c r="W177" s="129">
        <f t="shared" si="44"/>
        <v>3297.5004685926892</v>
      </c>
      <c r="X177" s="129">
        <f t="shared" si="44"/>
        <v>1078.3378805556231</v>
      </c>
      <c r="Y177" s="129">
        <f t="shared" si="44"/>
        <v>150.28941074411918</v>
      </c>
      <c r="Z177" s="129">
        <f t="shared" si="44"/>
        <v>59.797256650565522</v>
      </c>
      <c r="AA177" s="129">
        <f t="shared" si="44"/>
        <v>146.82807172223804</v>
      </c>
      <c r="AB177" s="129">
        <f t="shared" si="44"/>
        <v>27503.582234501082</v>
      </c>
      <c r="AC177" s="129">
        <f t="shared" si="44"/>
        <v>-203.66508370751507</v>
      </c>
      <c r="AD177" s="129" t="str">
        <f t="shared" si="44"/>
        <v/>
      </c>
      <c r="AE177" s="129">
        <f t="shared" si="44"/>
        <v>-5917.540087687923</v>
      </c>
      <c r="AF177" s="129" t="str">
        <f t="shared" si="44"/>
        <v/>
      </c>
      <c r="AG177" s="129">
        <f t="shared" si="44"/>
        <v>-7903.2420571629082</v>
      </c>
      <c r="AH177" s="129" t="str">
        <f t="shared" si="44"/>
        <v/>
      </c>
      <c r="AI177" s="129">
        <f t="shared" si="44"/>
        <v>-20236.54464</v>
      </c>
      <c r="AJ177" s="129" t="str">
        <f t="shared" si="44"/>
        <v/>
      </c>
      <c r="AK177" s="129" t="str">
        <f t="shared" si="44"/>
        <v/>
      </c>
      <c r="AL177" s="129" t="str">
        <f t="shared" si="44"/>
        <v/>
      </c>
      <c r="AM177" s="129">
        <f t="shared" si="44"/>
        <v>-13720.752615850313</v>
      </c>
      <c r="AN177" s="129" t="str">
        <f t="shared" si="44"/>
        <v/>
      </c>
      <c r="AO177" s="129">
        <f t="shared" si="44"/>
        <v>-30916.096864910891</v>
      </c>
      <c r="AP177" s="129" t="str">
        <f t="shared" si="44"/>
        <v/>
      </c>
    </row>
    <row r="178" spans="3:44" x14ac:dyDescent="0.25">
      <c r="C178" s="91"/>
      <c r="F178" t="s">
        <v>193</v>
      </c>
      <c r="G178" s="13" t="s">
        <v>1083</v>
      </c>
      <c r="H178" s="105"/>
      <c r="J178" s="101">
        <f t="shared" ref="J178:AP178" si="45" xml:space="preserve"> IF( J$19 &lt;&gt; 0, J$17 * thousand * J64 / hundred / J$19, "")</f>
        <v>0</v>
      </c>
      <c r="K178" s="101">
        <f t="shared" si="45"/>
        <v>32.310702427975436</v>
      </c>
      <c r="L178" s="101">
        <f t="shared" si="45"/>
        <v>0</v>
      </c>
      <c r="M178" s="101">
        <f t="shared" si="45"/>
        <v>0</v>
      </c>
      <c r="N178" s="101">
        <f t="shared" si="45"/>
        <v>75.696573795774185</v>
      </c>
      <c r="O178" s="101">
        <f t="shared" si="45"/>
        <v>0</v>
      </c>
      <c r="P178" s="101">
        <f t="shared" si="45"/>
        <v>224.65948305272238</v>
      </c>
      <c r="Q178" s="101" t="str">
        <f t="shared" si="45"/>
        <v/>
      </c>
      <c r="R178" s="101">
        <f t="shared" si="45"/>
        <v>0</v>
      </c>
      <c r="S178" s="101">
        <f t="shared" si="45"/>
        <v>23.014134784371805</v>
      </c>
      <c r="T178" s="101">
        <f t="shared" si="45"/>
        <v>512.03530875363697</v>
      </c>
      <c r="U178" s="101">
        <f t="shared" si="45"/>
        <v>1282.8667659074861</v>
      </c>
      <c r="V178" s="101">
        <f t="shared" si="45"/>
        <v>7779.2114570587455</v>
      </c>
      <c r="W178" s="101">
        <f t="shared" si="45"/>
        <v>7265.0042877231217</v>
      </c>
      <c r="X178" s="101">
        <f t="shared" si="45"/>
        <v>0</v>
      </c>
      <c r="Y178" s="101">
        <f t="shared" si="45"/>
        <v>0</v>
      </c>
      <c r="Z178" s="101">
        <f t="shared" si="45"/>
        <v>0</v>
      </c>
      <c r="AA178" s="101">
        <f t="shared" si="45"/>
        <v>0</v>
      </c>
      <c r="AB178" s="101">
        <f t="shared" si="45"/>
        <v>22323.211078823686</v>
      </c>
      <c r="AC178" s="101">
        <f t="shared" si="45"/>
        <v>0</v>
      </c>
      <c r="AD178" s="101" t="str">
        <f t="shared" si="45"/>
        <v/>
      </c>
      <c r="AE178" s="101">
        <f t="shared" si="45"/>
        <v>0</v>
      </c>
      <c r="AF178" s="101" t="str">
        <f t="shared" si="45"/>
        <v/>
      </c>
      <c r="AG178" s="101">
        <f t="shared" si="45"/>
        <v>-5311.7999792787132</v>
      </c>
      <c r="AH178" s="101" t="str">
        <f t="shared" si="45"/>
        <v/>
      </c>
      <c r="AI178" s="101">
        <f t="shared" si="45"/>
        <v>0</v>
      </c>
      <c r="AJ178" s="101" t="str">
        <f t="shared" si="45"/>
        <v/>
      </c>
      <c r="AK178" s="101" t="str">
        <f t="shared" si="45"/>
        <v/>
      </c>
      <c r="AL178" s="101" t="str">
        <f t="shared" si="45"/>
        <v/>
      </c>
      <c r="AM178" s="101">
        <f t="shared" si="45"/>
        <v>0</v>
      </c>
      <c r="AN178" s="101" t="str">
        <f t="shared" si="45"/>
        <v/>
      </c>
      <c r="AO178" s="101">
        <f t="shared" si="45"/>
        <v>-18906.627744755639</v>
      </c>
      <c r="AP178" s="101" t="str">
        <f t="shared" si="45"/>
        <v/>
      </c>
    </row>
    <row r="179" spans="3:44" x14ac:dyDescent="0.25">
      <c r="C179" s="91"/>
      <c r="F179" t="s">
        <v>194</v>
      </c>
      <c r="G179" s="13" t="s">
        <v>1083</v>
      </c>
      <c r="H179" s="105"/>
      <c r="J179" s="101">
        <f t="shared" ref="J179:AP179" si="46" xml:space="preserve"> IF( J$19 &lt;&gt; 0, J$18 * thousand * J65 / hundred / J$19, "")</f>
        <v>0</v>
      </c>
      <c r="K179" s="101">
        <f t="shared" si="46"/>
        <v>0</v>
      </c>
      <c r="L179" s="101">
        <f t="shared" si="46"/>
        <v>0</v>
      </c>
      <c r="M179" s="101">
        <f t="shared" si="46"/>
        <v>0</v>
      </c>
      <c r="N179" s="101">
        <f t="shared" si="46"/>
        <v>0</v>
      </c>
      <c r="O179" s="101">
        <f t="shared" si="46"/>
        <v>0</v>
      </c>
      <c r="P179" s="101">
        <f t="shared" si="46"/>
        <v>0</v>
      </c>
      <c r="Q179" s="101" t="str">
        <f t="shared" si="46"/>
        <v/>
      </c>
      <c r="R179" s="101">
        <f t="shared" si="46"/>
        <v>0</v>
      </c>
      <c r="S179" s="101">
        <f t="shared" si="46"/>
        <v>20.559281374838651</v>
      </c>
      <c r="T179" s="101">
        <f t="shared" si="46"/>
        <v>259.11126188771567</v>
      </c>
      <c r="U179" s="101">
        <f t="shared" si="46"/>
        <v>760.00492136935907</v>
      </c>
      <c r="V179" s="101">
        <f t="shared" si="46"/>
        <v>6762.8014683995589</v>
      </c>
      <c r="W179" s="101">
        <f t="shared" si="46"/>
        <v>6073.9054851350284</v>
      </c>
      <c r="X179" s="101">
        <f t="shared" si="46"/>
        <v>0</v>
      </c>
      <c r="Y179" s="101">
        <f t="shared" si="46"/>
        <v>0</v>
      </c>
      <c r="Z179" s="101">
        <f t="shared" si="46"/>
        <v>0</v>
      </c>
      <c r="AA179" s="101">
        <f t="shared" si="46"/>
        <v>0</v>
      </c>
      <c r="AB179" s="101">
        <f t="shared" si="46"/>
        <v>72348.151223526191</v>
      </c>
      <c r="AC179" s="101">
        <f t="shared" si="46"/>
        <v>0</v>
      </c>
      <c r="AD179" s="101" t="str">
        <f t="shared" si="46"/>
        <v/>
      </c>
      <c r="AE179" s="101">
        <f t="shared" si="46"/>
        <v>0</v>
      </c>
      <c r="AF179" s="101" t="str">
        <f t="shared" si="46"/>
        <v/>
      </c>
      <c r="AG179" s="101">
        <f t="shared" si="46"/>
        <v>-2853.3419561338001</v>
      </c>
      <c r="AH179" s="101" t="str">
        <f t="shared" si="46"/>
        <v/>
      </c>
      <c r="AI179" s="101">
        <f t="shared" si="46"/>
        <v>0</v>
      </c>
      <c r="AJ179" s="101" t="str">
        <f t="shared" si="46"/>
        <v/>
      </c>
      <c r="AK179" s="101" t="str">
        <f t="shared" si="46"/>
        <v/>
      </c>
      <c r="AL179" s="101" t="str">
        <f t="shared" si="46"/>
        <v/>
      </c>
      <c r="AM179" s="101">
        <f t="shared" si="46"/>
        <v>0</v>
      </c>
      <c r="AN179" s="101" t="str">
        <f t="shared" si="46"/>
        <v/>
      </c>
      <c r="AO179" s="101">
        <f t="shared" si="46"/>
        <v>-8284.3612860094636</v>
      </c>
      <c r="AP179" s="101" t="str">
        <f t="shared" si="46"/>
        <v/>
      </c>
    </row>
    <row r="180" spans="3:44" x14ac:dyDescent="0.25">
      <c r="C180" s="91"/>
      <c r="F180" s="23" t="s">
        <v>195</v>
      </c>
      <c r="G180" s="85" t="s">
        <v>1083</v>
      </c>
      <c r="H180" s="248"/>
      <c r="I180" s="23"/>
      <c r="J180" s="129">
        <f t="shared" ref="J180:AP180" si="47" xml:space="preserve"> IF( J$19 &lt;&gt; 0, J$19 * J66 * days_in_year / hundred / J$19, "")</f>
        <v>10.256499999999999</v>
      </c>
      <c r="K180" s="129">
        <f t="shared" si="47"/>
        <v>10.256499999999999</v>
      </c>
      <c r="L180" s="129">
        <f t="shared" si="47"/>
        <v>0</v>
      </c>
      <c r="M180" s="129">
        <f t="shared" si="47"/>
        <v>14.490500000000001</v>
      </c>
      <c r="N180" s="129">
        <f t="shared" si="47"/>
        <v>14.490500000000001</v>
      </c>
      <c r="O180" s="129">
        <f t="shared" si="47"/>
        <v>0</v>
      </c>
      <c r="P180" s="129">
        <f t="shared" si="47"/>
        <v>125.81550000000001</v>
      </c>
      <c r="Q180" s="129" t="str">
        <f t="shared" si="47"/>
        <v/>
      </c>
      <c r="R180" s="129">
        <f t="shared" si="47"/>
        <v>0</v>
      </c>
      <c r="S180" s="129">
        <f t="shared" si="47"/>
        <v>10.256500000000001</v>
      </c>
      <c r="T180" s="129">
        <f t="shared" si="47"/>
        <v>14.490500000000001</v>
      </c>
      <c r="U180" s="129">
        <f t="shared" si="47"/>
        <v>40.9895</v>
      </c>
      <c r="V180" s="129">
        <f t="shared" si="47"/>
        <v>112.71199999999999</v>
      </c>
      <c r="W180" s="129">
        <f t="shared" si="47"/>
        <v>722.6635</v>
      </c>
      <c r="X180" s="129">
        <f t="shared" si="47"/>
        <v>0</v>
      </c>
      <c r="Y180" s="129">
        <f t="shared" si="47"/>
        <v>0</v>
      </c>
      <c r="Z180" s="129">
        <f t="shared" si="47"/>
        <v>0</v>
      </c>
      <c r="AA180" s="129">
        <f t="shared" si="47"/>
        <v>0</v>
      </c>
      <c r="AB180" s="129">
        <f t="shared" si="47"/>
        <v>0</v>
      </c>
      <c r="AC180" s="129">
        <f t="shared" si="47"/>
        <v>0</v>
      </c>
      <c r="AD180" s="129" t="str">
        <f t="shared" si="47"/>
        <v/>
      </c>
      <c r="AE180" s="129">
        <f t="shared" si="47"/>
        <v>0</v>
      </c>
      <c r="AF180" s="129" t="str">
        <f t="shared" si="47"/>
        <v/>
      </c>
      <c r="AG180" s="129">
        <f t="shared" si="47"/>
        <v>0</v>
      </c>
      <c r="AH180" s="129" t="str">
        <f t="shared" si="47"/>
        <v/>
      </c>
      <c r="AI180" s="129">
        <f t="shared" si="47"/>
        <v>0</v>
      </c>
      <c r="AJ180" s="129" t="str">
        <f t="shared" si="47"/>
        <v/>
      </c>
      <c r="AK180" s="129" t="str">
        <f t="shared" si="47"/>
        <v/>
      </c>
      <c r="AL180" s="129" t="str">
        <f t="shared" si="47"/>
        <v/>
      </c>
      <c r="AM180" s="129">
        <f t="shared" si="47"/>
        <v>0</v>
      </c>
      <c r="AN180" s="129" t="str">
        <f t="shared" si="47"/>
        <v/>
      </c>
      <c r="AO180" s="129">
        <f t="shared" si="47"/>
        <v>0</v>
      </c>
      <c r="AP180" s="129" t="str">
        <f t="shared" si="47"/>
        <v/>
      </c>
    </row>
    <row r="181" spans="3:44" x14ac:dyDescent="0.25">
      <c r="C181" s="91"/>
      <c r="F181" t="s">
        <v>196</v>
      </c>
      <c r="G181" s="13" t="s">
        <v>1083</v>
      </c>
      <c r="H181" s="105"/>
      <c r="J181" s="101">
        <f t="shared" ref="J181:AP181" si="48" xml:space="preserve"> IF( J$19 &lt;&gt; 0, J$20 * J67 * days_in_year / hundred / J$19, "")</f>
        <v>0</v>
      </c>
      <c r="K181" s="101">
        <f t="shared" si="48"/>
        <v>0</v>
      </c>
      <c r="L181" s="101">
        <f t="shared" si="48"/>
        <v>0</v>
      </c>
      <c r="M181" s="101">
        <f t="shared" si="48"/>
        <v>0</v>
      </c>
      <c r="N181" s="101">
        <f t="shared" si="48"/>
        <v>0</v>
      </c>
      <c r="O181" s="101">
        <f t="shared" si="48"/>
        <v>0</v>
      </c>
      <c r="P181" s="101">
        <f t="shared" si="48"/>
        <v>0</v>
      </c>
      <c r="Q181" s="101" t="str">
        <f t="shared" si="48"/>
        <v/>
      </c>
      <c r="R181" s="101">
        <f t="shared" si="48"/>
        <v>0</v>
      </c>
      <c r="S181" s="101">
        <f t="shared" si="48"/>
        <v>0</v>
      </c>
      <c r="T181" s="101">
        <f t="shared" si="48"/>
        <v>0</v>
      </c>
      <c r="U181" s="101">
        <f t="shared" si="48"/>
        <v>938.43089924077458</v>
      </c>
      <c r="V181" s="101">
        <f t="shared" si="48"/>
        <v>6089.9475925858924</v>
      </c>
      <c r="W181" s="101">
        <f t="shared" si="48"/>
        <v>14643.096695247254</v>
      </c>
      <c r="X181" s="101">
        <f t="shared" si="48"/>
        <v>0</v>
      </c>
      <c r="Y181" s="101">
        <f t="shared" si="48"/>
        <v>0</v>
      </c>
      <c r="Z181" s="101">
        <f t="shared" si="48"/>
        <v>0</v>
      </c>
      <c r="AA181" s="101">
        <f t="shared" si="48"/>
        <v>0</v>
      </c>
      <c r="AB181" s="101">
        <f t="shared" si="48"/>
        <v>0</v>
      </c>
      <c r="AC181" s="101">
        <f t="shared" si="48"/>
        <v>0</v>
      </c>
      <c r="AD181" s="101" t="str">
        <f t="shared" si="48"/>
        <v/>
      </c>
      <c r="AE181" s="101">
        <f t="shared" si="48"/>
        <v>0</v>
      </c>
      <c r="AF181" s="101" t="str">
        <f t="shared" si="48"/>
        <v/>
      </c>
      <c r="AG181" s="101">
        <f t="shared" si="48"/>
        <v>0</v>
      </c>
      <c r="AH181" s="101" t="str">
        <f t="shared" si="48"/>
        <v/>
      </c>
      <c r="AI181" s="101">
        <f t="shared" si="48"/>
        <v>0</v>
      </c>
      <c r="AJ181" s="101" t="str">
        <f t="shared" si="48"/>
        <v/>
      </c>
      <c r="AK181" s="101" t="str">
        <f t="shared" si="48"/>
        <v/>
      </c>
      <c r="AL181" s="101" t="str">
        <f t="shared" si="48"/>
        <v/>
      </c>
      <c r="AM181" s="101">
        <f t="shared" si="48"/>
        <v>0</v>
      </c>
      <c r="AN181" s="101" t="str">
        <f t="shared" si="48"/>
        <v/>
      </c>
      <c r="AO181" s="101">
        <f t="shared" si="48"/>
        <v>0</v>
      </c>
      <c r="AP181" s="101" t="str">
        <f t="shared" si="48"/>
        <v/>
      </c>
    </row>
    <row r="182" spans="3:44" x14ac:dyDescent="0.25">
      <c r="C182" s="91"/>
      <c r="F182" t="s">
        <v>197</v>
      </c>
      <c r="G182" s="13" t="s">
        <v>1083</v>
      </c>
      <c r="H182" s="105"/>
      <c r="J182" s="101">
        <f t="shared" ref="J182:AP182" si="49" xml:space="preserve"> IF( J$19 &lt;&gt; 0, J$21 * J68 * days_in_year / hundred / J$19, "")</f>
        <v>0</v>
      </c>
      <c r="K182" s="101">
        <f t="shared" si="49"/>
        <v>0</v>
      </c>
      <c r="L182" s="101">
        <f t="shared" si="49"/>
        <v>0</v>
      </c>
      <c r="M182" s="101">
        <f t="shared" si="49"/>
        <v>0</v>
      </c>
      <c r="N182" s="101">
        <f t="shared" si="49"/>
        <v>0</v>
      </c>
      <c r="O182" s="101">
        <f t="shared" si="49"/>
        <v>0</v>
      </c>
      <c r="P182" s="101">
        <f t="shared" si="49"/>
        <v>0</v>
      </c>
      <c r="Q182" s="101" t="str">
        <f t="shared" si="49"/>
        <v/>
      </c>
      <c r="R182" s="101">
        <f t="shared" si="49"/>
        <v>0</v>
      </c>
      <c r="S182" s="101">
        <f t="shared" si="49"/>
        <v>0</v>
      </c>
      <c r="T182" s="101">
        <f t="shared" si="49"/>
        <v>0</v>
      </c>
      <c r="U182" s="101">
        <f t="shared" si="49"/>
        <v>39.672946262022805</v>
      </c>
      <c r="V182" s="101">
        <f t="shared" si="49"/>
        <v>330.10525460809049</v>
      </c>
      <c r="W182" s="101">
        <f t="shared" si="49"/>
        <v>459.97360208987703</v>
      </c>
      <c r="X182" s="101">
        <f t="shared" si="49"/>
        <v>0</v>
      </c>
      <c r="Y182" s="101">
        <f t="shared" si="49"/>
        <v>0</v>
      </c>
      <c r="Z182" s="101">
        <f t="shared" si="49"/>
        <v>0</v>
      </c>
      <c r="AA182" s="101">
        <f t="shared" si="49"/>
        <v>0</v>
      </c>
      <c r="AB182" s="101">
        <f t="shared" si="49"/>
        <v>0</v>
      </c>
      <c r="AC182" s="101">
        <f t="shared" si="49"/>
        <v>0</v>
      </c>
      <c r="AD182" s="101" t="str">
        <f t="shared" si="49"/>
        <v/>
      </c>
      <c r="AE182" s="101">
        <f t="shared" si="49"/>
        <v>0</v>
      </c>
      <c r="AF182" s="101" t="str">
        <f t="shared" si="49"/>
        <v/>
      </c>
      <c r="AG182" s="101">
        <f t="shared" si="49"/>
        <v>0</v>
      </c>
      <c r="AH182" s="101" t="str">
        <f t="shared" si="49"/>
        <v/>
      </c>
      <c r="AI182" s="101">
        <f t="shared" si="49"/>
        <v>0</v>
      </c>
      <c r="AJ182" s="101" t="str">
        <f t="shared" si="49"/>
        <v/>
      </c>
      <c r="AK182" s="101" t="str">
        <f t="shared" si="49"/>
        <v/>
      </c>
      <c r="AL182" s="101" t="str">
        <f t="shared" si="49"/>
        <v/>
      </c>
      <c r="AM182" s="101">
        <f t="shared" si="49"/>
        <v>0</v>
      </c>
      <c r="AN182" s="101" t="str">
        <f t="shared" si="49"/>
        <v/>
      </c>
      <c r="AO182" s="101">
        <f t="shared" si="49"/>
        <v>0</v>
      </c>
      <c r="AP182" s="101" t="str">
        <f t="shared" si="49"/>
        <v/>
      </c>
    </row>
    <row r="183" spans="3:44" x14ac:dyDescent="0.25">
      <c r="C183" s="91"/>
      <c r="F183" s="23" t="s">
        <v>198</v>
      </c>
      <c r="G183" s="85" t="s">
        <v>1083</v>
      </c>
      <c r="H183" s="248"/>
      <c r="I183" s="23"/>
      <c r="J183" s="129">
        <f t="shared" ref="J183:AP183" si="50" xml:space="preserve"> IF( J$19 &lt;&gt; 0, J$22 * thousand * J69 / hundred / J$19, "")</f>
        <v>0</v>
      </c>
      <c r="K183" s="129">
        <f t="shared" si="50"/>
        <v>0</v>
      </c>
      <c r="L183" s="129">
        <f t="shared" si="50"/>
        <v>0</v>
      </c>
      <c r="M183" s="129">
        <f t="shared" si="50"/>
        <v>0</v>
      </c>
      <c r="N183" s="129">
        <f t="shared" si="50"/>
        <v>0</v>
      </c>
      <c r="O183" s="129">
        <f t="shared" si="50"/>
        <v>0</v>
      </c>
      <c r="P183" s="129">
        <f t="shared" si="50"/>
        <v>0</v>
      </c>
      <c r="Q183" s="129" t="str">
        <f t="shared" si="50"/>
        <v/>
      </c>
      <c r="R183" s="129">
        <f t="shared" si="50"/>
        <v>0</v>
      </c>
      <c r="S183" s="129">
        <f t="shared" si="50"/>
        <v>0</v>
      </c>
      <c r="T183" s="129">
        <f t="shared" si="50"/>
        <v>0</v>
      </c>
      <c r="U183" s="129">
        <f t="shared" si="50"/>
        <v>23.067202688689346</v>
      </c>
      <c r="V183" s="129">
        <f t="shared" si="50"/>
        <v>77.247378548718373</v>
      </c>
      <c r="W183" s="129">
        <f t="shared" si="50"/>
        <v>132.3853768540753</v>
      </c>
      <c r="X183" s="129">
        <f t="shared" si="50"/>
        <v>0</v>
      </c>
      <c r="Y183" s="129">
        <f t="shared" si="50"/>
        <v>0</v>
      </c>
      <c r="Z183" s="129">
        <f t="shared" si="50"/>
        <v>0</v>
      </c>
      <c r="AA183" s="129">
        <f t="shared" si="50"/>
        <v>0</v>
      </c>
      <c r="AB183" s="129">
        <f t="shared" si="50"/>
        <v>0</v>
      </c>
      <c r="AC183" s="129">
        <f t="shared" si="50"/>
        <v>0</v>
      </c>
      <c r="AD183" s="129" t="str">
        <f t="shared" si="50"/>
        <v/>
      </c>
      <c r="AE183" s="129">
        <f t="shared" si="50"/>
        <v>40.953648073663103</v>
      </c>
      <c r="AF183" s="129" t="str">
        <f t="shared" si="50"/>
        <v/>
      </c>
      <c r="AG183" s="129">
        <f t="shared" si="50"/>
        <v>79.655398545888673</v>
      </c>
      <c r="AH183" s="129" t="str">
        <f t="shared" si="50"/>
        <v/>
      </c>
      <c r="AI183" s="129">
        <f t="shared" si="50"/>
        <v>0</v>
      </c>
      <c r="AJ183" s="129" t="str">
        <f t="shared" si="50"/>
        <v/>
      </c>
      <c r="AK183" s="129" t="str">
        <f t="shared" si="50"/>
        <v/>
      </c>
      <c r="AL183" s="129" t="str">
        <f t="shared" si="50"/>
        <v/>
      </c>
      <c r="AM183" s="129">
        <f t="shared" si="50"/>
        <v>181.46625619012633</v>
      </c>
      <c r="AN183" s="129" t="str">
        <f t="shared" si="50"/>
        <v/>
      </c>
      <c r="AO183" s="129">
        <f t="shared" si="50"/>
        <v>141.01169925697747</v>
      </c>
      <c r="AP183" s="129" t="str">
        <f t="shared" si="50"/>
        <v/>
      </c>
    </row>
    <row r="184" spans="3:44" x14ac:dyDescent="0.25">
      <c r="C184" s="91"/>
      <c r="F184" s="111" t="s">
        <v>101</v>
      </c>
      <c r="G184" s="244" t="s">
        <v>1083</v>
      </c>
      <c r="H184" s="249"/>
      <c r="I184" s="111"/>
      <c r="J184" s="157">
        <f t="shared" ref="J184:AP184" si="51">SUM(J177:J183)</f>
        <v>66.128037466278371</v>
      </c>
      <c r="K184" s="157">
        <f t="shared" si="51"/>
        <v>107.48544623378005</v>
      </c>
      <c r="L184" s="157">
        <f t="shared" si="51"/>
        <v>55.435583984539377</v>
      </c>
      <c r="M184" s="157">
        <f t="shared" si="51"/>
        <v>224.69763528560256</v>
      </c>
      <c r="N184" s="157">
        <f t="shared" si="51"/>
        <v>336.62977826441363</v>
      </c>
      <c r="O184" s="157">
        <f t="shared" si="51"/>
        <v>109.00718058727449</v>
      </c>
      <c r="P184" s="157">
        <f t="shared" si="51"/>
        <v>1452.86084995849</v>
      </c>
      <c r="Q184" s="157">
        <f t="shared" si="51"/>
        <v>0</v>
      </c>
      <c r="R184" s="157">
        <f t="shared" si="51"/>
        <v>0</v>
      </c>
      <c r="S184" s="157">
        <f t="shared" si="51"/>
        <v>87.466054527280335</v>
      </c>
      <c r="T184" s="157">
        <f t="shared" si="51"/>
        <v>1178.085603554902</v>
      </c>
      <c r="U184" s="157">
        <f t="shared" si="51"/>
        <v>3957.1100683806362</v>
      </c>
      <c r="V184" s="157">
        <f t="shared" si="51"/>
        <v>25352.49641933764</v>
      </c>
      <c r="W184" s="157">
        <f t="shared" si="51"/>
        <v>32594.529415642046</v>
      </c>
      <c r="X184" s="157">
        <f t="shared" si="51"/>
        <v>1078.3378805556231</v>
      </c>
      <c r="Y184" s="157">
        <f t="shared" si="51"/>
        <v>150.28941074411918</v>
      </c>
      <c r="Z184" s="157">
        <f t="shared" si="51"/>
        <v>59.797256650565522</v>
      </c>
      <c r="AA184" s="157">
        <f t="shared" si="51"/>
        <v>146.82807172223804</v>
      </c>
      <c r="AB184" s="157">
        <f t="shared" si="51"/>
        <v>122174.94453685096</v>
      </c>
      <c r="AC184" s="157">
        <f t="shared" si="51"/>
        <v>-203.66508370751507</v>
      </c>
      <c r="AD184" s="157">
        <f t="shared" si="51"/>
        <v>0</v>
      </c>
      <c r="AE184" s="157">
        <f t="shared" si="51"/>
        <v>-5876.5864396142597</v>
      </c>
      <c r="AF184" s="157">
        <f t="shared" si="51"/>
        <v>0</v>
      </c>
      <c r="AG184" s="157">
        <f t="shared" si="51"/>
        <v>-15988.728594029531</v>
      </c>
      <c r="AH184" s="157">
        <f t="shared" si="51"/>
        <v>0</v>
      </c>
      <c r="AI184" s="157">
        <f t="shared" si="51"/>
        <v>-20236.54464</v>
      </c>
      <c r="AJ184" s="157">
        <f t="shared" si="51"/>
        <v>0</v>
      </c>
      <c r="AK184" s="157">
        <f t="shared" si="51"/>
        <v>0</v>
      </c>
      <c r="AL184" s="157">
        <f t="shared" si="51"/>
        <v>0</v>
      </c>
      <c r="AM184" s="157">
        <f t="shared" si="51"/>
        <v>-13539.286359660187</v>
      </c>
      <c r="AN184" s="157">
        <f t="shared" si="51"/>
        <v>0</v>
      </c>
      <c r="AO184" s="157">
        <f t="shared" si="51"/>
        <v>-57966.074196419024</v>
      </c>
      <c r="AP184" s="157">
        <f t="shared" si="51"/>
        <v>0</v>
      </c>
    </row>
    <row r="185" spans="3:44" x14ac:dyDescent="0.25">
      <c r="C185" s="91"/>
      <c r="D185" s="2"/>
      <c r="E185" s="2"/>
      <c r="G185" s="13"/>
    </row>
    <row r="186" spans="3:44" x14ac:dyDescent="0.25">
      <c r="C186" s="31" t="str">
        <f ca="1">INDEX('Version control'!$H$34:$H$56,MATCH($A$1,'Version control'!$F$34:$F$56,0),1)&amp;"-K: LDNO margins"</f>
        <v>Section 117-K: LDNO margins</v>
      </c>
      <c r="D186" s="31"/>
      <c r="E186" s="31"/>
      <c r="F186" s="31"/>
      <c r="G186" s="31"/>
      <c r="H186" s="31"/>
      <c r="I186" s="31"/>
      <c r="J186" s="31"/>
      <c r="K186" s="31"/>
      <c r="L186" s="31"/>
      <c r="M186" s="31"/>
      <c r="N186" s="31"/>
      <c r="O186" s="31"/>
      <c r="P186" s="31"/>
      <c r="Q186" s="31"/>
      <c r="R186" s="31"/>
      <c r="S186" s="31"/>
      <c r="T186" s="31"/>
      <c r="U186" s="31"/>
      <c r="V186" s="31"/>
      <c r="W186" s="31"/>
      <c r="X186" s="31"/>
      <c r="Y186" s="31"/>
      <c r="Z186" s="31"/>
      <c r="AA186" s="31"/>
      <c r="AB186" s="31"/>
      <c r="AC186" s="31"/>
      <c r="AD186" s="31"/>
      <c r="AE186" s="31"/>
      <c r="AF186" s="31"/>
      <c r="AG186" s="31"/>
      <c r="AH186" s="31"/>
      <c r="AI186" s="31"/>
      <c r="AJ186" s="31"/>
      <c r="AK186" s="31"/>
      <c r="AL186" s="31"/>
      <c r="AM186" s="31"/>
      <c r="AN186" s="31"/>
      <c r="AO186" s="31"/>
      <c r="AP186" s="31"/>
      <c r="AQ186" s="31"/>
      <c r="AR186" s="31"/>
    </row>
    <row r="187" spans="3:44" x14ac:dyDescent="0.25">
      <c r="C187" s="91"/>
      <c r="D187" s="2"/>
      <c r="E187" s="2"/>
      <c r="G187" s="13"/>
    </row>
    <row r="188" spans="3:44" x14ac:dyDescent="0.25">
      <c r="C188" s="91"/>
      <c r="D188" s="2" t="s">
        <v>1086</v>
      </c>
      <c r="E188" s="2"/>
      <c r="G188" s="13"/>
    </row>
    <row r="189" spans="3:44" x14ac:dyDescent="0.25">
      <c r="D189" s="32"/>
      <c r="G189" s="13"/>
      <c r="H189" s="131"/>
      <c r="J189" s="63"/>
      <c r="K189" s="63"/>
      <c r="L189" s="63"/>
      <c r="M189" s="63"/>
      <c r="N189" s="63"/>
      <c r="O189" s="63"/>
      <c r="P189" s="63"/>
      <c r="Q189" s="63"/>
      <c r="R189" s="63"/>
      <c r="S189" s="63"/>
      <c r="T189" s="63"/>
      <c r="U189" s="63"/>
      <c r="V189" s="63"/>
      <c r="W189" s="63"/>
      <c r="X189" s="63"/>
      <c r="Y189" s="63"/>
      <c r="Z189" s="63"/>
      <c r="AA189" s="63"/>
      <c r="AB189" s="63"/>
      <c r="AC189" s="63"/>
      <c r="AD189" s="63"/>
      <c r="AE189" s="63"/>
      <c r="AF189" s="63"/>
      <c r="AG189" s="63"/>
      <c r="AH189" s="63"/>
      <c r="AI189" s="63"/>
      <c r="AJ189" s="63"/>
      <c r="AK189" s="63"/>
      <c r="AL189" s="63"/>
      <c r="AM189" s="63"/>
      <c r="AN189" s="63"/>
      <c r="AO189" s="63"/>
      <c r="AP189" s="63"/>
    </row>
    <row r="190" spans="3:44" x14ac:dyDescent="0.25">
      <c r="C190" s="91"/>
      <c r="D190" s="2"/>
      <c r="E190" t="s">
        <v>1087</v>
      </c>
      <c r="G190" s="28" t="s">
        <v>203</v>
      </c>
      <c r="J190" s="114">
        <f t="shared" ref="J190:AP190" si="52">IF( AND( ISNUMBER(J$124), J$124 &lt;&gt; 0), ( J$124 - J173 ) / J$124, "")</f>
        <v>0.2941177679249648</v>
      </c>
      <c r="K190" s="114">
        <f t="shared" si="52"/>
        <v>0.29405119888458292</v>
      </c>
      <c r="L190" s="114">
        <f t="shared" si="52"/>
        <v>0.29414279606669519</v>
      </c>
      <c r="M190" s="114">
        <f t="shared" si="52"/>
        <v>0.29393223134083141</v>
      </c>
      <c r="N190" s="114">
        <f t="shared" si="52"/>
        <v>0.29397504780066358</v>
      </c>
      <c r="O190" s="114">
        <f t="shared" si="52"/>
        <v>0.29393536963258082</v>
      </c>
      <c r="P190" s="114">
        <f t="shared" si="52"/>
        <v>0.29404993188207323</v>
      </c>
      <c r="Q190" s="114" t="str">
        <f t="shared" si="52"/>
        <v/>
      </c>
      <c r="R190" s="114">
        <f t="shared" si="52"/>
        <v>1</v>
      </c>
      <c r="S190" s="114">
        <f t="shared" si="52"/>
        <v>0.29402822797882239</v>
      </c>
      <c r="T190" s="114">
        <f t="shared" si="52"/>
        <v>0.29404875082141557</v>
      </c>
      <c r="U190" s="114">
        <f t="shared" si="52"/>
        <v>0.29398940032598281</v>
      </c>
      <c r="V190" s="114">
        <f t="shared" si="52"/>
        <v>1</v>
      </c>
      <c r="W190" s="114">
        <f t="shared" si="52"/>
        <v>1</v>
      </c>
      <c r="X190" s="114">
        <f t="shared" si="52"/>
        <v>0.29400630914826509</v>
      </c>
      <c r="Y190" s="114">
        <f t="shared" si="52"/>
        <v>0.29409334985543145</v>
      </c>
      <c r="Z190" s="114">
        <f t="shared" si="52"/>
        <v>0.29397337070777835</v>
      </c>
      <c r="AA190" s="114">
        <f t="shared" si="52"/>
        <v>0.29403110550651551</v>
      </c>
      <c r="AB190" s="114">
        <f t="shared" si="52"/>
        <v>0.29396810696756553</v>
      </c>
      <c r="AC190" s="114">
        <f t="shared" si="52"/>
        <v>0</v>
      </c>
      <c r="AD190" s="114" t="str">
        <f t="shared" si="52"/>
        <v/>
      </c>
      <c r="AE190" s="114">
        <f t="shared" si="52"/>
        <v>0</v>
      </c>
      <c r="AF190" s="114" t="str">
        <f t="shared" si="52"/>
        <v/>
      </c>
      <c r="AG190" s="114">
        <f t="shared" si="52"/>
        <v>1.1376698233686314E-16</v>
      </c>
      <c r="AH190" s="114" t="str">
        <f t="shared" si="52"/>
        <v/>
      </c>
      <c r="AI190" s="114">
        <f t="shared" si="52"/>
        <v>1</v>
      </c>
      <c r="AJ190" s="114" t="str">
        <f t="shared" si="52"/>
        <v/>
      </c>
      <c r="AK190" s="114" t="str">
        <f t="shared" si="52"/>
        <v/>
      </c>
      <c r="AL190" s="114" t="str">
        <f t="shared" si="52"/>
        <v/>
      </c>
      <c r="AM190" s="114">
        <f t="shared" si="52"/>
        <v>1</v>
      </c>
      <c r="AN190" s="114" t="str">
        <f t="shared" si="52"/>
        <v/>
      </c>
      <c r="AO190" s="114">
        <f t="shared" si="52"/>
        <v>1</v>
      </c>
      <c r="AP190" s="114" t="str">
        <f t="shared" si="52"/>
        <v/>
      </c>
    </row>
    <row r="191" spans="3:44" x14ac:dyDescent="0.25">
      <c r="C191" s="91"/>
      <c r="D191" s="2"/>
      <c r="E191" t="s">
        <v>1088</v>
      </c>
      <c r="G191" s="28" t="s">
        <v>203</v>
      </c>
      <c r="J191" s="114">
        <f>IF( AND( ISNUMBER(J$124), J$124 &lt;&gt; 0), ( J$124 - J184 ) / J$124, "")</f>
        <v>0.58154562836502888</v>
      </c>
      <c r="K191" s="114">
        <f t="shared" ref="K191:AP191" si="53">IF( AND( ISNUMBER(K$124), K$124 &lt;&gt; 0), ( K$124 - K184 ) / K$124, "")</f>
        <v>0.58158361921937118</v>
      </c>
      <c r="L191" s="114">
        <f t="shared" si="53"/>
        <v>0.58144506199230439</v>
      </c>
      <c r="M191" s="114">
        <f t="shared" si="53"/>
        <v>0.58167576946131849</v>
      </c>
      <c r="N191" s="114">
        <f t="shared" si="53"/>
        <v>0.58169341359062021</v>
      </c>
      <c r="O191" s="114">
        <f t="shared" si="53"/>
        <v>0.58167330677290841</v>
      </c>
      <c r="P191" s="114">
        <f t="shared" si="53"/>
        <v>0.58162528964949023</v>
      </c>
      <c r="Q191" s="114" t="str">
        <f t="shared" si="53"/>
        <v/>
      </c>
      <c r="R191" s="114">
        <f t="shared" si="53"/>
        <v>1</v>
      </c>
      <c r="S191" s="114">
        <f t="shared" si="53"/>
        <v>0.58167264920574624</v>
      </c>
      <c r="T191" s="114">
        <f t="shared" si="53"/>
        <v>0.58152481606012163</v>
      </c>
      <c r="U191" s="114">
        <f t="shared" si="53"/>
        <v>0.58175365968106829</v>
      </c>
      <c r="V191" s="114">
        <f t="shared" si="53"/>
        <v>0.39416007556728583</v>
      </c>
      <c r="W191" s="114">
        <f t="shared" si="53"/>
        <v>0.33740335586789699</v>
      </c>
      <c r="X191" s="114">
        <f t="shared" si="53"/>
        <v>0.58149316508937965</v>
      </c>
      <c r="Y191" s="114">
        <f t="shared" si="53"/>
        <v>0.5815778603882692</v>
      </c>
      <c r="Z191" s="114">
        <f t="shared" si="53"/>
        <v>0.58163980378416258</v>
      </c>
      <c r="AA191" s="114">
        <f t="shared" si="53"/>
        <v>0.58154686843211434</v>
      </c>
      <c r="AB191" s="114">
        <f t="shared" si="53"/>
        <v>0.58154892794043545</v>
      </c>
      <c r="AC191" s="114">
        <f t="shared" si="53"/>
        <v>0</v>
      </c>
      <c r="AD191" s="114" t="str">
        <f t="shared" si="53"/>
        <v/>
      </c>
      <c r="AE191" s="114">
        <f t="shared" si="53"/>
        <v>0</v>
      </c>
      <c r="AF191" s="114" t="str">
        <f t="shared" si="53"/>
        <v/>
      </c>
      <c r="AG191" s="114">
        <f t="shared" si="53"/>
        <v>1.1376698233686314E-16</v>
      </c>
      <c r="AH191" s="114" t="str">
        <f t="shared" si="53"/>
        <v/>
      </c>
      <c r="AI191" s="114">
        <f t="shared" si="53"/>
        <v>0</v>
      </c>
      <c r="AJ191" s="114" t="str">
        <f t="shared" si="53"/>
        <v/>
      </c>
      <c r="AK191" s="114" t="str">
        <f t="shared" si="53"/>
        <v/>
      </c>
      <c r="AL191" s="114" t="str">
        <f t="shared" si="53"/>
        <v/>
      </c>
      <c r="AM191" s="114">
        <f t="shared" si="53"/>
        <v>-0.12583147889741902</v>
      </c>
      <c r="AN191" s="114" t="str">
        <f t="shared" si="53"/>
        <v/>
      </c>
      <c r="AO191" s="114">
        <f t="shared" si="53"/>
        <v>-2.6805631345467856E-2</v>
      </c>
      <c r="AP191" s="114" t="str">
        <f t="shared" si="53"/>
        <v/>
      </c>
    </row>
    <row r="192" spans="3:44" x14ac:dyDescent="0.25">
      <c r="C192" s="91"/>
      <c r="D192" s="2"/>
      <c r="E192" s="2"/>
      <c r="F192" s="105"/>
      <c r="G192" s="105"/>
    </row>
    <row r="193" spans="2:44" x14ac:dyDescent="0.25">
      <c r="B193" s="30" t="s">
        <v>280</v>
      </c>
      <c r="C193" s="30"/>
      <c r="D193" s="30"/>
      <c r="E193" s="30"/>
      <c r="F193" s="30"/>
      <c r="G193" s="95"/>
      <c r="H193" s="30"/>
      <c r="I193" s="30"/>
      <c r="J193" s="30"/>
      <c r="K193" s="30"/>
      <c r="L193" s="30"/>
      <c r="M193" s="30"/>
      <c r="N193" s="30"/>
      <c r="O193" s="30"/>
      <c r="P193" s="30"/>
      <c r="Q193" s="30"/>
      <c r="R193" s="30"/>
      <c r="S193" s="30"/>
      <c r="T193" s="30"/>
      <c r="U193" s="30"/>
      <c r="V193" s="30"/>
      <c r="W193" s="30"/>
      <c r="X193" s="30"/>
      <c r="Y193" s="30"/>
      <c r="Z193" s="30"/>
      <c r="AA193" s="30"/>
      <c r="AB193" s="30"/>
      <c r="AC193" s="30"/>
      <c r="AD193" s="30"/>
      <c r="AE193" s="30"/>
      <c r="AF193" s="30"/>
      <c r="AG193" s="30"/>
      <c r="AH193" s="30"/>
      <c r="AI193" s="30"/>
      <c r="AJ193" s="30"/>
      <c r="AK193" s="30"/>
      <c r="AL193" s="30"/>
      <c r="AM193" s="30"/>
      <c r="AN193" s="30"/>
      <c r="AO193" s="30"/>
      <c r="AP193" s="30"/>
      <c r="AQ193" s="30"/>
      <c r="AR193" s="30"/>
    </row>
    <row r="194" spans="2:44" x14ac:dyDescent="0.25">
      <c r="F194" s="3"/>
      <c r="G194" s="242"/>
      <c r="H194" s="3"/>
      <c r="I194" s="3"/>
    </row>
    <row r="195" spans="2:44" x14ac:dyDescent="0.25">
      <c r="D195" t="s">
        <v>281</v>
      </c>
      <c r="G195" s="6" t="s">
        <v>56</v>
      </c>
      <c r="H195" s="26">
        <f t="array" ref="H195">SUM(IF(ISERROR($H$13:$AQ$191), 1))</f>
        <v>0</v>
      </c>
      <c r="I195" s="3"/>
    </row>
    <row r="196" spans="2:44" x14ac:dyDescent="0.25">
      <c r="F196" s="3"/>
      <c r="G196" s="3"/>
      <c r="H196" s="3"/>
      <c r="I196" s="3"/>
    </row>
    <row r="197" spans="2:44" x14ac:dyDescent="0.25">
      <c r="B197" s="30" t="s">
        <v>107</v>
      </c>
      <c r="C197" s="30"/>
      <c r="D197" s="30"/>
      <c r="E197" s="30"/>
      <c r="F197" s="30"/>
      <c r="G197" s="30"/>
      <c r="H197" s="30"/>
      <c r="I197" s="30"/>
      <c r="J197" s="30"/>
      <c r="K197" s="30"/>
      <c r="L197" s="30"/>
      <c r="M197" s="30"/>
      <c r="N197" s="30"/>
      <c r="O197" s="30"/>
      <c r="P197" s="30"/>
      <c r="Q197" s="30"/>
      <c r="R197" s="30"/>
      <c r="S197" s="30"/>
      <c r="T197" s="30"/>
      <c r="U197" s="30"/>
      <c r="V197" s="30"/>
      <c r="W197" s="30"/>
      <c r="X197" s="30"/>
      <c r="Y197" s="30"/>
      <c r="Z197" s="30"/>
      <c r="AA197" s="30"/>
      <c r="AB197" s="30"/>
      <c r="AC197" s="30"/>
      <c r="AD197" s="30"/>
      <c r="AE197" s="30"/>
      <c r="AF197" s="30"/>
      <c r="AG197" s="30"/>
      <c r="AH197" s="30"/>
      <c r="AI197" s="30"/>
      <c r="AJ197" s="30"/>
      <c r="AK197" s="30"/>
      <c r="AL197" s="30"/>
      <c r="AM197" s="30"/>
      <c r="AN197" s="30"/>
      <c r="AO197" s="30"/>
      <c r="AP197" s="30"/>
      <c r="AQ197" s="30"/>
      <c r="AR197" s="30"/>
    </row>
  </sheetData>
  <sheetProtection sheet="1" objects="1" formatCells="0" formatColumns="0" formatRows="0" sort="0" autoFilter="0"/>
  <conditionalFormatting sqref="H195">
    <cfRule type="cellIs" dxfId="5" priority="15" operator="greaterThan">
      <formula>0</formula>
    </cfRule>
  </conditionalFormatting>
  <conditionalFormatting sqref="A4:XFD4">
    <cfRule type="expression" dxfId="4" priority="1">
      <formula>LEFT($A$4,1) &lt;&gt; "0"</formula>
    </cfRule>
  </conditionalFormatting>
  <dataValidations count="2">
    <dataValidation type="decimal" operator="greaterThanOrEqual" allowBlank="1" showInputMessage="1" showErrorMessage="1" errorTitle="Invalid volume data" error="Invalid volume data (negative number or unused cell)." sqref="J45:AP69 J146:AP146 J153:AP153 J16:AP40">
      <formula1>0</formula1>
    </dataValidation>
    <dataValidation allowBlank="1" sqref="J139:AP145 J154:AP154 J152:AP152"/>
  </dataValidations>
  <hyperlinks>
    <hyperlink ref="B5:F5" location="'Model map'!A1" display="Click here to return to model map"/>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7">
    <tabColor theme="9" tint="0.39997558519241921"/>
    <pageSetUpPr fitToPage="1"/>
  </sheetPr>
  <dimension ref="A1:JV126"/>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16" width="17" customWidth="1"/>
    <col min="17" max="17" width="2.42578125" customWidth="1"/>
    <col min="18" max="18" width="50.5703125" customWidth="1"/>
    <col min="19" max="19" width="2.42578125" customWidth="1"/>
    <col min="20" max="27" width="0" hidden="1" customWidth="1"/>
    <col min="28" max="28" width="24.5703125" hidden="1" customWidth="1"/>
    <col min="29" max="29" width="3.5703125" hidden="1" customWidth="1"/>
    <col min="30" max="30" width="15.42578125" hidden="1" customWidth="1"/>
    <col min="31" max="282" width="24.5703125" hidden="1" customWidth="1"/>
    <col min="283" max="16384" width="8.5703125" hidden="1"/>
  </cols>
  <sheetData>
    <row r="1" spans="1:44" s="1" customFormat="1" x14ac:dyDescent="0.25">
      <c r="A1" s="1" t="str">
        <f ca="1">MID(CELL("filename",A1),FIND("]",CELL("filename",A1))+1,255)</f>
        <v>Tariff summary</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H122 &amp; IF(H122 = 1, " issue", " issues") &amp;" identified in checks on this sheet"</f>
        <v>0 issues identified in checks on this sheet</v>
      </c>
      <c r="B4" s="13"/>
      <c r="C4" s="13"/>
      <c r="D4" s="13"/>
      <c r="E4" s="13"/>
      <c r="F4" s="13"/>
      <c r="G4" s="13"/>
      <c r="H4" s="14"/>
      <c r="I4" s="14"/>
      <c r="J4" s="13"/>
    </row>
    <row r="5" spans="1:44" ht="45" x14ac:dyDescent="0.25">
      <c r="B5" s="59" t="s">
        <v>145</v>
      </c>
      <c r="C5" s="60"/>
      <c r="D5" s="60"/>
      <c r="E5" s="60"/>
      <c r="F5" s="60"/>
      <c r="G5" s="61"/>
      <c r="H5" s="61" t="s">
        <v>1089</v>
      </c>
      <c r="J5" s="62" t="s">
        <v>1090</v>
      </c>
      <c r="K5" s="62" t="s">
        <v>1091</v>
      </c>
      <c r="L5" s="62" t="s">
        <v>1092</v>
      </c>
      <c r="M5" s="62" t="s">
        <v>1093</v>
      </c>
      <c r="N5" s="62" t="s">
        <v>1094</v>
      </c>
      <c r="O5" s="62" t="s">
        <v>1095</v>
      </c>
      <c r="P5" s="62" t="s">
        <v>1096</v>
      </c>
      <c r="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1097</v>
      </c>
    </row>
    <row r="11" spans="1:44" x14ac:dyDescent="0.25">
      <c r="B11" s="30" t="s">
        <v>97</v>
      </c>
      <c r="C11" s="30"/>
      <c r="D11" s="30"/>
      <c r="E11" s="30"/>
      <c r="F11" s="30"/>
      <c r="G11" s="30"/>
      <c r="H11" s="30"/>
      <c r="I11" s="30"/>
      <c r="J11" s="30"/>
      <c r="K11" s="30"/>
      <c r="L11" s="108"/>
      <c r="M11" s="108"/>
      <c r="N11" s="108"/>
      <c r="O11" s="108"/>
      <c r="P11" s="108"/>
      <c r="Q11" s="108"/>
      <c r="R11" s="108"/>
    </row>
    <row r="12" spans="1:44" x14ac:dyDescent="0.25">
      <c r="D12"/>
      <c r="E12"/>
    </row>
    <row r="13" spans="1:44" x14ac:dyDescent="0.25">
      <c r="C13" s="31" t="str">
        <f>"Output 101-A: Tariffs for "&amp; charging_year</f>
        <v>Output 101-A: Tariffs for 2020/21</v>
      </c>
      <c r="D13" s="31"/>
      <c r="E13" s="31"/>
      <c r="F13" s="31"/>
      <c r="G13" s="31"/>
      <c r="H13" s="31"/>
      <c r="I13" s="31"/>
      <c r="J13" s="31"/>
      <c r="K13" s="31"/>
      <c r="L13" s="31"/>
      <c r="M13" s="31"/>
      <c r="N13" s="31"/>
      <c r="O13" s="31"/>
      <c r="P13" s="31"/>
      <c r="Q13" s="31"/>
      <c r="R13" s="31"/>
    </row>
    <row r="14" spans="1:44" x14ac:dyDescent="0.25">
      <c r="D14"/>
      <c r="E14"/>
    </row>
    <row r="15" spans="1:44" x14ac:dyDescent="0.25">
      <c r="D15" s="32"/>
      <c r="E15" s="32" t="s">
        <v>1098</v>
      </c>
    </row>
    <row r="16" spans="1:44" x14ac:dyDescent="0.25">
      <c r="F16" s="23" t="s">
        <v>148</v>
      </c>
      <c r="G16" s="23"/>
      <c r="H16" s="23" t="s">
        <v>1066</v>
      </c>
      <c r="I16" s="23"/>
      <c r="J16" s="250">
        <f t="array" ref="J16:P48">TRANSPOSE(Rounding!J89:AP95)</f>
        <v>3.6629999999999998</v>
      </c>
      <c r="K16" s="250">
        <v>0</v>
      </c>
      <c r="L16" s="250">
        <v>0</v>
      </c>
      <c r="M16" s="251">
        <v>6.72</v>
      </c>
      <c r="N16" s="251">
        <v>0</v>
      </c>
      <c r="O16" s="251">
        <v>0</v>
      </c>
      <c r="P16" s="250">
        <v>0</v>
      </c>
    </row>
    <row r="17" spans="6:16" x14ac:dyDescent="0.25">
      <c r="F17" t="s">
        <v>149</v>
      </c>
      <c r="H17" t="s">
        <v>1066</v>
      </c>
      <c r="J17" s="252">
        <v>4.008</v>
      </c>
      <c r="K17" s="252">
        <v>2.3559999999999999</v>
      </c>
      <c r="L17" s="252">
        <v>0</v>
      </c>
      <c r="M17" s="253">
        <v>6.72</v>
      </c>
      <c r="N17" s="253">
        <v>0</v>
      </c>
      <c r="O17" s="253">
        <v>0</v>
      </c>
      <c r="P17" s="252">
        <v>0</v>
      </c>
    </row>
    <row r="18" spans="6:16" x14ac:dyDescent="0.25">
      <c r="F18" t="s">
        <v>150</v>
      </c>
      <c r="H18" t="s">
        <v>1066</v>
      </c>
      <c r="J18" s="252">
        <v>2.339</v>
      </c>
      <c r="K18" s="252">
        <v>0</v>
      </c>
      <c r="L18" s="252">
        <v>0</v>
      </c>
      <c r="M18" s="253">
        <v>0</v>
      </c>
      <c r="N18" s="253">
        <v>0</v>
      </c>
      <c r="O18" s="253">
        <v>0</v>
      </c>
      <c r="P18" s="252">
        <v>0</v>
      </c>
    </row>
    <row r="19" spans="6:16" x14ac:dyDescent="0.25">
      <c r="F19" t="s">
        <v>151</v>
      </c>
      <c r="H19" t="s">
        <v>1066</v>
      </c>
      <c r="J19" s="252">
        <v>3.722</v>
      </c>
      <c r="K19" s="252">
        <v>0</v>
      </c>
      <c r="L19" s="252">
        <v>0</v>
      </c>
      <c r="M19" s="253">
        <v>9.49</v>
      </c>
      <c r="N19" s="253">
        <v>0</v>
      </c>
      <c r="O19" s="253">
        <v>0</v>
      </c>
      <c r="P19" s="252">
        <v>0</v>
      </c>
    </row>
    <row r="20" spans="6:16" x14ac:dyDescent="0.25">
      <c r="F20" t="s">
        <v>152</v>
      </c>
      <c r="H20" t="s">
        <v>1066</v>
      </c>
      <c r="J20" s="252">
        <v>3.9180000000000001</v>
      </c>
      <c r="K20" s="252">
        <v>2.226</v>
      </c>
      <c r="L20" s="252">
        <v>0</v>
      </c>
      <c r="M20" s="253">
        <v>9.49</v>
      </c>
      <c r="N20" s="253">
        <v>0</v>
      </c>
      <c r="O20" s="253">
        <v>0</v>
      </c>
      <c r="P20" s="252">
        <v>0</v>
      </c>
    </row>
    <row r="21" spans="6:16" x14ac:dyDescent="0.25">
      <c r="F21" t="s">
        <v>153</v>
      </c>
      <c r="H21" t="s">
        <v>1066</v>
      </c>
      <c r="J21" s="252">
        <v>2.2589999999999999</v>
      </c>
      <c r="K21" s="252">
        <v>0</v>
      </c>
      <c r="L21" s="252">
        <v>0</v>
      </c>
      <c r="M21" s="253">
        <v>0</v>
      </c>
      <c r="N21" s="253">
        <v>0</v>
      </c>
      <c r="O21" s="253">
        <v>0</v>
      </c>
      <c r="P21" s="252">
        <v>0</v>
      </c>
    </row>
    <row r="22" spans="6:16" x14ac:dyDescent="0.25">
      <c r="F22" t="s">
        <v>154</v>
      </c>
      <c r="H22" t="s">
        <v>1066</v>
      </c>
      <c r="J22" s="252">
        <v>3.5950000000000002</v>
      </c>
      <c r="K22" s="252">
        <v>2.1819999999999999</v>
      </c>
      <c r="L22" s="252">
        <v>0</v>
      </c>
      <c r="M22" s="253">
        <v>82.38</v>
      </c>
      <c r="N22" s="253">
        <v>0</v>
      </c>
      <c r="O22" s="253">
        <v>0</v>
      </c>
      <c r="P22" s="252">
        <v>0</v>
      </c>
    </row>
    <row r="23" spans="6:16" x14ac:dyDescent="0.25">
      <c r="F23" t="s">
        <v>155</v>
      </c>
      <c r="H23" t="s">
        <v>1066</v>
      </c>
      <c r="J23" s="252">
        <v>3.0259999999999998</v>
      </c>
      <c r="K23" s="252">
        <v>1.992</v>
      </c>
      <c r="L23" s="252">
        <v>0</v>
      </c>
      <c r="M23" s="253">
        <v>50.97</v>
      </c>
      <c r="N23" s="253">
        <v>0</v>
      </c>
      <c r="O23" s="253">
        <v>0</v>
      </c>
      <c r="P23" s="252">
        <v>0</v>
      </c>
    </row>
    <row r="24" spans="6:16" x14ac:dyDescent="0.25">
      <c r="F24" t="s">
        <v>156</v>
      </c>
      <c r="H24" t="s">
        <v>1066</v>
      </c>
      <c r="J24" s="252">
        <v>2.2679999999999998</v>
      </c>
      <c r="K24" s="252">
        <v>1.7270000000000001</v>
      </c>
      <c r="L24" s="252">
        <v>0</v>
      </c>
      <c r="M24" s="253">
        <v>2503.06</v>
      </c>
      <c r="N24" s="253">
        <v>0</v>
      </c>
      <c r="O24" s="253">
        <v>0</v>
      </c>
      <c r="P24" s="252">
        <v>0</v>
      </c>
    </row>
    <row r="25" spans="6:16" x14ac:dyDescent="0.25">
      <c r="F25" t="s">
        <v>157</v>
      </c>
      <c r="H25" t="s">
        <v>1066</v>
      </c>
      <c r="J25" s="252">
        <v>10.768000000000001</v>
      </c>
      <c r="K25" s="252">
        <v>2.9119999999999999</v>
      </c>
      <c r="L25" s="252">
        <v>2.1509999999999998</v>
      </c>
      <c r="M25" s="253">
        <v>6.72</v>
      </c>
      <c r="N25" s="253">
        <v>0</v>
      </c>
      <c r="O25" s="253">
        <v>0</v>
      </c>
      <c r="P25" s="252">
        <v>0</v>
      </c>
    </row>
    <row r="26" spans="6:16" x14ac:dyDescent="0.25">
      <c r="F26" t="s">
        <v>158</v>
      </c>
      <c r="H26" t="s">
        <v>1066</v>
      </c>
      <c r="J26" s="252">
        <v>11.629</v>
      </c>
      <c r="K26" s="252">
        <v>3.044</v>
      </c>
      <c r="L26" s="252">
        <v>2.2130000000000001</v>
      </c>
      <c r="M26" s="253">
        <v>9.49</v>
      </c>
      <c r="N26" s="253">
        <v>0</v>
      </c>
      <c r="O26" s="253">
        <v>0</v>
      </c>
      <c r="P26" s="252">
        <v>0</v>
      </c>
    </row>
    <row r="27" spans="6:16" x14ac:dyDescent="0.25">
      <c r="F27" t="s">
        <v>159</v>
      </c>
      <c r="H27" t="s">
        <v>1066</v>
      </c>
      <c r="J27" s="252">
        <v>8.2940000000000005</v>
      </c>
      <c r="K27" s="252">
        <v>2.5219999999999998</v>
      </c>
      <c r="L27" s="252">
        <v>1.968</v>
      </c>
      <c r="M27" s="253">
        <v>26.85</v>
      </c>
      <c r="N27" s="253">
        <v>4.76</v>
      </c>
      <c r="O27" s="253">
        <v>8.74</v>
      </c>
      <c r="P27" s="252">
        <v>0.27300000000000002</v>
      </c>
    </row>
    <row r="28" spans="6:16" x14ac:dyDescent="0.25">
      <c r="F28" t="s">
        <v>160</v>
      </c>
      <c r="H28" t="s">
        <v>1066</v>
      </c>
      <c r="J28" s="252">
        <v>5.5010000000000003</v>
      </c>
      <c r="K28" s="252">
        <v>2.0750000000000002</v>
      </c>
      <c r="L28" s="252">
        <v>1.758</v>
      </c>
      <c r="M28" s="253">
        <v>50.97</v>
      </c>
      <c r="N28" s="253">
        <v>7.79</v>
      </c>
      <c r="O28" s="253">
        <v>10.79</v>
      </c>
      <c r="P28" s="252">
        <v>0.13700000000000001</v>
      </c>
    </row>
    <row r="29" spans="6:16" x14ac:dyDescent="0.25">
      <c r="F29" t="s">
        <v>161</v>
      </c>
      <c r="H29" t="s">
        <v>1066</v>
      </c>
      <c r="J29" s="252">
        <v>4.0730000000000004</v>
      </c>
      <c r="K29" s="252">
        <v>1.849</v>
      </c>
      <c r="L29" s="252">
        <v>1.6519999999999999</v>
      </c>
      <c r="M29" s="253">
        <v>298.74</v>
      </c>
      <c r="N29" s="253">
        <v>10.49</v>
      </c>
      <c r="O29" s="253">
        <v>12.37</v>
      </c>
      <c r="P29" s="252">
        <v>9.0999999999999998E-2</v>
      </c>
    </row>
    <row r="30" spans="6:16" x14ac:dyDescent="0.25">
      <c r="F30" t="s">
        <v>162</v>
      </c>
      <c r="H30" t="s">
        <v>1066</v>
      </c>
      <c r="J30" s="252">
        <v>4.7549999999999999</v>
      </c>
      <c r="K30" s="252">
        <v>0</v>
      </c>
      <c r="L30" s="252">
        <v>0</v>
      </c>
      <c r="M30" s="253">
        <v>0</v>
      </c>
      <c r="N30" s="253">
        <v>0</v>
      </c>
      <c r="O30" s="253">
        <v>0</v>
      </c>
      <c r="P30" s="252">
        <v>0</v>
      </c>
    </row>
    <row r="31" spans="6:16" x14ac:dyDescent="0.25">
      <c r="F31" t="s">
        <v>163</v>
      </c>
      <c r="H31" t="s">
        <v>1066</v>
      </c>
      <c r="J31" s="252">
        <v>4.8419999999999996</v>
      </c>
      <c r="K31" s="252">
        <v>0</v>
      </c>
      <c r="L31" s="252">
        <v>0</v>
      </c>
      <c r="M31" s="253">
        <v>0</v>
      </c>
      <c r="N31" s="253">
        <v>0</v>
      </c>
      <c r="O31" s="253">
        <v>0</v>
      </c>
      <c r="P31" s="252">
        <v>0</v>
      </c>
    </row>
    <row r="32" spans="6:16" x14ac:dyDescent="0.25">
      <c r="F32" t="s">
        <v>164</v>
      </c>
      <c r="H32" t="s">
        <v>1066</v>
      </c>
      <c r="J32" s="252">
        <v>5.7080000000000002</v>
      </c>
      <c r="K32" s="252">
        <v>0</v>
      </c>
      <c r="L32" s="252">
        <v>0</v>
      </c>
      <c r="M32" s="253">
        <v>0</v>
      </c>
      <c r="N32" s="253">
        <v>0</v>
      </c>
      <c r="O32" s="253">
        <v>0</v>
      </c>
      <c r="P32" s="252">
        <v>0</v>
      </c>
    </row>
    <row r="33" spans="6:16" x14ac:dyDescent="0.25">
      <c r="F33" t="s">
        <v>165</v>
      </c>
      <c r="H33" t="s">
        <v>1066</v>
      </c>
      <c r="J33" s="252">
        <v>4.758</v>
      </c>
      <c r="K33" s="252">
        <v>0</v>
      </c>
      <c r="L33" s="252">
        <v>0</v>
      </c>
      <c r="M33" s="253">
        <v>0</v>
      </c>
      <c r="N33" s="253">
        <v>0</v>
      </c>
      <c r="O33" s="253">
        <v>0</v>
      </c>
      <c r="P33" s="252">
        <v>0</v>
      </c>
    </row>
    <row r="34" spans="6:16" x14ac:dyDescent="0.25">
      <c r="F34" t="s">
        <v>166</v>
      </c>
      <c r="H34" t="s">
        <v>1066</v>
      </c>
      <c r="J34" s="252">
        <v>19.914000000000001</v>
      </c>
      <c r="K34" s="252">
        <v>4.7190000000000003</v>
      </c>
      <c r="L34" s="252">
        <v>3.8780000000000001</v>
      </c>
      <c r="M34" s="253">
        <v>0</v>
      </c>
      <c r="N34" s="253">
        <v>0</v>
      </c>
      <c r="O34" s="253">
        <v>0</v>
      </c>
      <c r="P34" s="252">
        <v>0</v>
      </c>
    </row>
    <row r="35" spans="6:16" x14ac:dyDescent="0.25">
      <c r="F35" t="s">
        <v>167</v>
      </c>
      <c r="H35" t="s">
        <v>1066</v>
      </c>
      <c r="J35" s="252">
        <v>-1.284</v>
      </c>
      <c r="K35" s="252">
        <v>0</v>
      </c>
      <c r="L35" s="252">
        <v>0</v>
      </c>
      <c r="M35" s="253">
        <v>0</v>
      </c>
      <c r="N35" s="253">
        <v>0</v>
      </c>
      <c r="O35" s="253">
        <v>0</v>
      </c>
      <c r="P35" s="252">
        <v>0</v>
      </c>
    </row>
    <row r="36" spans="6:16" x14ac:dyDescent="0.25">
      <c r="F36" t="s">
        <v>168</v>
      </c>
      <c r="H36" t="s">
        <v>1066</v>
      </c>
      <c r="J36" s="252">
        <v>-1.1519999999999999</v>
      </c>
      <c r="K36" s="252">
        <v>0</v>
      </c>
      <c r="L36" s="252">
        <v>0</v>
      </c>
      <c r="M36" s="253">
        <v>0</v>
      </c>
      <c r="N36" s="253">
        <v>0</v>
      </c>
      <c r="O36" s="253">
        <v>0</v>
      </c>
      <c r="P36" s="252">
        <v>0</v>
      </c>
    </row>
    <row r="37" spans="6:16" x14ac:dyDescent="0.25">
      <c r="F37" t="s">
        <v>169</v>
      </c>
      <c r="H37" t="s">
        <v>1066</v>
      </c>
      <c r="J37" s="252">
        <v>-1.284</v>
      </c>
      <c r="K37" s="252">
        <v>0</v>
      </c>
      <c r="L37" s="252">
        <v>0</v>
      </c>
      <c r="M37" s="253">
        <v>0</v>
      </c>
      <c r="N37" s="253">
        <v>0</v>
      </c>
      <c r="O37" s="253">
        <v>0</v>
      </c>
      <c r="P37" s="252">
        <v>0.26500000000000001</v>
      </c>
    </row>
    <row r="38" spans="6:16" x14ac:dyDescent="0.25">
      <c r="F38" t="s">
        <v>170</v>
      </c>
      <c r="H38" t="s">
        <v>1066</v>
      </c>
      <c r="J38" s="252">
        <v>-1.284</v>
      </c>
      <c r="K38" s="252">
        <v>0</v>
      </c>
      <c r="L38" s="252">
        <v>0</v>
      </c>
      <c r="M38" s="253">
        <v>0</v>
      </c>
      <c r="N38" s="253">
        <v>0</v>
      </c>
      <c r="O38" s="253">
        <v>0</v>
      </c>
      <c r="P38" s="252">
        <v>0</v>
      </c>
    </row>
    <row r="39" spans="6:16" x14ac:dyDescent="0.25">
      <c r="F39" t="s">
        <v>171</v>
      </c>
      <c r="H39" t="s">
        <v>1066</v>
      </c>
      <c r="J39" s="252">
        <v>-6.7720000000000002</v>
      </c>
      <c r="K39" s="252">
        <v>-1.0429999999999999</v>
      </c>
      <c r="L39" s="252">
        <v>-0.48799999999999999</v>
      </c>
      <c r="M39" s="253">
        <v>0</v>
      </c>
      <c r="N39" s="253">
        <v>0</v>
      </c>
      <c r="O39" s="253">
        <v>0</v>
      </c>
      <c r="P39" s="252">
        <v>0.26500000000000001</v>
      </c>
    </row>
    <row r="40" spans="6:16" x14ac:dyDescent="0.25">
      <c r="F40" t="s">
        <v>172</v>
      </c>
      <c r="H40" t="s">
        <v>1066</v>
      </c>
      <c r="J40" s="252">
        <v>-6.7720000000000002</v>
      </c>
      <c r="K40" s="252">
        <v>-1.0429999999999999</v>
      </c>
      <c r="L40" s="252">
        <v>-0.48799999999999999</v>
      </c>
      <c r="M40" s="253">
        <v>0</v>
      </c>
      <c r="N40" s="253">
        <v>0</v>
      </c>
      <c r="O40" s="253">
        <v>0</v>
      </c>
      <c r="P40" s="252">
        <v>0</v>
      </c>
    </row>
    <row r="41" spans="6:16" x14ac:dyDescent="0.25">
      <c r="F41" t="s">
        <v>173</v>
      </c>
      <c r="H41" t="s">
        <v>1066</v>
      </c>
      <c r="J41" s="252">
        <v>-1.1519999999999999</v>
      </c>
      <c r="K41" s="252">
        <v>0</v>
      </c>
      <c r="L41" s="252">
        <v>0</v>
      </c>
      <c r="M41" s="253">
        <v>0</v>
      </c>
      <c r="N41" s="253">
        <v>0</v>
      </c>
      <c r="O41" s="253">
        <v>0</v>
      </c>
      <c r="P41" s="252">
        <v>0.22500000000000001</v>
      </c>
    </row>
    <row r="42" spans="6:16" x14ac:dyDescent="0.25">
      <c r="F42" t="s">
        <v>174</v>
      </c>
      <c r="H42" t="s">
        <v>1066</v>
      </c>
      <c r="J42" s="252">
        <v>-1.1519999999999999</v>
      </c>
      <c r="K42" s="252">
        <v>0</v>
      </c>
      <c r="L42" s="252">
        <v>0</v>
      </c>
      <c r="M42" s="253">
        <v>0</v>
      </c>
      <c r="N42" s="253">
        <v>0</v>
      </c>
      <c r="O42" s="253">
        <v>0</v>
      </c>
      <c r="P42" s="252">
        <v>0</v>
      </c>
    </row>
    <row r="43" spans="6:16" x14ac:dyDescent="0.25">
      <c r="F43" t="s">
        <v>175</v>
      </c>
      <c r="H43" t="s">
        <v>1066</v>
      </c>
      <c r="J43" s="252">
        <v>-6.0880000000000001</v>
      </c>
      <c r="K43" s="252">
        <v>-0.93400000000000005</v>
      </c>
      <c r="L43" s="252">
        <v>-0.437</v>
      </c>
      <c r="M43" s="253">
        <v>0</v>
      </c>
      <c r="N43" s="253">
        <v>0</v>
      </c>
      <c r="O43" s="253">
        <v>0</v>
      </c>
      <c r="P43" s="252">
        <v>0.22500000000000001</v>
      </c>
    </row>
    <row r="44" spans="6:16" x14ac:dyDescent="0.25">
      <c r="F44" t="s">
        <v>176</v>
      </c>
      <c r="H44" t="s">
        <v>1066</v>
      </c>
      <c r="J44" s="252">
        <v>-6.0880000000000001</v>
      </c>
      <c r="K44" s="252">
        <v>-0.93400000000000005</v>
      </c>
      <c r="L44" s="252">
        <v>-0.437</v>
      </c>
      <c r="M44" s="253">
        <v>0</v>
      </c>
      <c r="N44" s="253">
        <v>0</v>
      </c>
      <c r="O44" s="253">
        <v>0</v>
      </c>
      <c r="P44" s="252">
        <v>0</v>
      </c>
    </row>
    <row r="45" spans="6:16" x14ac:dyDescent="0.25">
      <c r="F45" t="s">
        <v>177</v>
      </c>
      <c r="H45" t="s">
        <v>1066</v>
      </c>
      <c r="J45" s="252">
        <v>-0.61599999999999999</v>
      </c>
      <c r="K45" s="252">
        <v>0</v>
      </c>
      <c r="L45" s="252">
        <v>0</v>
      </c>
      <c r="M45" s="253">
        <v>414.59</v>
      </c>
      <c r="N45" s="253">
        <v>0</v>
      </c>
      <c r="O45" s="253">
        <v>0</v>
      </c>
      <c r="P45" s="252">
        <v>0.20599999999999999</v>
      </c>
    </row>
    <row r="46" spans="6:16" x14ac:dyDescent="0.25">
      <c r="F46" t="s">
        <v>178</v>
      </c>
      <c r="H46" t="s">
        <v>1066</v>
      </c>
      <c r="J46" s="252">
        <v>-0.61599999999999999</v>
      </c>
      <c r="K46" s="252">
        <v>0</v>
      </c>
      <c r="L46" s="252">
        <v>0</v>
      </c>
      <c r="M46" s="253">
        <v>414.59</v>
      </c>
      <c r="N46" s="253">
        <v>0</v>
      </c>
      <c r="O46" s="253">
        <v>0</v>
      </c>
      <c r="P46" s="252">
        <v>0</v>
      </c>
    </row>
    <row r="47" spans="6:16" x14ac:dyDescent="0.25">
      <c r="F47" t="s">
        <v>179</v>
      </c>
      <c r="H47" t="s">
        <v>1066</v>
      </c>
      <c r="J47" s="252">
        <v>-3.327</v>
      </c>
      <c r="K47" s="252">
        <v>-0.49099999999999999</v>
      </c>
      <c r="L47" s="252">
        <v>-0.22900000000000001</v>
      </c>
      <c r="M47" s="253">
        <v>414.59</v>
      </c>
      <c r="N47" s="253">
        <v>0</v>
      </c>
      <c r="O47" s="253">
        <v>0</v>
      </c>
      <c r="P47" s="252">
        <v>0.20599999999999999</v>
      </c>
    </row>
    <row r="48" spans="6:16" x14ac:dyDescent="0.25">
      <c r="F48" s="37" t="s">
        <v>180</v>
      </c>
      <c r="G48" s="37"/>
      <c r="H48" s="37" t="s">
        <v>1066</v>
      </c>
      <c r="I48" s="37"/>
      <c r="J48" s="254">
        <v>-3.327</v>
      </c>
      <c r="K48" s="254">
        <v>-0.49099999999999999</v>
      </c>
      <c r="L48" s="254">
        <v>-0.22900000000000001</v>
      </c>
      <c r="M48" s="255">
        <v>414.59</v>
      </c>
      <c r="N48" s="255">
        <v>0</v>
      </c>
      <c r="O48" s="255">
        <v>0</v>
      </c>
      <c r="P48" s="254">
        <v>0</v>
      </c>
    </row>
    <row r="49" spans="4:16" x14ac:dyDescent="0.25">
      <c r="F49" s="2"/>
      <c r="J49" s="14"/>
      <c r="K49" s="14"/>
      <c r="L49" s="14"/>
      <c r="M49" s="256"/>
      <c r="N49" s="256"/>
      <c r="O49" s="256"/>
      <c r="P49" s="14"/>
    </row>
    <row r="50" spans="4:16" x14ac:dyDescent="0.25">
      <c r="D50" s="32"/>
      <c r="E50" s="32" t="s">
        <v>1099</v>
      </c>
      <c r="F50" s="2"/>
      <c r="J50" s="14"/>
      <c r="K50" s="14"/>
      <c r="L50" s="14"/>
      <c r="M50" s="256"/>
      <c r="N50" s="256"/>
      <c r="O50" s="256"/>
      <c r="P50" s="14"/>
    </row>
    <row r="51" spans="4:16" x14ac:dyDescent="0.25">
      <c r="F51" s="23" t="s">
        <v>148</v>
      </c>
      <c r="G51" s="23"/>
      <c r="H51" s="23" t="s">
        <v>508</v>
      </c>
      <c r="I51" s="23"/>
      <c r="J51" s="250">
        <f t="array" ref="J51:P57">TRANSPOSE(Rounding!J98:P104)</f>
        <v>2.5859999999999999</v>
      </c>
      <c r="K51" s="250">
        <v>0</v>
      </c>
      <c r="L51" s="250">
        <v>0</v>
      </c>
      <c r="M51" s="251">
        <v>4.74</v>
      </c>
      <c r="N51" s="251">
        <v>0</v>
      </c>
      <c r="O51" s="251">
        <v>0</v>
      </c>
      <c r="P51" s="250">
        <v>0</v>
      </c>
    </row>
    <row r="52" spans="4:16" x14ac:dyDescent="0.25">
      <c r="F52" t="s">
        <v>149</v>
      </c>
      <c r="H52" t="s">
        <v>508</v>
      </c>
      <c r="J52" s="252">
        <v>2.83</v>
      </c>
      <c r="K52" s="252">
        <v>1.663</v>
      </c>
      <c r="L52" s="252">
        <v>0</v>
      </c>
      <c r="M52" s="253">
        <v>4.74</v>
      </c>
      <c r="N52" s="253">
        <v>0</v>
      </c>
      <c r="O52" s="253">
        <v>0</v>
      </c>
      <c r="P52" s="252">
        <v>0</v>
      </c>
    </row>
    <row r="53" spans="4:16" x14ac:dyDescent="0.25">
      <c r="F53" t="s">
        <v>150</v>
      </c>
      <c r="H53" t="s">
        <v>508</v>
      </c>
      <c r="J53" s="252">
        <v>1.651</v>
      </c>
      <c r="K53" s="252">
        <v>0</v>
      </c>
      <c r="L53" s="252">
        <v>0</v>
      </c>
      <c r="M53" s="253">
        <v>0</v>
      </c>
      <c r="N53" s="253">
        <v>0</v>
      </c>
      <c r="O53" s="253">
        <v>0</v>
      </c>
      <c r="P53" s="252">
        <v>0</v>
      </c>
    </row>
    <row r="54" spans="4:16" x14ac:dyDescent="0.25">
      <c r="F54" t="s">
        <v>151</v>
      </c>
      <c r="H54" t="s">
        <v>508</v>
      </c>
      <c r="J54" s="252">
        <v>2.6280000000000001</v>
      </c>
      <c r="K54" s="252">
        <v>0</v>
      </c>
      <c r="L54" s="252">
        <v>0</v>
      </c>
      <c r="M54" s="253">
        <v>6.7</v>
      </c>
      <c r="N54" s="253">
        <v>0</v>
      </c>
      <c r="O54" s="253">
        <v>0</v>
      </c>
      <c r="P54" s="252">
        <v>0</v>
      </c>
    </row>
    <row r="55" spans="4:16" x14ac:dyDescent="0.25">
      <c r="F55" t="s">
        <v>152</v>
      </c>
      <c r="H55" t="s">
        <v>508</v>
      </c>
      <c r="J55" s="252">
        <v>2.766</v>
      </c>
      <c r="K55" s="252">
        <v>1.5720000000000001</v>
      </c>
      <c r="L55" s="252">
        <v>0</v>
      </c>
      <c r="M55" s="253">
        <v>6.7</v>
      </c>
      <c r="N55" s="253">
        <v>0</v>
      </c>
      <c r="O55" s="253">
        <v>0</v>
      </c>
      <c r="P55" s="252">
        <v>0</v>
      </c>
    </row>
    <row r="56" spans="4:16" x14ac:dyDescent="0.25">
      <c r="F56" t="s">
        <v>153</v>
      </c>
      <c r="H56" t="s">
        <v>508</v>
      </c>
      <c r="J56" s="252">
        <v>1.595</v>
      </c>
      <c r="K56" s="252">
        <v>0</v>
      </c>
      <c r="L56" s="252">
        <v>0</v>
      </c>
      <c r="M56" s="253">
        <v>0</v>
      </c>
      <c r="N56" s="253">
        <v>0</v>
      </c>
      <c r="O56" s="253">
        <v>0</v>
      </c>
      <c r="P56" s="252">
        <v>0</v>
      </c>
    </row>
    <row r="57" spans="4:16" x14ac:dyDescent="0.25">
      <c r="F57" t="s">
        <v>154</v>
      </c>
      <c r="H57" t="s">
        <v>508</v>
      </c>
      <c r="J57" s="252">
        <v>2.5379999999999998</v>
      </c>
      <c r="K57" s="252">
        <v>1.54</v>
      </c>
      <c r="L57" s="252">
        <v>0</v>
      </c>
      <c r="M57" s="253">
        <v>58.16</v>
      </c>
      <c r="N57" s="253">
        <v>0</v>
      </c>
      <c r="O57" s="253">
        <v>0</v>
      </c>
      <c r="P57" s="252">
        <v>0</v>
      </c>
    </row>
    <row r="58" spans="4:16" x14ac:dyDescent="0.25">
      <c r="F58" t="s">
        <v>155</v>
      </c>
      <c r="H58" t="s">
        <v>508</v>
      </c>
      <c r="J58" s="257"/>
      <c r="K58" s="257"/>
      <c r="L58" s="257"/>
      <c r="M58" s="258"/>
      <c r="N58" s="258"/>
      <c r="O58" s="258"/>
      <c r="P58" s="257"/>
    </row>
    <row r="59" spans="4:16" x14ac:dyDescent="0.25">
      <c r="F59" t="s">
        <v>156</v>
      </c>
      <c r="H59" t="s">
        <v>508</v>
      </c>
      <c r="J59" s="257"/>
      <c r="K59" s="257"/>
      <c r="L59" s="257"/>
      <c r="M59" s="258"/>
      <c r="N59" s="258"/>
      <c r="O59" s="258"/>
      <c r="P59" s="257"/>
    </row>
    <row r="60" spans="4:16" x14ac:dyDescent="0.25">
      <c r="F60" t="s">
        <v>157</v>
      </c>
      <c r="H60" t="s">
        <v>508</v>
      </c>
      <c r="J60" s="252">
        <f t="array" ref="J60:P62">TRANSPOSE(Rounding!S98:U104)</f>
        <v>7.6020000000000003</v>
      </c>
      <c r="K60" s="252">
        <v>2.056</v>
      </c>
      <c r="L60" s="252">
        <v>1.5189999999999999</v>
      </c>
      <c r="M60" s="253">
        <v>4.74</v>
      </c>
      <c r="N60" s="253">
        <v>0</v>
      </c>
      <c r="O60" s="253">
        <v>0</v>
      </c>
      <c r="P60" s="252">
        <v>0</v>
      </c>
    </row>
    <row r="61" spans="4:16" x14ac:dyDescent="0.25">
      <c r="F61" t="s">
        <v>158</v>
      </c>
      <c r="H61" t="s">
        <v>508</v>
      </c>
      <c r="J61" s="252">
        <v>8.2100000000000009</v>
      </c>
      <c r="K61" s="252">
        <v>2.149</v>
      </c>
      <c r="L61" s="252">
        <v>1.5620000000000001</v>
      </c>
      <c r="M61" s="253">
        <v>6.7</v>
      </c>
      <c r="N61" s="253">
        <v>0</v>
      </c>
      <c r="O61" s="253">
        <v>0</v>
      </c>
      <c r="P61" s="252">
        <v>0</v>
      </c>
    </row>
    <row r="62" spans="4:16" x14ac:dyDescent="0.25">
      <c r="F62" t="s">
        <v>159</v>
      </c>
      <c r="H62" t="s">
        <v>508</v>
      </c>
      <c r="J62" s="252">
        <v>5.8559999999999999</v>
      </c>
      <c r="K62" s="252">
        <v>1.7809999999999999</v>
      </c>
      <c r="L62" s="252">
        <v>1.389</v>
      </c>
      <c r="M62" s="253">
        <v>18.96</v>
      </c>
      <c r="N62" s="253">
        <v>3.36</v>
      </c>
      <c r="O62" s="253">
        <v>6.17</v>
      </c>
      <c r="P62" s="252">
        <v>0.193</v>
      </c>
    </row>
    <row r="63" spans="4:16" x14ac:dyDescent="0.25">
      <c r="F63" t="s">
        <v>160</v>
      </c>
      <c r="H63" t="s">
        <v>508</v>
      </c>
      <c r="J63" s="257"/>
      <c r="K63" s="257"/>
      <c r="L63" s="257"/>
      <c r="M63" s="258"/>
      <c r="N63" s="258"/>
      <c r="O63" s="258"/>
      <c r="P63" s="257"/>
    </row>
    <row r="64" spans="4:16" x14ac:dyDescent="0.25">
      <c r="F64" t="s">
        <v>161</v>
      </c>
      <c r="H64" t="s">
        <v>508</v>
      </c>
      <c r="J64" s="257"/>
      <c r="K64" s="257"/>
      <c r="L64" s="257"/>
      <c r="M64" s="258"/>
      <c r="N64" s="258"/>
      <c r="O64" s="258"/>
      <c r="P64" s="257"/>
    </row>
    <row r="65" spans="6:16" x14ac:dyDescent="0.25">
      <c r="F65" t="s">
        <v>162</v>
      </c>
      <c r="H65" t="s">
        <v>508</v>
      </c>
      <c r="J65" s="252">
        <f t="array" ref="J65:P70">TRANSPOSE(Rounding!X98:AC104)</f>
        <v>3.3570000000000002</v>
      </c>
      <c r="K65" s="252">
        <v>0</v>
      </c>
      <c r="L65" s="252">
        <v>0</v>
      </c>
      <c r="M65" s="253">
        <v>0</v>
      </c>
      <c r="N65" s="253">
        <v>0</v>
      </c>
      <c r="O65" s="253">
        <v>0</v>
      </c>
      <c r="P65" s="252">
        <v>0</v>
      </c>
    </row>
    <row r="66" spans="6:16" x14ac:dyDescent="0.25">
      <c r="F66" t="s">
        <v>163</v>
      </c>
      <c r="H66" t="s">
        <v>508</v>
      </c>
      <c r="J66" s="252">
        <v>3.4180000000000001</v>
      </c>
      <c r="K66" s="252">
        <v>0</v>
      </c>
      <c r="L66" s="252">
        <v>0</v>
      </c>
      <c r="M66" s="253">
        <v>0</v>
      </c>
      <c r="N66" s="253">
        <v>0</v>
      </c>
      <c r="O66" s="253">
        <v>0</v>
      </c>
      <c r="P66" s="252">
        <v>0</v>
      </c>
    </row>
    <row r="67" spans="6:16" x14ac:dyDescent="0.25">
      <c r="F67" t="s">
        <v>164</v>
      </c>
      <c r="H67" t="s">
        <v>508</v>
      </c>
      <c r="J67" s="252">
        <v>4.03</v>
      </c>
      <c r="K67" s="252">
        <v>0</v>
      </c>
      <c r="L67" s="252">
        <v>0</v>
      </c>
      <c r="M67" s="253">
        <v>0</v>
      </c>
      <c r="N67" s="253">
        <v>0</v>
      </c>
      <c r="O67" s="253">
        <v>0</v>
      </c>
      <c r="P67" s="252">
        <v>0</v>
      </c>
    </row>
    <row r="68" spans="6:16" x14ac:dyDescent="0.25">
      <c r="F68" t="s">
        <v>165</v>
      </c>
      <c r="H68" t="s">
        <v>508</v>
      </c>
      <c r="J68" s="252">
        <v>3.359</v>
      </c>
      <c r="K68" s="252">
        <v>0</v>
      </c>
      <c r="L68" s="252">
        <v>0</v>
      </c>
      <c r="M68" s="253">
        <v>0</v>
      </c>
      <c r="N68" s="253">
        <v>0</v>
      </c>
      <c r="O68" s="253">
        <v>0</v>
      </c>
      <c r="P68" s="252">
        <v>0</v>
      </c>
    </row>
    <row r="69" spans="6:16" x14ac:dyDescent="0.25">
      <c r="F69" t="s">
        <v>166</v>
      </c>
      <c r="H69" t="s">
        <v>508</v>
      </c>
      <c r="J69" s="252">
        <v>14.058999999999999</v>
      </c>
      <c r="K69" s="252">
        <v>3.3319999999999999</v>
      </c>
      <c r="L69" s="252">
        <v>2.738</v>
      </c>
      <c r="M69" s="253">
        <v>0</v>
      </c>
      <c r="N69" s="253">
        <v>0</v>
      </c>
      <c r="O69" s="253">
        <v>0</v>
      </c>
      <c r="P69" s="252">
        <v>0</v>
      </c>
    </row>
    <row r="70" spans="6:16" x14ac:dyDescent="0.25">
      <c r="F70" t="s">
        <v>167</v>
      </c>
      <c r="H70" t="s">
        <v>508</v>
      </c>
      <c r="J70" s="252">
        <v>-1.284</v>
      </c>
      <c r="K70" s="252">
        <v>0</v>
      </c>
      <c r="L70" s="252">
        <v>0</v>
      </c>
      <c r="M70" s="253">
        <v>0</v>
      </c>
      <c r="N70" s="253">
        <v>0</v>
      </c>
      <c r="O70" s="253">
        <v>0</v>
      </c>
      <c r="P70" s="252">
        <v>0</v>
      </c>
    </row>
    <row r="71" spans="6:16" x14ac:dyDescent="0.25">
      <c r="F71" t="s">
        <v>168</v>
      </c>
      <c r="H71" t="s">
        <v>508</v>
      </c>
      <c r="J71" s="257"/>
      <c r="K71" s="257"/>
      <c r="L71" s="257"/>
      <c r="M71" s="258"/>
      <c r="N71" s="258"/>
      <c r="O71" s="258"/>
      <c r="P71" s="257"/>
    </row>
    <row r="72" spans="6:16" x14ac:dyDescent="0.25">
      <c r="F72" t="s">
        <v>169</v>
      </c>
      <c r="H72" t="s">
        <v>508</v>
      </c>
      <c r="J72" s="252">
        <f t="array" ref="J72:P72">TRANSPOSE(Rounding!AE98:AE104)</f>
        <v>-1.284</v>
      </c>
      <c r="K72" s="252">
        <v>0</v>
      </c>
      <c r="L72" s="252">
        <v>0</v>
      </c>
      <c r="M72" s="253">
        <v>0</v>
      </c>
      <c r="N72" s="253">
        <v>0</v>
      </c>
      <c r="O72" s="253">
        <v>0</v>
      </c>
      <c r="P72" s="252">
        <v>0.26500000000000001</v>
      </c>
    </row>
    <row r="73" spans="6:16" x14ac:dyDescent="0.25">
      <c r="F73" t="s">
        <v>170</v>
      </c>
      <c r="H73" t="s">
        <v>508</v>
      </c>
      <c r="J73" s="257"/>
      <c r="K73" s="257"/>
      <c r="L73" s="257"/>
      <c r="M73" s="258"/>
      <c r="N73" s="258"/>
      <c r="O73" s="258"/>
      <c r="P73" s="257"/>
    </row>
    <row r="74" spans="6:16" x14ac:dyDescent="0.25">
      <c r="F74" t="s">
        <v>171</v>
      </c>
      <c r="H74" t="s">
        <v>508</v>
      </c>
      <c r="J74" s="252">
        <f t="array" ref="J74:P74">TRANSPOSE(Rounding!AG98:AG104)</f>
        <v>-6.7720000000000002</v>
      </c>
      <c r="K74" s="252">
        <v>-1.0429999999999999</v>
      </c>
      <c r="L74" s="252">
        <v>-0.48799999999999999</v>
      </c>
      <c r="M74" s="253">
        <v>0</v>
      </c>
      <c r="N74" s="253">
        <v>0</v>
      </c>
      <c r="O74" s="253">
        <v>0</v>
      </c>
      <c r="P74" s="252">
        <v>0.26500000000000001</v>
      </c>
    </row>
    <row r="75" spans="6:16" x14ac:dyDescent="0.25">
      <c r="F75" t="s">
        <v>172</v>
      </c>
      <c r="H75" t="s">
        <v>508</v>
      </c>
      <c r="J75" s="257"/>
      <c r="K75" s="257"/>
      <c r="L75" s="257"/>
      <c r="M75" s="258"/>
      <c r="N75" s="258"/>
      <c r="O75" s="258"/>
      <c r="P75" s="257"/>
    </row>
    <row r="76" spans="6:16" x14ac:dyDescent="0.25">
      <c r="F76" t="s">
        <v>173</v>
      </c>
      <c r="H76" t="s">
        <v>508</v>
      </c>
      <c r="J76" s="257"/>
      <c r="K76" s="257"/>
      <c r="L76" s="257"/>
      <c r="M76" s="258"/>
      <c r="N76" s="258"/>
      <c r="O76" s="258"/>
      <c r="P76" s="257"/>
    </row>
    <row r="77" spans="6:16" x14ac:dyDescent="0.25">
      <c r="F77" t="s">
        <v>174</v>
      </c>
      <c r="H77" t="s">
        <v>508</v>
      </c>
      <c r="J77" s="257"/>
      <c r="K77" s="257"/>
      <c r="L77" s="257"/>
      <c r="M77" s="258"/>
      <c r="N77" s="258"/>
      <c r="O77" s="258"/>
      <c r="P77" s="257"/>
    </row>
    <row r="78" spans="6:16" x14ac:dyDescent="0.25">
      <c r="F78" t="s">
        <v>175</v>
      </c>
      <c r="H78" t="s">
        <v>508</v>
      </c>
      <c r="J78" s="257"/>
      <c r="K78" s="257"/>
      <c r="L78" s="257"/>
      <c r="M78" s="258"/>
      <c r="N78" s="258"/>
      <c r="O78" s="258"/>
      <c r="P78" s="257"/>
    </row>
    <row r="79" spans="6:16" x14ac:dyDescent="0.25">
      <c r="F79" t="s">
        <v>176</v>
      </c>
      <c r="H79" t="s">
        <v>508</v>
      </c>
      <c r="J79" s="257"/>
      <c r="K79" s="257"/>
      <c r="L79" s="257"/>
      <c r="M79" s="258"/>
      <c r="N79" s="258"/>
      <c r="O79" s="258"/>
      <c r="P79" s="257"/>
    </row>
    <row r="80" spans="6:16" x14ac:dyDescent="0.25">
      <c r="F80" t="s">
        <v>177</v>
      </c>
      <c r="H80" t="s">
        <v>508</v>
      </c>
      <c r="J80" s="257"/>
      <c r="K80" s="257"/>
      <c r="L80" s="257"/>
      <c r="M80" s="258"/>
      <c r="N80" s="258"/>
      <c r="O80" s="258"/>
      <c r="P80" s="257"/>
    </row>
    <row r="81" spans="4:16" x14ac:dyDescent="0.25">
      <c r="F81" t="s">
        <v>178</v>
      </c>
      <c r="H81" t="s">
        <v>508</v>
      </c>
      <c r="J81" s="257"/>
      <c r="K81" s="257"/>
      <c r="L81" s="257"/>
      <c r="M81" s="258"/>
      <c r="N81" s="258"/>
      <c r="O81" s="258"/>
      <c r="P81" s="257"/>
    </row>
    <row r="82" spans="4:16" x14ac:dyDescent="0.25">
      <c r="F82" t="s">
        <v>179</v>
      </c>
      <c r="H82" t="s">
        <v>508</v>
      </c>
      <c r="J82" s="257"/>
      <c r="K82" s="257"/>
      <c r="L82" s="257"/>
      <c r="M82" s="258"/>
      <c r="N82" s="258"/>
      <c r="O82" s="258"/>
      <c r="P82" s="257"/>
    </row>
    <row r="83" spans="4:16" x14ac:dyDescent="0.25">
      <c r="F83" s="37" t="s">
        <v>180</v>
      </c>
      <c r="G83" s="37"/>
      <c r="H83" s="37" t="s">
        <v>508</v>
      </c>
      <c r="I83" s="37"/>
      <c r="J83" s="259"/>
      <c r="K83" s="259"/>
      <c r="L83" s="259"/>
      <c r="M83" s="260"/>
      <c r="N83" s="260"/>
      <c r="O83" s="260"/>
      <c r="P83" s="259"/>
    </row>
    <row r="84" spans="4:16" x14ac:dyDescent="0.25">
      <c r="D84"/>
      <c r="E84"/>
      <c r="M84" s="261"/>
      <c r="N84" s="261"/>
      <c r="O84" s="261"/>
    </row>
    <row r="85" spans="4:16" x14ac:dyDescent="0.25">
      <c r="D85" s="32"/>
      <c r="E85" s="32" t="s">
        <v>1100</v>
      </c>
      <c r="M85" s="261"/>
      <c r="N85" s="261"/>
      <c r="O85" s="261"/>
    </row>
    <row r="86" spans="4:16" x14ac:dyDescent="0.25">
      <c r="F86" s="23" t="s">
        <v>148</v>
      </c>
      <c r="G86" s="23"/>
      <c r="H86" s="23" t="s">
        <v>509</v>
      </c>
      <c r="I86" s="23"/>
      <c r="J86" s="250">
        <f t="array" ref="J86:P92">TRANSPOSE(Rounding!J107:P113)</f>
        <v>1.5329999999999999</v>
      </c>
      <c r="K86" s="250">
        <v>0</v>
      </c>
      <c r="L86" s="250">
        <v>0</v>
      </c>
      <c r="M86" s="251">
        <v>2.81</v>
      </c>
      <c r="N86" s="251">
        <v>0</v>
      </c>
      <c r="O86" s="251">
        <v>0</v>
      </c>
      <c r="P86" s="250">
        <v>0</v>
      </c>
    </row>
    <row r="87" spans="4:16" x14ac:dyDescent="0.25">
      <c r="F87" t="s">
        <v>149</v>
      </c>
      <c r="H87" t="s">
        <v>509</v>
      </c>
      <c r="J87" s="252">
        <v>1.677</v>
      </c>
      <c r="K87" s="252">
        <v>0.98599999999999999</v>
      </c>
      <c r="L87" s="252">
        <v>0</v>
      </c>
      <c r="M87" s="253">
        <v>2.81</v>
      </c>
      <c r="N87" s="253">
        <v>0</v>
      </c>
      <c r="O87" s="253">
        <v>0</v>
      </c>
      <c r="P87" s="252">
        <v>0</v>
      </c>
    </row>
    <row r="88" spans="4:16" x14ac:dyDescent="0.25">
      <c r="F88" t="s">
        <v>150</v>
      </c>
      <c r="H88" t="s">
        <v>509</v>
      </c>
      <c r="J88" s="252">
        <v>0.97899999999999998</v>
      </c>
      <c r="K88" s="252">
        <v>0</v>
      </c>
      <c r="L88" s="252">
        <v>0</v>
      </c>
      <c r="M88" s="253">
        <v>0</v>
      </c>
      <c r="N88" s="253">
        <v>0</v>
      </c>
      <c r="O88" s="253">
        <v>0</v>
      </c>
      <c r="P88" s="252">
        <v>0</v>
      </c>
    </row>
    <row r="89" spans="4:16" x14ac:dyDescent="0.25">
      <c r="F89" t="s">
        <v>151</v>
      </c>
      <c r="H89" t="s">
        <v>509</v>
      </c>
      <c r="J89" s="252">
        <v>1.5569999999999999</v>
      </c>
      <c r="K89" s="252">
        <v>0</v>
      </c>
      <c r="L89" s="252">
        <v>0</v>
      </c>
      <c r="M89" s="253">
        <v>3.97</v>
      </c>
      <c r="N89" s="253">
        <v>0</v>
      </c>
      <c r="O89" s="253">
        <v>0</v>
      </c>
      <c r="P89" s="252">
        <v>0</v>
      </c>
    </row>
    <row r="90" spans="4:16" x14ac:dyDescent="0.25">
      <c r="F90" t="s">
        <v>152</v>
      </c>
      <c r="H90" t="s">
        <v>509</v>
      </c>
      <c r="J90" s="252">
        <v>1.639</v>
      </c>
      <c r="K90" s="252">
        <v>0.93100000000000005</v>
      </c>
      <c r="L90" s="252">
        <v>0</v>
      </c>
      <c r="M90" s="253">
        <v>3.97</v>
      </c>
      <c r="N90" s="253">
        <v>0</v>
      </c>
      <c r="O90" s="253">
        <v>0</v>
      </c>
      <c r="P90" s="252">
        <v>0</v>
      </c>
    </row>
    <row r="91" spans="4:16" x14ac:dyDescent="0.25">
      <c r="F91" t="s">
        <v>153</v>
      </c>
      <c r="H91" t="s">
        <v>509</v>
      </c>
      <c r="J91" s="252">
        <v>0.94499999999999995</v>
      </c>
      <c r="K91" s="252">
        <v>0</v>
      </c>
      <c r="L91" s="252">
        <v>0</v>
      </c>
      <c r="M91" s="253">
        <v>0</v>
      </c>
      <c r="N91" s="253">
        <v>0</v>
      </c>
      <c r="O91" s="253">
        <v>0</v>
      </c>
      <c r="P91" s="252">
        <v>0</v>
      </c>
    </row>
    <row r="92" spans="4:16" x14ac:dyDescent="0.25">
      <c r="F92" t="s">
        <v>154</v>
      </c>
      <c r="H92" t="s">
        <v>509</v>
      </c>
      <c r="J92" s="252">
        <v>1.504</v>
      </c>
      <c r="K92" s="252">
        <v>0.91300000000000003</v>
      </c>
      <c r="L92" s="252">
        <v>0</v>
      </c>
      <c r="M92" s="253">
        <v>34.47</v>
      </c>
      <c r="N92" s="253">
        <v>0</v>
      </c>
      <c r="O92" s="253">
        <v>0</v>
      </c>
      <c r="P92" s="252">
        <v>0</v>
      </c>
    </row>
    <row r="93" spans="4:16" x14ac:dyDescent="0.25">
      <c r="F93" t="s">
        <v>155</v>
      </c>
      <c r="H93" t="s">
        <v>509</v>
      </c>
      <c r="J93" s="257"/>
      <c r="K93" s="257"/>
      <c r="L93" s="257"/>
      <c r="M93" s="258"/>
      <c r="N93" s="258"/>
      <c r="O93" s="258"/>
      <c r="P93" s="257"/>
    </row>
    <row r="94" spans="4:16" x14ac:dyDescent="0.25">
      <c r="F94" t="s">
        <v>156</v>
      </c>
      <c r="H94" t="s">
        <v>509</v>
      </c>
      <c r="J94" s="257"/>
      <c r="K94" s="257"/>
      <c r="L94" s="257"/>
      <c r="M94" s="258"/>
      <c r="N94" s="258"/>
      <c r="O94" s="258"/>
      <c r="P94" s="257"/>
    </row>
    <row r="95" spans="4:16" x14ac:dyDescent="0.25">
      <c r="F95" t="s">
        <v>157</v>
      </c>
      <c r="H95" t="s">
        <v>509</v>
      </c>
      <c r="J95" s="252">
        <f t="array" ref="J95:P107">TRANSPOSE(Rounding!S107:AE113)</f>
        <v>4.5049999999999999</v>
      </c>
      <c r="K95" s="252">
        <v>1.218</v>
      </c>
      <c r="L95" s="252">
        <v>0.9</v>
      </c>
      <c r="M95" s="253">
        <v>2.81</v>
      </c>
      <c r="N95" s="253">
        <v>0</v>
      </c>
      <c r="O95" s="253">
        <v>0</v>
      </c>
      <c r="P95" s="252">
        <v>0</v>
      </c>
    </row>
    <row r="96" spans="4:16" x14ac:dyDescent="0.25">
      <c r="F96" t="s">
        <v>158</v>
      </c>
      <c r="H96" t="s">
        <v>509</v>
      </c>
      <c r="J96" s="252">
        <v>4.8659999999999997</v>
      </c>
      <c r="K96" s="252">
        <v>1.274</v>
      </c>
      <c r="L96" s="252">
        <v>0.92600000000000005</v>
      </c>
      <c r="M96" s="253">
        <v>3.97</v>
      </c>
      <c r="N96" s="253">
        <v>0</v>
      </c>
      <c r="O96" s="253">
        <v>0</v>
      </c>
      <c r="P96" s="252">
        <v>0</v>
      </c>
    </row>
    <row r="97" spans="6:16" x14ac:dyDescent="0.25">
      <c r="F97" t="s">
        <v>159</v>
      </c>
      <c r="H97" t="s">
        <v>509</v>
      </c>
      <c r="J97" s="252">
        <v>3.47</v>
      </c>
      <c r="K97" s="252">
        <v>1.0549999999999999</v>
      </c>
      <c r="L97" s="252">
        <v>0.82299999999999995</v>
      </c>
      <c r="M97" s="253">
        <v>11.23</v>
      </c>
      <c r="N97" s="253">
        <v>1.99</v>
      </c>
      <c r="O97" s="253">
        <v>3.66</v>
      </c>
      <c r="P97" s="252">
        <v>0.114</v>
      </c>
    </row>
    <row r="98" spans="6:16" x14ac:dyDescent="0.25">
      <c r="F98" t="s">
        <v>160</v>
      </c>
      <c r="H98" t="s">
        <v>509</v>
      </c>
      <c r="J98" s="252">
        <v>3.3330000000000002</v>
      </c>
      <c r="K98" s="252">
        <v>1.2569999999999999</v>
      </c>
      <c r="L98" s="252">
        <v>1.0649999999999999</v>
      </c>
      <c r="M98" s="253">
        <v>30.88</v>
      </c>
      <c r="N98" s="253">
        <v>4.72</v>
      </c>
      <c r="O98" s="253">
        <v>6.54</v>
      </c>
      <c r="P98" s="252">
        <v>8.3000000000000004E-2</v>
      </c>
    </row>
    <row r="99" spans="6:16" x14ac:dyDescent="0.25">
      <c r="F99" t="s">
        <v>161</v>
      </c>
      <c r="H99" t="s">
        <v>509</v>
      </c>
      <c r="J99" s="252">
        <v>2.6989999999999998</v>
      </c>
      <c r="K99" s="252">
        <v>1.2250000000000001</v>
      </c>
      <c r="L99" s="252">
        <v>1.095</v>
      </c>
      <c r="M99" s="253">
        <v>197.99</v>
      </c>
      <c r="N99" s="253">
        <v>6.95</v>
      </c>
      <c r="O99" s="253">
        <v>8.1999999999999993</v>
      </c>
      <c r="P99" s="252">
        <v>0.06</v>
      </c>
    </row>
    <row r="100" spans="6:16" x14ac:dyDescent="0.25">
      <c r="F100" t="s">
        <v>162</v>
      </c>
      <c r="H100" t="s">
        <v>509</v>
      </c>
      <c r="J100" s="252">
        <v>1.99</v>
      </c>
      <c r="K100" s="252">
        <v>0</v>
      </c>
      <c r="L100" s="252">
        <v>0</v>
      </c>
      <c r="M100" s="253">
        <v>0</v>
      </c>
      <c r="N100" s="253">
        <v>0</v>
      </c>
      <c r="O100" s="253">
        <v>0</v>
      </c>
      <c r="P100" s="252">
        <v>0</v>
      </c>
    </row>
    <row r="101" spans="6:16" x14ac:dyDescent="0.25">
      <c r="F101" t="s">
        <v>163</v>
      </c>
      <c r="H101" t="s">
        <v>509</v>
      </c>
      <c r="J101" s="252">
        <v>2.0259999999999998</v>
      </c>
      <c r="K101" s="252">
        <v>0</v>
      </c>
      <c r="L101" s="252">
        <v>0</v>
      </c>
      <c r="M101" s="253">
        <v>0</v>
      </c>
      <c r="N101" s="253">
        <v>0</v>
      </c>
      <c r="O101" s="253">
        <v>0</v>
      </c>
      <c r="P101" s="252">
        <v>0</v>
      </c>
    </row>
    <row r="102" spans="6:16" x14ac:dyDescent="0.25">
      <c r="F102" t="s">
        <v>164</v>
      </c>
      <c r="H102" t="s">
        <v>509</v>
      </c>
      <c r="J102" s="252">
        <v>2.3879999999999999</v>
      </c>
      <c r="K102" s="252">
        <v>0</v>
      </c>
      <c r="L102" s="252">
        <v>0</v>
      </c>
      <c r="M102" s="253">
        <v>0</v>
      </c>
      <c r="N102" s="253">
        <v>0</v>
      </c>
      <c r="O102" s="253">
        <v>0</v>
      </c>
      <c r="P102" s="252">
        <v>0</v>
      </c>
    </row>
    <row r="103" spans="6:16" x14ac:dyDescent="0.25">
      <c r="F103" t="s">
        <v>165</v>
      </c>
      <c r="H103" t="s">
        <v>509</v>
      </c>
      <c r="J103" s="252">
        <v>1.9910000000000001</v>
      </c>
      <c r="K103" s="252">
        <v>0</v>
      </c>
      <c r="L103" s="252">
        <v>0</v>
      </c>
      <c r="M103" s="253">
        <v>0</v>
      </c>
      <c r="N103" s="253">
        <v>0</v>
      </c>
      <c r="O103" s="253">
        <v>0</v>
      </c>
      <c r="P103" s="252">
        <v>0</v>
      </c>
    </row>
    <row r="104" spans="6:16" x14ac:dyDescent="0.25">
      <c r="F104" t="s">
        <v>166</v>
      </c>
      <c r="H104" t="s">
        <v>509</v>
      </c>
      <c r="J104" s="252">
        <v>8.3320000000000007</v>
      </c>
      <c r="K104" s="252">
        <v>1.974</v>
      </c>
      <c r="L104" s="252">
        <v>1.623</v>
      </c>
      <c r="M104" s="253">
        <v>0</v>
      </c>
      <c r="N104" s="253">
        <v>0</v>
      </c>
      <c r="O104" s="253">
        <v>0</v>
      </c>
      <c r="P104" s="252">
        <v>0</v>
      </c>
    </row>
    <row r="105" spans="6:16" x14ac:dyDescent="0.25">
      <c r="F105" t="s">
        <v>167</v>
      </c>
      <c r="H105" t="s">
        <v>509</v>
      </c>
      <c r="J105" s="252">
        <v>-1.284</v>
      </c>
      <c r="K105" s="252">
        <v>0</v>
      </c>
      <c r="L105" s="252">
        <v>0</v>
      </c>
      <c r="M105" s="253">
        <v>0</v>
      </c>
      <c r="N105" s="253">
        <v>0</v>
      </c>
      <c r="O105" s="253">
        <v>0</v>
      </c>
      <c r="P105" s="252">
        <v>0</v>
      </c>
    </row>
    <row r="106" spans="6:16" x14ac:dyDescent="0.25">
      <c r="F106" t="s">
        <v>168</v>
      </c>
      <c r="H106" t="s">
        <v>509</v>
      </c>
      <c r="J106" s="252">
        <v>-1.1519999999999999</v>
      </c>
      <c r="K106" s="252">
        <v>0</v>
      </c>
      <c r="L106" s="252">
        <v>0</v>
      </c>
      <c r="M106" s="253">
        <v>0</v>
      </c>
      <c r="N106" s="253">
        <v>0</v>
      </c>
      <c r="O106" s="253">
        <v>0</v>
      </c>
      <c r="P106" s="252">
        <v>0</v>
      </c>
    </row>
    <row r="107" spans="6:16" x14ac:dyDescent="0.25">
      <c r="F107" t="s">
        <v>169</v>
      </c>
      <c r="H107" t="s">
        <v>509</v>
      </c>
      <c r="J107" s="252">
        <v>-1.284</v>
      </c>
      <c r="K107" s="252">
        <v>0</v>
      </c>
      <c r="L107" s="252">
        <v>0</v>
      </c>
      <c r="M107" s="253">
        <v>0</v>
      </c>
      <c r="N107" s="253">
        <v>0</v>
      </c>
      <c r="O107" s="253">
        <v>0</v>
      </c>
      <c r="P107" s="252">
        <v>0.26500000000000001</v>
      </c>
    </row>
    <row r="108" spans="6:16" x14ac:dyDescent="0.25">
      <c r="F108" t="s">
        <v>170</v>
      </c>
      <c r="H108" t="s">
        <v>509</v>
      </c>
      <c r="J108" s="257"/>
      <c r="K108" s="257"/>
      <c r="L108" s="257"/>
      <c r="M108" s="258"/>
      <c r="N108" s="258"/>
      <c r="O108" s="258"/>
      <c r="P108" s="257"/>
    </row>
    <row r="109" spans="6:16" x14ac:dyDescent="0.25">
      <c r="F109" t="s">
        <v>171</v>
      </c>
      <c r="H109" t="s">
        <v>509</v>
      </c>
      <c r="J109" s="252">
        <f t="array" ref="J109:P109">TRANSPOSE(Rounding!AG107:AG113)</f>
        <v>-6.7720000000000002</v>
      </c>
      <c r="K109" s="252">
        <v>-1.0429999999999999</v>
      </c>
      <c r="L109" s="252">
        <v>-0.48799999999999999</v>
      </c>
      <c r="M109" s="253">
        <v>0</v>
      </c>
      <c r="N109" s="253">
        <v>0</v>
      </c>
      <c r="O109" s="253">
        <v>0</v>
      </c>
      <c r="P109" s="252">
        <v>0.26500000000000001</v>
      </c>
    </row>
    <row r="110" spans="6:16" x14ac:dyDescent="0.25">
      <c r="F110" t="s">
        <v>172</v>
      </c>
      <c r="H110" t="s">
        <v>509</v>
      </c>
      <c r="J110" s="257"/>
      <c r="K110" s="257"/>
      <c r="L110" s="257"/>
      <c r="M110" s="258"/>
      <c r="N110" s="258"/>
      <c r="O110" s="258"/>
      <c r="P110" s="257"/>
    </row>
    <row r="111" spans="6:16" x14ac:dyDescent="0.25">
      <c r="F111" t="s">
        <v>173</v>
      </c>
      <c r="H111" t="s">
        <v>509</v>
      </c>
      <c r="J111" s="252">
        <f t="array" ref="J111:P111">TRANSPOSE(Rounding!AI107:AI113)</f>
        <v>-1.1519999999999999</v>
      </c>
      <c r="K111" s="252">
        <v>0</v>
      </c>
      <c r="L111" s="252">
        <v>0</v>
      </c>
      <c r="M111" s="253">
        <v>0</v>
      </c>
      <c r="N111" s="253">
        <v>0</v>
      </c>
      <c r="O111" s="253">
        <v>0</v>
      </c>
      <c r="P111" s="252">
        <v>0.22500000000000001</v>
      </c>
    </row>
    <row r="112" spans="6:16" x14ac:dyDescent="0.25">
      <c r="F112" t="s">
        <v>174</v>
      </c>
      <c r="H112" t="s">
        <v>509</v>
      </c>
      <c r="J112" s="257"/>
      <c r="K112" s="257"/>
      <c r="L112" s="257"/>
      <c r="M112" s="258"/>
      <c r="N112" s="258"/>
      <c r="O112" s="258"/>
      <c r="P112" s="257"/>
    </row>
    <row r="113" spans="2:19" x14ac:dyDescent="0.25">
      <c r="F113" t="s">
        <v>175</v>
      </c>
      <c r="H113" t="s">
        <v>509</v>
      </c>
      <c r="J113" s="252">
        <f t="array" ref="J113:P113">TRANSPOSE(Rounding!AK107:AK113)</f>
        <v>-6.0880000000000001</v>
      </c>
      <c r="K113" s="252">
        <v>-0.93400000000000005</v>
      </c>
      <c r="L113" s="252">
        <v>-0.437</v>
      </c>
      <c r="M113" s="253">
        <v>0</v>
      </c>
      <c r="N113" s="253">
        <v>0</v>
      </c>
      <c r="O113" s="253">
        <v>0</v>
      </c>
      <c r="P113" s="252">
        <v>0.22500000000000001</v>
      </c>
    </row>
    <row r="114" spans="2:19" x14ac:dyDescent="0.25">
      <c r="F114" t="s">
        <v>176</v>
      </c>
      <c r="H114" t="s">
        <v>509</v>
      </c>
      <c r="J114" s="257"/>
      <c r="K114" s="257"/>
      <c r="L114" s="257"/>
      <c r="M114" s="258"/>
      <c r="N114" s="258"/>
      <c r="O114" s="258"/>
      <c r="P114" s="257"/>
    </row>
    <row r="115" spans="2:19" x14ac:dyDescent="0.25">
      <c r="F115" t="s">
        <v>177</v>
      </c>
      <c r="H115" t="s">
        <v>509</v>
      </c>
      <c r="J115" s="252">
        <f t="array" ref="J115:P115">TRANSPOSE(Rounding!AM107:AM113)</f>
        <v>-0.61599999999999999</v>
      </c>
      <c r="K115" s="252">
        <v>0</v>
      </c>
      <c r="L115" s="252">
        <v>0</v>
      </c>
      <c r="M115" s="253">
        <v>0</v>
      </c>
      <c r="N115" s="253">
        <v>0</v>
      </c>
      <c r="O115" s="253">
        <v>0</v>
      </c>
      <c r="P115" s="252">
        <v>0.20599999999999999</v>
      </c>
    </row>
    <row r="116" spans="2:19" x14ac:dyDescent="0.25">
      <c r="F116" t="s">
        <v>178</v>
      </c>
      <c r="H116" t="s">
        <v>509</v>
      </c>
      <c r="J116" s="257"/>
      <c r="K116" s="257"/>
      <c r="L116" s="257"/>
      <c r="M116" s="258"/>
      <c r="N116" s="258"/>
      <c r="O116" s="258"/>
      <c r="P116" s="257"/>
    </row>
    <row r="117" spans="2:19" x14ac:dyDescent="0.25">
      <c r="F117" t="s">
        <v>179</v>
      </c>
      <c r="H117" t="s">
        <v>509</v>
      </c>
      <c r="J117" s="252">
        <f t="array" ref="J117:P117">TRANSPOSE(Rounding!AO107:AO113)</f>
        <v>-3.327</v>
      </c>
      <c r="K117" s="252">
        <v>-0.49099999999999999</v>
      </c>
      <c r="L117" s="252">
        <v>-0.22900000000000001</v>
      </c>
      <c r="M117" s="253">
        <v>0</v>
      </c>
      <c r="N117" s="253">
        <v>0</v>
      </c>
      <c r="O117" s="253">
        <v>0</v>
      </c>
      <c r="P117" s="252">
        <v>0.20599999999999999</v>
      </c>
    </row>
    <row r="118" spans="2:19" x14ac:dyDescent="0.25">
      <c r="F118" s="37" t="s">
        <v>180</v>
      </c>
      <c r="G118" s="37"/>
      <c r="H118" s="37" t="s">
        <v>509</v>
      </c>
      <c r="I118" s="37"/>
      <c r="J118" s="259"/>
      <c r="K118" s="259"/>
      <c r="L118" s="259"/>
      <c r="M118" s="260"/>
      <c r="N118" s="260"/>
      <c r="O118" s="260"/>
      <c r="P118" s="259"/>
    </row>
    <row r="119" spans="2:19" x14ac:dyDescent="0.25">
      <c r="D119" s="32"/>
      <c r="E119" s="32"/>
      <c r="F119" s="32"/>
      <c r="G119" s="32"/>
      <c r="H119" s="32"/>
      <c r="I119" s="32"/>
      <c r="J119" s="32"/>
      <c r="K119" s="32"/>
      <c r="L119" s="32"/>
      <c r="M119" s="262"/>
      <c r="N119" s="262"/>
      <c r="O119" s="262"/>
      <c r="P119" s="32"/>
      <c r="Q119" s="32"/>
      <c r="R119" s="32"/>
      <c r="S119" s="32"/>
    </row>
    <row r="120" spans="2:19" x14ac:dyDescent="0.25">
      <c r="B120" s="30" t="s">
        <v>280</v>
      </c>
      <c r="C120" s="30"/>
      <c r="D120" s="30"/>
      <c r="E120" s="30"/>
      <c r="F120" s="30"/>
      <c r="G120" s="30"/>
      <c r="H120" s="30"/>
      <c r="I120" s="30"/>
      <c r="J120" s="30"/>
      <c r="K120" s="30"/>
      <c r="L120" s="107"/>
      <c r="M120" s="263"/>
      <c r="N120" s="263"/>
      <c r="O120" s="263"/>
      <c r="P120" s="107"/>
      <c r="Q120" s="107"/>
      <c r="R120" s="107"/>
    </row>
    <row r="121" spans="2:19" x14ac:dyDescent="0.25">
      <c r="M121" s="261"/>
      <c r="N121" s="261"/>
      <c r="O121" s="261"/>
    </row>
    <row r="122" spans="2:19" x14ac:dyDescent="0.25">
      <c r="D122"/>
      <c r="E122" t="s">
        <v>281</v>
      </c>
      <c r="G122" s="6" t="s">
        <v>56</v>
      </c>
      <c r="H122" s="26">
        <f t="array" ref="H122">SUM(IF(ISERROR(J16:P118), 1))</f>
        <v>0</v>
      </c>
      <c r="M122" s="261"/>
      <c r="N122" s="261"/>
      <c r="O122" s="261"/>
    </row>
    <row r="123" spans="2:19" x14ac:dyDescent="0.25">
      <c r="M123" s="261"/>
      <c r="N123" s="261"/>
      <c r="O123" s="261"/>
    </row>
    <row r="124" spans="2:19" x14ac:dyDescent="0.25">
      <c r="B124" s="30" t="s">
        <v>107</v>
      </c>
      <c r="C124" s="30"/>
      <c r="D124" s="30"/>
      <c r="E124" s="30"/>
      <c r="F124" s="30"/>
      <c r="G124" s="30"/>
      <c r="H124" s="30"/>
      <c r="I124" s="30"/>
      <c r="J124" s="30"/>
      <c r="K124" s="30"/>
      <c r="L124" s="107"/>
      <c r="M124" s="263"/>
      <c r="N124" s="263"/>
      <c r="O124" s="263"/>
      <c r="P124" s="107"/>
      <c r="Q124" s="107"/>
      <c r="R124" s="107"/>
    </row>
    <row r="125" spans="2:19" x14ac:dyDescent="0.25">
      <c r="M125" s="261"/>
      <c r="N125" s="261"/>
      <c r="O125" s="261"/>
    </row>
    <row r="126" spans="2:19" x14ac:dyDescent="0.25">
      <c r="D126"/>
    </row>
  </sheetData>
  <sheetProtection sheet="1" objects="1" formatCells="0" formatColumns="0" formatRows="0" sort="0" autoFilter="0"/>
  <conditionalFormatting sqref="H122">
    <cfRule type="cellIs" dxfId="3" priority="12" operator="greaterThan">
      <formula>0</formula>
    </cfRule>
  </conditionalFormatting>
  <conditionalFormatting sqref="A4:XFD4">
    <cfRule type="expression" dxfId="2"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9">
    <tabColor theme="9" tint="0.39997558519241921"/>
    <pageSetUpPr fitToPage="1"/>
  </sheetPr>
  <dimension ref="A1:JX75"/>
  <sheetViews>
    <sheetView showGridLines="0" zoomScale="80" zoomScaleNormal="80" workbookViewId="0">
      <pane xSplit="9" ySplit="5" topLeftCell="J6" activePane="bottomRight" state="frozen"/>
      <selection pane="topRight" activeCell="H128" sqref="H128"/>
      <selection pane="bottomLeft" activeCell="H128" sqref="H128"/>
      <selection pane="bottomRight" activeCell="J6" sqref="J6"/>
    </sheetView>
  </sheetViews>
  <sheetFormatPr defaultColWidth="0" defaultRowHeight="15" x14ac:dyDescent="0.25"/>
  <cols>
    <col min="1" max="3" width="2.5703125" customWidth="1"/>
    <col min="4" max="5" width="2.5703125" style="2" customWidth="1"/>
    <col min="6" max="6" width="59.5703125" customWidth="1"/>
    <col min="7" max="8" width="20.5703125" customWidth="1"/>
    <col min="9" max="9" width="2.42578125" customWidth="1"/>
    <col min="10" max="36" width="17" customWidth="1"/>
    <col min="37" max="37" width="2.42578125" customWidth="1"/>
    <col min="38" max="38" width="50.5703125" customWidth="1"/>
    <col min="39" max="39" width="2.42578125" customWidth="1"/>
    <col min="40" max="42" width="17" hidden="1" customWidth="1"/>
    <col min="43" max="43" width="2.42578125" hidden="1" customWidth="1"/>
    <col min="44" max="44" width="18.42578125" hidden="1" customWidth="1"/>
    <col min="45" max="45" width="4.42578125" hidden="1" customWidth="1"/>
    <col min="46" max="284" width="24.5703125" hidden="1" customWidth="1"/>
    <col min="285" max="16384" width="8.5703125" hidden="1"/>
  </cols>
  <sheetData>
    <row r="1" spans="1:38" s="1" customFormat="1" x14ac:dyDescent="0.25">
      <c r="A1" s="1" t="str">
        <f ca="1">MID(CELL("filename",A1),FIND("]",CELL("filename",A1))+1,255)</f>
        <v>Output to other models</v>
      </c>
    </row>
    <row r="2" spans="1:38" s="1" customFormat="1" x14ac:dyDescent="0.25">
      <c r="A2" s="1" t="str">
        <f>Cover!D21&amp;" - "&amp;Cover!D23</f>
        <v>SHEPD  - Final</v>
      </c>
    </row>
    <row r="3" spans="1:38" s="5" customFormat="1" x14ac:dyDescent="0.25">
      <c r="A3" s="5" t="str">
        <f>Cover!D2&amp;" - "&amp;Cover!D8&amp;" v"&amp;Cover!D10&amp;" - "&amp;Cover!D19</f>
        <v>CDCM charging model - Release for charge setting v3 - 2020/21</v>
      </c>
    </row>
    <row r="4" spans="1:38" x14ac:dyDescent="0.25">
      <c r="A4" s="12" t="str">
        <f>H73 &amp; IF(H73 = 1, " issue", " issues") &amp;" identified in checks on this sheet"</f>
        <v>0 issues identified in checks on this sheet</v>
      </c>
      <c r="B4" s="13"/>
      <c r="C4" s="13"/>
      <c r="D4" s="13"/>
      <c r="E4" s="13"/>
      <c r="F4" s="13"/>
      <c r="G4" s="13"/>
      <c r="H4" s="14"/>
      <c r="I4" s="14"/>
      <c r="J4" s="13"/>
    </row>
    <row r="5" spans="1:38" x14ac:dyDescent="0.25">
      <c r="B5" s="59" t="s">
        <v>145</v>
      </c>
      <c r="C5" s="60"/>
      <c r="D5" s="60"/>
      <c r="E5" s="60"/>
      <c r="F5" s="60"/>
      <c r="G5" s="61" t="s">
        <v>146</v>
      </c>
      <c r="H5" s="96" t="s">
        <v>147</v>
      </c>
      <c r="AL5" s="61" t="s">
        <v>181</v>
      </c>
    </row>
    <row r="7" spans="1:38" x14ac:dyDescent="0.25">
      <c r="B7" s="30" t="s">
        <v>11</v>
      </c>
      <c r="C7" s="30"/>
      <c r="D7" s="30"/>
      <c r="E7" s="30"/>
      <c r="F7" s="30"/>
      <c r="G7" s="30"/>
      <c r="H7" s="30"/>
      <c r="I7" s="30"/>
      <c r="J7" s="30"/>
      <c r="K7" s="30"/>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row>
    <row r="9" spans="1:38" x14ac:dyDescent="0.25">
      <c r="C9" s="29" t="s">
        <v>1101</v>
      </c>
      <c r="E9"/>
    </row>
    <row r="10" spans="1:38" x14ac:dyDescent="0.25">
      <c r="C10" s="29" t="s">
        <v>1102</v>
      </c>
      <c r="E10"/>
    </row>
    <row r="12" spans="1:38" x14ac:dyDescent="0.25">
      <c r="B12" s="30" t="s">
        <v>1103</v>
      </c>
      <c r="C12" s="30"/>
      <c r="D12" s="30"/>
      <c r="E12" s="30"/>
      <c r="F12" s="30"/>
      <c r="G12" s="30"/>
      <c r="H12" s="30"/>
      <c r="I12" s="30"/>
      <c r="J12" s="30"/>
      <c r="K12" s="30"/>
      <c r="L12" s="108"/>
      <c r="M12" s="108"/>
      <c r="N12" s="108"/>
      <c r="O12" s="108"/>
      <c r="P12" s="108"/>
      <c r="Q12" s="108"/>
      <c r="R12" s="108"/>
      <c r="S12" s="108"/>
      <c r="T12" s="108"/>
      <c r="U12" s="108"/>
      <c r="V12" s="108"/>
      <c r="W12" s="108"/>
      <c r="X12" s="108"/>
      <c r="Y12" s="108"/>
      <c r="Z12" s="108"/>
      <c r="AA12" s="108"/>
      <c r="AB12" s="108"/>
      <c r="AC12" s="108"/>
      <c r="AD12" s="108"/>
      <c r="AE12" s="108"/>
      <c r="AF12" s="108"/>
      <c r="AG12" s="108"/>
      <c r="AH12" s="108"/>
      <c r="AI12" s="108"/>
      <c r="AJ12" s="108"/>
      <c r="AK12" s="108"/>
      <c r="AL12" s="108"/>
    </row>
    <row r="14" spans="1:38" x14ac:dyDescent="0.25">
      <c r="B14" s="29"/>
      <c r="C14" s="31" t="str">
        <f ca="1">INDEX('Version control'!$H$34:$H$56,MATCH($A$1,'Version control'!$F$34:$F$56,0),1)&amp;"-A: CDCM notional EHV asset values"</f>
        <v>Output 102-A: CDCM notional EHV asset values</v>
      </c>
      <c r="D14" s="31"/>
      <c r="E14" s="31"/>
      <c r="F14" s="31"/>
      <c r="G14" s="31"/>
      <c r="H14" s="31"/>
      <c r="I14" s="31"/>
      <c r="J14" s="31"/>
      <c r="K14" s="31"/>
      <c r="L14" s="31"/>
      <c r="M14" s="31"/>
      <c r="N14" s="31"/>
      <c r="O14" s="31"/>
      <c r="P14" s="31"/>
      <c r="Q14" s="31"/>
      <c r="R14" s="31"/>
      <c r="S14" s="31"/>
      <c r="T14" s="31"/>
      <c r="U14" s="31"/>
      <c r="V14" s="31"/>
      <c r="W14" s="31"/>
      <c r="X14" s="31"/>
      <c r="Y14" s="31"/>
      <c r="Z14" s="31"/>
      <c r="AA14" s="31"/>
      <c r="AB14" s="31"/>
      <c r="AC14" s="31"/>
      <c r="AD14" s="31"/>
      <c r="AE14" s="31"/>
      <c r="AF14" s="31"/>
      <c r="AG14" s="31"/>
      <c r="AH14" s="31"/>
      <c r="AI14" s="31"/>
      <c r="AJ14" s="31"/>
      <c r="AK14" s="31"/>
      <c r="AL14" s="31"/>
    </row>
    <row r="16" spans="1:38" x14ac:dyDescent="0.25">
      <c r="D16" s="29" t="s">
        <v>1104</v>
      </c>
      <c r="E16"/>
    </row>
    <row r="17" spans="2:38" x14ac:dyDescent="0.25">
      <c r="D17" s="29"/>
      <c r="E17"/>
    </row>
    <row r="18" spans="2:38" x14ac:dyDescent="0.25">
      <c r="E18" s="32" t="s">
        <v>1105</v>
      </c>
    </row>
    <row r="19" spans="2:38" x14ac:dyDescent="0.25">
      <c r="F19" s="64" t="s">
        <v>228</v>
      </c>
      <c r="G19" s="23" t="s">
        <v>335</v>
      </c>
      <c r="H19" s="264">
        <f t="array" ref="H19:H23">TRANSPOSE('Unit costs'!L108:P108)</f>
        <v>0</v>
      </c>
    </row>
    <row r="20" spans="2:38" x14ac:dyDescent="0.25">
      <c r="E20"/>
      <c r="F20" s="28" t="s">
        <v>229</v>
      </c>
      <c r="G20" t="s">
        <v>335</v>
      </c>
      <c r="H20" s="265">
        <v>0</v>
      </c>
    </row>
    <row r="21" spans="2:38" x14ac:dyDescent="0.25">
      <c r="E21"/>
      <c r="F21" s="28" t="s">
        <v>230</v>
      </c>
      <c r="G21" t="s">
        <v>335</v>
      </c>
      <c r="H21" s="265">
        <v>190000205.79569644</v>
      </c>
    </row>
    <row r="22" spans="2:38" x14ac:dyDescent="0.25">
      <c r="E22"/>
      <c r="F22" s="28" t="s">
        <v>231</v>
      </c>
      <c r="G22" t="s">
        <v>335</v>
      </c>
      <c r="H22" s="265">
        <v>201206670.19670227</v>
      </c>
    </row>
    <row r="23" spans="2:38" x14ac:dyDescent="0.25">
      <c r="E23"/>
      <c r="F23" s="67" t="s">
        <v>232</v>
      </c>
      <c r="G23" s="37" t="s">
        <v>335</v>
      </c>
      <c r="H23" s="266">
        <v>0</v>
      </c>
    </row>
    <row r="25" spans="2:38" x14ac:dyDescent="0.25">
      <c r="B25" s="30" t="s">
        <v>1106</v>
      </c>
      <c r="C25" s="30"/>
      <c r="D25" s="30"/>
      <c r="E25" s="30"/>
      <c r="F25" s="30"/>
      <c r="G25" s="30"/>
      <c r="H25" s="30"/>
      <c r="I25" s="30"/>
      <c r="J25" s="30"/>
      <c r="K25" s="30"/>
      <c r="L25" s="108"/>
      <c r="M25" s="108"/>
      <c r="N25" s="108"/>
      <c r="O25" s="108"/>
      <c r="P25" s="108"/>
      <c r="Q25" s="108"/>
      <c r="R25" s="108"/>
      <c r="S25" s="108"/>
      <c r="T25" s="108"/>
      <c r="U25" s="108"/>
      <c r="V25" s="108"/>
      <c r="W25" s="108"/>
      <c r="X25" s="108"/>
      <c r="Y25" s="108"/>
      <c r="Z25" s="108"/>
      <c r="AA25" s="108"/>
      <c r="AB25" s="108"/>
      <c r="AC25" s="108"/>
      <c r="AD25" s="108"/>
      <c r="AE25" s="108"/>
      <c r="AF25" s="108"/>
      <c r="AG25" s="108"/>
      <c r="AH25" s="108"/>
      <c r="AI25" s="108"/>
      <c r="AJ25" s="108"/>
      <c r="AK25" s="108"/>
      <c r="AL25" s="108"/>
    </row>
    <row r="27" spans="2:38" x14ac:dyDescent="0.25">
      <c r="C27" s="31" t="str">
        <f ca="1">INDEX('Version control'!$H$34:$H$56,MATCH($A$1,'Version control'!$F$34:$F$56,0),1)&amp;"-B: CDCM end user tariff forecast"</f>
        <v>Output 102-B: CDCM end user tariff forecast</v>
      </c>
      <c r="D27" s="31"/>
      <c r="E27" s="31"/>
      <c r="F27" s="31"/>
      <c r="G27" s="31"/>
      <c r="H27" s="31"/>
      <c r="I27" s="31"/>
      <c r="J27" s="31"/>
      <c r="K27" s="31"/>
      <c r="L27" s="31"/>
      <c r="M27" s="31"/>
      <c r="N27" s="31"/>
      <c r="O27" s="31"/>
      <c r="P27" s="31"/>
      <c r="Q27" s="31"/>
      <c r="R27" s="31"/>
      <c r="S27" s="31"/>
      <c r="T27" s="31"/>
      <c r="U27" s="31"/>
      <c r="V27" s="31"/>
      <c r="W27" s="31"/>
      <c r="X27" s="31"/>
      <c r="Y27" s="31"/>
      <c r="Z27" s="31"/>
      <c r="AA27" s="31"/>
      <c r="AB27" s="31"/>
      <c r="AC27" s="31"/>
      <c r="AD27" s="31"/>
      <c r="AE27" s="31"/>
      <c r="AF27" s="31"/>
      <c r="AG27" s="31"/>
      <c r="AH27" s="31"/>
      <c r="AI27" s="31"/>
      <c r="AJ27" s="31"/>
      <c r="AK27" s="31"/>
      <c r="AL27" s="31"/>
    </row>
    <row r="29" spans="2:38" x14ac:dyDescent="0.25">
      <c r="D29" s="29" t="s">
        <v>1107</v>
      </c>
      <c r="E29"/>
    </row>
    <row r="31" spans="2:38" ht="60" x14ac:dyDescent="0.25">
      <c r="C31" s="267"/>
      <c r="E31" s="32" t="s">
        <v>1108</v>
      </c>
      <c r="J31" s="268" t="s">
        <v>148</v>
      </c>
      <c r="K31" s="268" t="s">
        <v>149</v>
      </c>
      <c r="L31" s="268" t="s">
        <v>150</v>
      </c>
      <c r="M31" s="268" t="s">
        <v>151</v>
      </c>
      <c r="N31" s="268" t="s">
        <v>152</v>
      </c>
      <c r="O31" s="268" t="s">
        <v>153</v>
      </c>
      <c r="P31" s="268" t="s">
        <v>154</v>
      </c>
      <c r="Q31" s="268" t="s">
        <v>155</v>
      </c>
      <c r="R31" s="268" t="s">
        <v>156</v>
      </c>
      <c r="S31" s="268" t="s">
        <v>157</v>
      </c>
      <c r="T31" s="268" t="s">
        <v>158</v>
      </c>
      <c r="U31" s="268" t="s">
        <v>159</v>
      </c>
      <c r="V31" s="268" t="s">
        <v>160</v>
      </c>
      <c r="W31" s="268" t="s">
        <v>161</v>
      </c>
      <c r="X31" s="268" t="s">
        <v>162</v>
      </c>
      <c r="Y31" s="268" t="s">
        <v>163</v>
      </c>
      <c r="Z31" s="268" t="s">
        <v>164</v>
      </c>
      <c r="AA31" s="269" t="s">
        <v>165</v>
      </c>
      <c r="AB31" s="269" t="s">
        <v>166</v>
      </c>
      <c r="AC31" s="269" t="s">
        <v>167</v>
      </c>
      <c r="AD31" s="269" t="s">
        <v>168</v>
      </c>
      <c r="AE31" s="269" t="s">
        <v>169</v>
      </c>
      <c r="AF31" s="269" t="s">
        <v>171</v>
      </c>
      <c r="AG31" s="269" t="s">
        <v>173</v>
      </c>
      <c r="AH31" s="269" t="s">
        <v>175</v>
      </c>
      <c r="AI31" s="269" t="s">
        <v>177</v>
      </c>
      <c r="AJ31" s="269" t="s">
        <v>179</v>
      </c>
    </row>
    <row r="32" spans="2:38" x14ac:dyDescent="0.25">
      <c r="C32" s="267"/>
      <c r="D32"/>
      <c r="F32" s="270" t="s">
        <v>192</v>
      </c>
      <c r="G32" s="270" t="s">
        <v>327</v>
      </c>
      <c r="H32" s="302" t="s">
        <v>1066</v>
      </c>
      <c r="I32" s="302"/>
      <c r="J32" s="328">
        <f>'Tariff summary'!J16</f>
        <v>3.6629999999999998</v>
      </c>
      <c r="K32" s="328">
        <f>'Tariff summary'!J17</f>
        <v>4.008</v>
      </c>
      <c r="L32" s="328">
        <f>'Tariff summary'!J18</f>
        <v>2.339</v>
      </c>
      <c r="M32" s="328">
        <f>'Tariff summary'!J19</f>
        <v>3.722</v>
      </c>
      <c r="N32" s="328">
        <f>'Tariff summary'!J20</f>
        <v>3.9180000000000001</v>
      </c>
      <c r="O32" s="328">
        <f>'Tariff summary'!J21</f>
        <v>2.2589999999999999</v>
      </c>
      <c r="P32" s="328">
        <f>'Tariff summary'!J22</f>
        <v>3.5950000000000002</v>
      </c>
      <c r="Q32" s="328">
        <f>'Tariff summary'!J23</f>
        <v>3.0259999999999998</v>
      </c>
      <c r="R32" s="328">
        <f>'Tariff summary'!J24</f>
        <v>2.2679999999999998</v>
      </c>
      <c r="S32" s="328">
        <f>'Tariff summary'!J25</f>
        <v>10.768000000000001</v>
      </c>
      <c r="T32" s="328">
        <f>'Tariff summary'!J26</f>
        <v>11.629</v>
      </c>
      <c r="U32" s="328">
        <f>'Tariff summary'!J27</f>
        <v>8.2940000000000005</v>
      </c>
      <c r="V32" s="328">
        <f>'Tariff summary'!J28</f>
        <v>5.5010000000000003</v>
      </c>
      <c r="W32" s="328">
        <f>'Tariff summary'!J29</f>
        <v>4.0730000000000004</v>
      </c>
      <c r="X32" s="328">
        <f>'Tariff summary'!J30</f>
        <v>4.7549999999999999</v>
      </c>
      <c r="Y32" s="328">
        <f>'Tariff summary'!J31</f>
        <v>4.8419999999999996</v>
      </c>
      <c r="Z32" s="328">
        <f>'Tariff summary'!J32</f>
        <v>5.7080000000000002</v>
      </c>
      <c r="AA32" s="328">
        <f>'Tariff summary'!J33</f>
        <v>4.758</v>
      </c>
      <c r="AB32" s="328">
        <f>'Tariff summary'!J34</f>
        <v>19.914000000000001</v>
      </c>
      <c r="AC32" s="328">
        <f>'Tariff summary'!J35</f>
        <v>-1.284</v>
      </c>
      <c r="AD32" s="328">
        <f>'Tariff summary'!J36</f>
        <v>-1.1519999999999999</v>
      </c>
      <c r="AE32" s="328">
        <f>'Tariff summary'!J37</f>
        <v>-1.284</v>
      </c>
      <c r="AF32" s="328">
        <f>'Tariff summary'!J39</f>
        <v>-6.7720000000000002</v>
      </c>
      <c r="AG32" s="328">
        <f>'Tariff summary'!J41</f>
        <v>-1.1519999999999999</v>
      </c>
      <c r="AH32" s="328">
        <f>'Tariff summary'!J43</f>
        <v>-6.0880000000000001</v>
      </c>
      <c r="AI32" s="328">
        <f>'Tariff summary'!J45</f>
        <v>-0.61599999999999999</v>
      </c>
      <c r="AJ32" s="328">
        <f>'Tariff summary'!J47</f>
        <v>-3.327</v>
      </c>
      <c r="AK32" s="304"/>
      <c r="AL32" s="304"/>
    </row>
    <row r="33" spans="3:38" x14ac:dyDescent="0.25">
      <c r="C33" s="267"/>
      <c r="D33"/>
      <c r="F33" s="271" t="s">
        <v>193</v>
      </c>
      <c r="G33" s="271" t="s">
        <v>327</v>
      </c>
      <c r="H33" s="304" t="s">
        <v>1066</v>
      </c>
      <c r="I33" s="304"/>
      <c r="J33" s="329">
        <f>'Tariff summary'!K16</f>
        <v>0</v>
      </c>
      <c r="K33" s="329">
        <f>'Tariff summary'!K17</f>
        <v>2.3559999999999999</v>
      </c>
      <c r="L33" s="329">
        <f>'Tariff summary'!K18</f>
        <v>0</v>
      </c>
      <c r="M33" s="329">
        <f>'Tariff summary'!K19</f>
        <v>0</v>
      </c>
      <c r="N33" s="329">
        <f>'Tariff summary'!K20</f>
        <v>2.226</v>
      </c>
      <c r="O33" s="329">
        <f>'Tariff summary'!K21</f>
        <v>0</v>
      </c>
      <c r="P33" s="329">
        <f>'Tariff summary'!K22</f>
        <v>2.1819999999999999</v>
      </c>
      <c r="Q33" s="329">
        <f>'Tariff summary'!K23</f>
        <v>1.992</v>
      </c>
      <c r="R33" s="329">
        <f>'Tariff summary'!K24</f>
        <v>1.7270000000000001</v>
      </c>
      <c r="S33" s="329">
        <f>'Tariff summary'!K25</f>
        <v>2.9119999999999999</v>
      </c>
      <c r="T33" s="329">
        <f>'Tariff summary'!K26</f>
        <v>3.044</v>
      </c>
      <c r="U33" s="329">
        <f>'Tariff summary'!K27</f>
        <v>2.5219999999999998</v>
      </c>
      <c r="V33" s="329">
        <f>'Tariff summary'!K28</f>
        <v>2.0750000000000002</v>
      </c>
      <c r="W33" s="329">
        <f>'Tariff summary'!K29</f>
        <v>1.849</v>
      </c>
      <c r="X33" s="329">
        <f>'Tariff summary'!K30</f>
        <v>0</v>
      </c>
      <c r="Y33" s="329">
        <f>'Tariff summary'!K31</f>
        <v>0</v>
      </c>
      <c r="Z33" s="329">
        <f>'Tariff summary'!K32</f>
        <v>0</v>
      </c>
      <c r="AA33" s="329">
        <f>'Tariff summary'!K33</f>
        <v>0</v>
      </c>
      <c r="AB33" s="329">
        <f>'Tariff summary'!K34</f>
        <v>4.7190000000000003</v>
      </c>
      <c r="AC33" s="329">
        <f>'Tariff summary'!K35</f>
        <v>0</v>
      </c>
      <c r="AD33" s="329">
        <f>'Tariff summary'!K36</f>
        <v>0</v>
      </c>
      <c r="AE33" s="329">
        <f>'Tariff summary'!K37</f>
        <v>0</v>
      </c>
      <c r="AF33" s="329">
        <f>'Tariff summary'!K39</f>
        <v>-1.0429999999999999</v>
      </c>
      <c r="AG33" s="329">
        <f>'Tariff summary'!K41</f>
        <v>0</v>
      </c>
      <c r="AH33" s="329">
        <f>'Tariff summary'!K43</f>
        <v>-0.93400000000000005</v>
      </c>
      <c r="AI33" s="329">
        <f>'Tariff summary'!K45</f>
        <v>0</v>
      </c>
      <c r="AJ33" s="329">
        <f>'Tariff summary'!K47</f>
        <v>-0.49099999999999999</v>
      </c>
      <c r="AK33" s="304"/>
      <c r="AL33" s="304"/>
    </row>
    <row r="34" spans="3:38" x14ac:dyDescent="0.25">
      <c r="C34" s="267"/>
      <c r="D34"/>
      <c r="F34" s="271" t="s">
        <v>194</v>
      </c>
      <c r="G34" s="271" t="s">
        <v>327</v>
      </c>
      <c r="H34" s="304" t="s">
        <v>1066</v>
      </c>
      <c r="I34" s="304"/>
      <c r="J34" s="329">
        <f>'Tariff summary'!L16</f>
        <v>0</v>
      </c>
      <c r="K34" s="329">
        <f>'Tariff summary'!L17</f>
        <v>0</v>
      </c>
      <c r="L34" s="329">
        <f>'Tariff summary'!L18</f>
        <v>0</v>
      </c>
      <c r="M34" s="329">
        <f>'Tariff summary'!L19</f>
        <v>0</v>
      </c>
      <c r="N34" s="329">
        <f>'Tariff summary'!L20</f>
        <v>0</v>
      </c>
      <c r="O34" s="329">
        <f>'Tariff summary'!L21</f>
        <v>0</v>
      </c>
      <c r="P34" s="329">
        <f>'Tariff summary'!L22</f>
        <v>0</v>
      </c>
      <c r="Q34" s="329">
        <f>'Tariff summary'!L23</f>
        <v>0</v>
      </c>
      <c r="R34" s="329">
        <f>'Tariff summary'!L24</f>
        <v>0</v>
      </c>
      <c r="S34" s="329">
        <f>'Tariff summary'!L25</f>
        <v>2.1509999999999998</v>
      </c>
      <c r="T34" s="329">
        <f>'Tariff summary'!L26</f>
        <v>2.2130000000000001</v>
      </c>
      <c r="U34" s="329">
        <f>'Tariff summary'!L27</f>
        <v>1.968</v>
      </c>
      <c r="V34" s="329">
        <f>'Tariff summary'!L28</f>
        <v>1.758</v>
      </c>
      <c r="W34" s="329">
        <f>'Tariff summary'!L29</f>
        <v>1.6519999999999999</v>
      </c>
      <c r="X34" s="329">
        <f>'Tariff summary'!L30</f>
        <v>0</v>
      </c>
      <c r="Y34" s="329">
        <f>'Tariff summary'!L31</f>
        <v>0</v>
      </c>
      <c r="Z34" s="329">
        <f>'Tariff summary'!L32</f>
        <v>0</v>
      </c>
      <c r="AA34" s="329">
        <f>'Tariff summary'!L33</f>
        <v>0</v>
      </c>
      <c r="AB34" s="329">
        <f>'Tariff summary'!L34</f>
        <v>3.8780000000000001</v>
      </c>
      <c r="AC34" s="329">
        <f>'Tariff summary'!L35</f>
        <v>0</v>
      </c>
      <c r="AD34" s="329">
        <f>'Tariff summary'!L36</f>
        <v>0</v>
      </c>
      <c r="AE34" s="329">
        <f>'Tariff summary'!L37</f>
        <v>0</v>
      </c>
      <c r="AF34" s="329">
        <f>'Tariff summary'!L39</f>
        <v>-0.48799999999999999</v>
      </c>
      <c r="AG34" s="329">
        <f>'Tariff summary'!L41</f>
        <v>0</v>
      </c>
      <c r="AH34" s="329">
        <f>'Tariff summary'!L43</f>
        <v>-0.437</v>
      </c>
      <c r="AI34" s="329">
        <f>'Tariff summary'!L45</f>
        <v>0</v>
      </c>
      <c r="AJ34" s="329">
        <f>'Tariff summary'!L47</f>
        <v>-0.22900000000000001</v>
      </c>
      <c r="AK34" s="304"/>
      <c r="AL34" s="304"/>
    </row>
    <row r="35" spans="3:38" x14ac:dyDescent="0.25">
      <c r="C35" s="267"/>
      <c r="D35"/>
      <c r="F35" s="271" t="s">
        <v>195</v>
      </c>
      <c r="G35" s="271" t="s">
        <v>328</v>
      </c>
      <c r="H35" t="s">
        <v>1066</v>
      </c>
      <c r="J35" s="265">
        <f>'Tariff summary'!M16</f>
        <v>6.72</v>
      </c>
      <c r="K35" s="265">
        <f>'Tariff summary'!M17</f>
        <v>6.72</v>
      </c>
      <c r="L35" s="265">
        <f>'Tariff summary'!M18</f>
        <v>0</v>
      </c>
      <c r="M35" s="265">
        <f>'Tariff summary'!M19</f>
        <v>9.49</v>
      </c>
      <c r="N35" s="265">
        <f>'Tariff summary'!M20</f>
        <v>9.49</v>
      </c>
      <c r="O35" s="265">
        <f>'Tariff summary'!M21</f>
        <v>0</v>
      </c>
      <c r="P35" s="265">
        <f>'Tariff summary'!M22</f>
        <v>82.38</v>
      </c>
      <c r="Q35" s="265">
        <f>'Tariff summary'!M23</f>
        <v>50.97</v>
      </c>
      <c r="R35" s="265">
        <f>'Tariff summary'!M24</f>
        <v>2503.06</v>
      </c>
      <c r="S35" s="265">
        <f>'Tariff summary'!M25</f>
        <v>6.72</v>
      </c>
      <c r="T35" s="265">
        <f>'Tariff summary'!M26</f>
        <v>9.49</v>
      </c>
      <c r="U35" s="265">
        <f>'Tariff summary'!M27</f>
        <v>26.85</v>
      </c>
      <c r="V35" s="265">
        <f>'Tariff summary'!M28</f>
        <v>50.97</v>
      </c>
      <c r="W35" s="265">
        <f>'Tariff summary'!M29</f>
        <v>298.74</v>
      </c>
      <c r="X35" s="265">
        <f>'Tariff summary'!M30</f>
        <v>0</v>
      </c>
      <c r="Y35" s="265">
        <f>'Tariff summary'!M31</f>
        <v>0</v>
      </c>
      <c r="Z35" s="265">
        <f>'Tariff summary'!M32</f>
        <v>0</v>
      </c>
      <c r="AA35" s="265">
        <f>'Tariff summary'!M33</f>
        <v>0</v>
      </c>
      <c r="AB35" s="265">
        <f>'Tariff summary'!M34</f>
        <v>0</v>
      </c>
      <c r="AC35" s="265">
        <f>'Tariff summary'!M35</f>
        <v>0</v>
      </c>
      <c r="AD35" s="265">
        <f>'Tariff summary'!M36</f>
        <v>0</v>
      </c>
      <c r="AE35" s="265">
        <f>'Tariff summary'!M37</f>
        <v>0</v>
      </c>
      <c r="AF35" s="265">
        <f>'Tariff summary'!M39</f>
        <v>0</v>
      </c>
      <c r="AG35" s="265">
        <f>'Tariff summary'!M41</f>
        <v>0</v>
      </c>
      <c r="AH35" s="265">
        <f>'Tariff summary'!M43</f>
        <v>0</v>
      </c>
      <c r="AI35" s="265">
        <f>'Tariff summary'!M45</f>
        <v>414.59</v>
      </c>
      <c r="AJ35" s="265">
        <f>'Tariff summary'!M47</f>
        <v>414.59</v>
      </c>
    </row>
    <row r="36" spans="3:38" x14ac:dyDescent="0.25">
      <c r="C36" s="267"/>
      <c r="D36"/>
      <c r="F36" s="271" t="s">
        <v>196</v>
      </c>
      <c r="G36" s="271" t="s">
        <v>329</v>
      </c>
      <c r="H36" t="s">
        <v>1066</v>
      </c>
      <c r="J36" s="265">
        <f>'Tariff summary'!N16</f>
        <v>0</v>
      </c>
      <c r="K36" s="265">
        <f>'Tariff summary'!N17</f>
        <v>0</v>
      </c>
      <c r="L36" s="265">
        <f>'Tariff summary'!N18</f>
        <v>0</v>
      </c>
      <c r="M36" s="265">
        <f>'Tariff summary'!N19</f>
        <v>0</v>
      </c>
      <c r="N36" s="265">
        <f>'Tariff summary'!N20</f>
        <v>0</v>
      </c>
      <c r="O36" s="265">
        <f>'Tariff summary'!N21</f>
        <v>0</v>
      </c>
      <c r="P36" s="265">
        <f>'Tariff summary'!N22</f>
        <v>0</v>
      </c>
      <c r="Q36" s="265">
        <f>'Tariff summary'!N23</f>
        <v>0</v>
      </c>
      <c r="R36" s="265">
        <f>'Tariff summary'!N24</f>
        <v>0</v>
      </c>
      <c r="S36" s="265">
        <f>'Tariff summary'!N25</f>
        <v>0</v>
      </c>
      <c r="T36" s="265">
        <f>'Tariff summary'!N26</f>
        <v>0</v>
      </c>
      <c r="U36" s="265">
        <f>'Tariff summary'!N27</f>
        <v>4.76</v>
      </c>
      <c r="V36" s="265">
        <f>'Tariff summary'!N28</f>
        <v>7.79</v>
      </c>
      <c r="W36" s="265">
        <f>'Tariff summary'!N29</f>
        <v>10.49</v>
      </c>
      <c r="X36" s="265">
        <f>'Tariff summary'!N30</f>
        <v>0</v>
      </c>
      <c r="Y36" s="265">
        <f>'Tariff summary'!N31</f>
        <v>0</v>
      </c>
      <c r="Z36" s="265">
        <f>'Tariff summary'!N32</f>
        <v>0</v>
      </c>
      <c r="AA36" s="265">
        <f>'Tariff summary'!N33</f>
        <v>0</v>
      </c>
      <c r="AB36" s="265">
        <f>'Tariff summary'!N34</f>
        <v>0</v>
      </c>
      <c r="AC36" s="265">
        <f>'Tariff summary'!N35</f>
        <v>0</v>
      </c>
      <c r="AD36" s="265">
        <f>'Tariff summary'!N36</f>
        <v>0</v>
      </c>
      <c r="AE36" s="265">
        <f>'Tariff summary'!N37</f>
        <v>0</v>
      </c>
      <c r="AF36" s="265">
        <f>'Tariff summary'!N39</f>
        <v>0</v>
      </c>
      <c r="AG36" s="265">
        <f>'Tariff summary'!N41</f>
        <v>0</v>
      </c>
      <c r="AH36" s="265">
        <f>'Tariff summary'!N43</f>
        <v>0</v>
      </c>
      <c r="AI36" s="265">
        <f>'Tariff summary'!N45</f>
        <v>0</v>
      </c>
      <c r="AJ36" s="265">
        <f>'Tariff summary'!N47</f>
        <v>0</v>
      </c>
    </row>
    <row r="37" spans="3:38" x14ac:dyDescent="0.25">
      <c r="C37" s="267"/>
      <c r="D37"/>
      <c r="F37" s="271" t="s">
        <v>197</v>
      </c>
      <c r="G37" s="271" t="s">
        <v>329</v>
      </c>
      <c r="H37" t="s">
        <v>1066</v>
      </c>
      <c r="J37" s="265">
        <f>'Tariff summary'!O16</f>
        <v>0</v>
      </c>
      <c r="K37" s="265">
        <f>'Tariff summary'!O17</f>
        <v>0</v>
      </c>
      <c r="L37" s="265">
        <f>'Tariff summary'!O18</f>
        <v>0</v>
      </c>
      <c r="M37" s="265">
        <f>'Tariff summary'!O19</f>
        <v>0</v>
      </c>
      <c r="N37" s="265">
        <f>'Tariff summary'!O20</f>
        <v>0</v>
      </c>
      <c r="O37" s="265">
        <f>'Tariff summary'!O21</f>
        <v>0</v>
      </c>
      <c r="P37" s="265">
        <f>'Tariff summary'!O22</f>
        <v>0</v>
      </c>
      <c r="Q37" s="265">
        <f>'Tariff summary'!O23</f>
        <v>0</v>
      </c>
      <c r="R37" s="265">
        <f>'Tariff summary'!O24</f>
        <v>0</v>
      </c>
      <c r="S37" s="265">
        <f>'Tariff summary'!O25</f>
        <v>0</v>
      </c>
      <c r="T37" s="265">
        <f>'Tariff summary'!O26</f>
        <v>0</v>
      </c>
      <c r="U37" s="265">
        <f>'Tariff summary'!O27</f>
        <v>8.74</v>
      </c>
      <c r="V37" s="265">
        <f>'Tariff summary'!O28</f>
        <v>10.79</v>
      </c>
      <c r="W37" s="265">
        <f>'Tariff summary'!O29</f>
        <v>12.37</v>
      </c>
      <c r="X37" s="265">
        <f>'Tariff summary'!O30</f>
        <v>0</v>
      </c>
      <c r="Y37" s="265">
        <f>'Tariff summary'!O31</f>
        <v>0</v>
      </c>
      <c r="Z37" s="265">
        <f>'Tariff summary'!O32</f>
        <v>0</v>
      </c>
      <c r="AA37" s="265">
        <f>'Tariff summary'!O33</f>
        <v>0</v>
      </c>
      <c r="AB37" s="265">
        <f>'Tariff summary'!O34</f>
        <v>0</v>
      </c>
      <c r="AC37" s="265">
        <f>'Tariff summary'!O35</f>
        <v>0</v>
      </c>
      <c r="AD37" s="265">
        <f>'Tariff summary'!O36</f>
        <v>0</v>
      </c>
      <c r="AE37" s="265">
        <f>'Tariff summary'!O37</f>
        <v>0</v>
      </c>
      <c r="AF37" s="265">
        <f>'Tariff summary'!O39</f>
        <v>0</v>
      </c>
      <c r="AG37" s="265">
        <f>'Tariff summary'!O41</f>
        <v>0</v>
      </c>
      <c r="AH37" s="265">
        <f>'Tariff summary'!O43</f>
        <v>0</v>
      </c>
      <c r="AI37" s="265">
        <f>'Tariff summary'!O45</f>
        <v>0</v>
      </c>
      <c r="AJ37" s="265">
        <f>'Tariff summary'!O47</f>
        <v>0</v>
      </c>
    </row>
    <row r="38" spans="3:38" x14ac:dyDescent="0.25">
      <c r="C38" s="267"/>
      <c r="D38"/>
      <c r="F38" s="272" t="s">
        <v>198</v>
      </c>
      <c r="G38" s="272" t="s">
        <v>330</v>
      </c>
      <c r="H38" s="308" t="s">
        <v>1066</v>
      </c>
      <c r="I38" s="308"/>
      <c r="J38" s="330">
        <f>'Tariff summary'!P16</f>
        <v>0</v>
      </c>
      <c r="K38" s="330">
        <f>'Tariff summary'!P17</f>
        <v>0</v>
      </c>
      <c r="L38" s="330">
        <f>'Tariff summary'!P18</f>
        <v>0</v>
      </c>
      <c r="M38" s="330">
        <f>'Tariff summary'!P19</f>
        <v>0</v>
      </c>
      <c r="N38" s="330">
        <f>'Tariff summary'!P20</f>
        <v>0</v>
      </c>
      <c r="O38" s="330">
        <f>'Tariff summary'!P21</f>
        <v>0</v>
      </c>
      <c r="P38" s="330">
        <f>'Tariff summary'!P22</f>
        <v>0</v>
      </c>
      <c r="Q38" s="330">
        <f>'Tariff summary'!P23</f>
        <v>0</v>
      </c>
      <c r="R38" s="330">
        <f>'Tariff summary'!P24</f>
        <v>0</v>
      </c>
      <c r="S38" s="330">
        <f>'Tariff summary'!P25</f>
        <v>0</v>
      </c>
      <c r="T38" s="330">
        <f>'Tariff summary'!P26</f>
        <v>0</v>
      </c>
      <c r="U38" s="330">
        <f>'Tariff summary'!P27</f>
        <v>0.27300000000000002</v>
      </c>
      <c r="V38" s="330">
        <f>'Tariff summary'!P28</f>
        <v>0.13700000000000001</v>
      </c>
      <c r="W38" s="330">
        <f>'Tariff summary'!P29</f>
        <v>9.0999999999999998E-2</v>
      </c>
      <c r="X38" s="330">
        <f>'Tariff summary'!P30</f>
        <v>0</v>
      </c>
      <c r="Y38" s="330">
        <f>'Tariff summary'!P31</f>
        <v>0</v>
      </c>
      <c r="Z38" s="330">
        <f>'Tariff summary'!P32</f>
        <v>0</v>
      </c>
      <c r="AA38" s="330">
        <f>'Tariff summary'!P33</f>
        <v>0</v>
      </c>
      <c r="AB38" s="330">
        <f>'Tariff summary'!P34</f>
        <v>0</v>
      </c>
      <c r="AC38" s="330">
        <f>'Tariff summary'!P35</f>
        <v>0</v>
      </c>
      <c r="AD38" s="330">
        <f>'Tariff summary'!P36</f>
        <v>0</v>
      </c>
      <c r="AE38" s="330">
        <f>'Tariff summary'!P37</f>
        <v>0.26500000000000001</v>
      </c>
      <c r="AF38" s="330">
        <f>'Tariff summary'!P39</f>
        <v>0.26500000000000001</v>
      </c>
      <c r="AG38" s="330">
        <f>'Tariff summary'!P41</f>
        <v>0.22500000000000001</v>
      </c>
      <c r="AH38" s="330">
        <f>'Tariff summary'!P43</f>
        <v>0.22500000000000001</v>
      </c>
      <c r="AI38" s="330">
        <f>'Tariff summary'!P45</f>
        <v>0.20599999999999999</v>
      </c>
      <c r="AJ38" s="330">
        <f>'Tariff summary'!P47</f>
        <v>0.20599999999999999</v>
      </c>
      <c r="AK38" s="304"/>
      <c r="AL38" s="304"/>
    </row>
    <row r="39" spans="3:38" x14ac:dyDescent="0.25">
      <c r="D39"/>
      <c r="E39"/>
      <c r="F39" s="273"/>
    </row>
    <row r="40" spans="3:38" x14ac:dyDescent="0.25">
      <c r="C40" s="31" t="str">
        <f ca="1">INDEX('Version control'!$H$34:$H$56,MATCH($A$1,'Version control'!$F$34:$F$56,0),1)&amp;"-C: CDCM non-tariff outputs to EDCM"</f>
        <v>Output 102-C: CDCM non-tariff outputs to EDCM</v>
      </c>
      <c r="D40" s="31"/>
      <c r="E40" s="31"/>
      <c r="F40" s="31"/>
      <c r="G40" s="31"/>
      <c r="H40" s="31"/>
      <c r="I40" s="31"/>
      <c r="J40" s="31"/>
      <c r="K40" s="31"/>
      <c r="L40" s="31"/>
      <c r="M40" s="31"/>
      <c r="N40" s="31"/>
      <c r="O40" s="31"/>
      <c r="P40" s="31"/>
      <c r="Q40" s="31"/>
      <c r="R40" s="31"/>
      <c r="S40" s="31"/>
      <c r="T40" s="31"/>
      <c r="U40" s="31"/>
      <c r="V40" s="31"/>
      <c r="W40" s="31"/>
      <c r="X40" s="31"/>
      <c r="Y40" s="31"/>
      <c r="Z40" s="31"/>
      <c r="AA40" s="31"/>
      <c r="AB40" s="31"/>
      <c r="AC40" s="31"/>
      <c r="AD40" s="31"/>
      <c r="AE40" s="31"/>
      <c r="AF40" s="31"/>
      <c r="AG40" s="31"/>
      <c r="AH40" s="31"/>
      <c r="AI40" s="31"/>
      <c r="AJ40" s="31"/>
      <c r="AK40" s="31"/>
      <c r="AL40" s="31"/>
    </row>
    <row r="41" spans="3:38" x14ac:dyDescent="0.25">
      <c r="C41" s="2"/>
      <c r="D41"/>
    </row>
    <row r="42" spans="3:38" x14ac:dyDescent="0.25">
      <c r="D42" s="29" t="s">
        <v>1109</v>
      </c>
      <c r="E42"/>
    </row>
    <row r="44" spans="3:38" x14ac:dyDescent="0.25">
      <c r="D44"/>
      <c r="F44" s="2"/>
      <c r="G44" s="2"/>
      <c r="H44" s="2"/>
      <c r="I44" s="2"/>
      <c r="J44" s="117" t="s">
        <v>227</v>
      </c>
      <c r="K44" s="117" t="s">
        <v>228</v>
      </c>
      <c r="L44" s="117" t="s">
        <v>229</v>
      </c>
      <c r="M44" s="117" t="s">
        <v>230</v>
      </c>
      <c r="N44" s="117" t="s">
        <v>231</v>
      </c>
      <c r="O44" s="117" t="s">
        <v>232</v>
      </c>
      <c r="P44" s="117" t="s">
        <v>233</v>
      </c>
      <c r="Q44" s="117" t="s">
        <v>234</v>
      </c>
      <c r="R44" s="117" t="s">
        <v>235</v>
      </c>
      <c r="S44" s="117" t="s">
        <v>436</v>
      </c>
      <c r="T44" s="117" t="s">
        <v>437</v>
      </c>
    </row>
    <row r="45" spans="3:38" x14ac:dyDescent="0.25">
      <c r="D45"/>
      <c r="E45" s="273" t="s">
        <v>1122</v>
      </c>
      <c r="F45" s="273"/>
      <c r="G45" s="28" t="s">
        <v>203</v>
      </c>
      <c r="J45" s="205"/>
      <c r="K45" s="274">
        <f t="array" ref="K45:O45">TRANSPOSE('System peak demand'!H227:H231)</f>
        <v>7.4999999999999956E-2</v>
      </c>
      <c r="L45" s="274">
        <v>7.4999999999999956E-2</v>
      </c>
      <c r="M45" s="274">
        <v>0.17153500000000022</v>
      </c>
      <c r="N45" s="274">
        <v>0.17153500000000022</v>
      </c>
      <c r="O45" s="274">
        <v>7.4999999999999956E-2</v>
      </c>
      <c r="P45" s="205"/>
      <c r="Q45" s="205"/>
      <c r="R45" s="205"/>
      <c r="S45" s="205"/>
      <c r="T45" s="205"/>
    </row>
    <row r="46" spans="3:38" x14ac:dyDescent="0.25">
      <c r="D46"/>
      <c r="E46" s="273" t="s">
        <v>1123</v>
      </c>
      <c r="F46" s="273"/>
      <c r="G46" t="s">
        <v>632</v>
      </c>
      <c r="J46" s="265">
        <f t="array" ref="J46:O46">TRANSPOSE('System peak demand'!H154:H159)</f>
        <v>1050350.6903089602</v>
      </c>
      <c r="K46" s="265">
        <v>0</v>
      </c>
      <c r="L46" s="265">
        <v>0</v>
      </c>
      <c r="M46" s="265">
        <v>1026021.6102980792</v>
      </c>
      <c r="N46" s="265">
        <v>1015021.3786087238</v>
      </c>
      <c r="O46" s="265">
        <v>0</v>
      </c>
      <c r="P46" s="79"/>
      <c r="Q46" s="79"/>
      <c r="R46" s="79"/>
      <c r="S46" s="79"/>
      <c r="T46" s="79"/>
    </row>
    <row r="47" spans="3:38" x14ac:dyDescent="0.25">
      <c r="D47"/>
      <c r="E47" s="273" t="s">
        <v>1110</v>
      </c>
      <c r="F47" s="273"/>
      <c r="G47" t="s">
        <v>335</v>
      </c>
      <c r="J47" s="79"/>
      <c r="K47" s="265">
        <f>'Unit costs'!L108</f>
        <v>0</v>
      </c>
      <c r="L47" s="265">
        <f>'Unit costs'!M108</f>
        <v>0</v>
      </c>
      <c r="M47" s="265">
        <f>'Unit costs'!N108</f>
        <v>190000205.79569644</v>
      </c>
      <c r="N47" s="265">
        <f>'Unit costs'!O108</f>
        <v>201206670.19670227</v>
      </c>
      <c r="O47" s="265">
        <f>'Unit costs'!P108</f>
        <v>0</v>
      </c>
      <c r="P47" s="265">
        <f>'Unit costs'!Q108</f>
        <v>904434317.03410363</v>
      </c>
      <c r="Q47" s="265">
        <f>'Unit costs'!R108</f>
        <v>213100313.06352493</v>
      </c>
      <c r="R47" s="265">
        <f>'Unit costs'!S108</f>
        <v>426365359.23856449</v>
      </c>
      <c r="S47" s="265">
        <f>'Unit costs'!T108</f>
        <v>348944884.14131939</v>
      </c>
      <c r="T47" s="265">
        <f>'Unit costs'!U108</f>
        <v>36344563.725022614</v>
      </c>
    </row>
    <row r="48" spans="3:38" x14ac:dyDescent="0.25">
      <c r="D48"/>
      <c r="E48" s="273" t="s">
        <v>452</v>
      </c>
      <c r="F48" s="273"/>
      <c r="G48" t="s">
        <v>342</v>
      </c>
      <c r="J48" s="265">
        <f>'Load &amp; loss characteristics'!K29</f>
        <v>1</v>
      </c>
      <c r="K48" s="265">
        <f>'Load &amp; loss characteristics'!L29</f>
        <v>1</v>
      </c>
      <c r="L48" s="265">
        <f>'Load &amp; loss characteristics'!M29</f>
        <v>1</v>
      </c>
      <c r="M48" s="265">
        <f>'Load &amp; loss characteristics'!N29</f>
        <v>1.0149999999999999</v>
      </c>
      <c r="N48" s="265">
        <f>'Load &amp; loss characteristics'!O29</f>
        <v>1.026</v>
      </c>
      <c r="O48" s="265">
        <f>'Load &amp; loss characteristics'!P29</f>
        <v>1.026</v>
      </c>
      <c r="P48" s="79"/>
      <c r="Q48" s="79"/>
      <c r="R48" s="79"/>
      <c r="S48" s="79"/>
      <c r="T48" s="79"/>
    </row>
    <row r="49" spans="2:38" x14ac:dyDescent="0.25">
      <c r="D49"/>
      <c r="E49"/>
      <c r="F49" s="273"/>
    </row>
    <row r="50" spans="2:38" x14ac:dyDescent="0.25">
      <c r="B50" s="30" t="s">
        <v>1111</v>
      </c>
      <c r="C50" s="30"/>
      <c r="D50" s="30"/>
      <c r="E50" s="30"/>
      <c r="F50" s="30"/>
      <c r="G50" s="30"/>
      <c r="H50" s="30"/>
      <c r="I50" s="30"/>
      <c r="J50" s="30"/>
      <c r="K50" s="30"/>
      <c r="L50" s="108"/>
      <c r="M50" s="108"/>
      <c r="N50" s="108"/>
      <c r="O50" s="108"/>
      <c r="P50" s="108"/>
      <c r="Q50" s="108"/>
      <c r="R50" s="108"/>
      <c r="S50" s="108"/>
      <c r="T50" s="108"/>
      <c r="U50" s="108"/>
      <c r="V50" s="108"/>
      <c r="W50" s="108"/>
      <c r="X50" s="108"/>
      <c r="Y50" s="108"/>
      <c r="Z50" s="108"/>
      <c r="AA50" s="108"/>
      <c r="AB50" s="108"/>
      <c r="AC50" s="108"/>
      <c r="AD50" s="108"/>
      <c r="AE50" s="108"/>
      <c r="AF50" s="108"/>
      <c r="AG50" s="108"/>
      <c r="AH50" s="108"/>
      <c r="AI50" s="108"/>
      <c r="AJ50" s="108"/>
      <c r="AK50" s="108"/>
      <c r="AL50" s="108"/>
    </row>
    <row r="52" spans="2:38" x14ac:dyDescent="0.25">
      <c r="C52" s="31" t="str">
        <f ca="1">INDEX('Version control'!$H$34:$H$56,MATCH($A$1,'Version control'!$F$34:$F$56,0),1)&amp;"-D: Outputs for DNOs' internal use"</f>
        <v>Output 102-D: Outputs for DNOs' internal use</v>
      </c>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c r="AE52" s="31"/>
      <c r="AF52" s="31"/>
      <c r="AG52" s="31"/>
      <c r="AH52" s="31"/>
      <c r="AI52" s="31"/>
      <c r="AJ52" s="31"/>
      <c r="AK52" s="31"/>
      <c r="AL52" s="31"/>
    </row>
    <row r="54" spans="2:38" x14ac:dyDescent="0.25">
      <c r="D54" s="29" t="s">
        <v>1112</v>
      </c>
      <c r="E54"/>
    </row>
    <row r="56" spans="2:38" ht="60" x14ac:dyDescent="0.25">
      <c r="F56" s="2"/>
      <c r="G56" s="2"/>
      <c r="H56" s="2"/>
      <c r="I56" s="2"/>
      <c r="J56" s="268" t="s">
        <v>148</v>
      </c>
      <c r="K56" s="268" t="s">
        <v>149</v>
      </c>
      <c r="L56" s="268" t="s">
        <v>150</v>
      </c>
      <c r="M56" s="268" t="s">
        <v>151</v>
      </c>
      <c r="N56" s="268" t="s">
        <v>152</v>
      </c>
      <c r="O56" s="268" t="s">
        <v>153</v>
      </c>
      <c r="P56" s="268" t="s">
        <v>154</v>
      </c>
      <c r="Q56" s="268" t="s">
        <v>155</v>
      </c>
      <c r="R56" s="268" t="s">
        <v>156</v>
      </c>
      <c r="S56" s="268" t="s">
        <v>157</v>
      </c>
      <c r="T56" s="268" t="s">
        <v>158</v>
      </c>
      <c r="U56" s="268" t="s">
        <v>159</v>
      </c>
      <c r="V56" s="268" t="s">
        <v>160</v>
      </c>
      <c r="W56" s="268" t="s">
        <v>161</v>
      </c>
      <c r="X56" s="268" t="s">
        <v>162</v>
      </c>
      <c r="Y56" s="268" t="s">
        <v>163</v>
      </c>
      <c r="Z56" s="268" t="s">
        <v>164</v>
      </c>
      <c r="AA56" s="268" t="s">
        <v>165</v>
      </c>
      <c r="AB56" s="268" t="s">
        <v>166</v>
      </c>
      <c r="AC56" s="268" t="s">
        <v>167</v>
      </c>
      <c r="AD56" s="268" t="s">
        <v>168</v>
      </c>
      <c r="AE56" s="268" t="s">
        <v>169</v>
      </c>
      <c r="AF56" s="268" t="s">
        <v>171</v>
      </c>
      <c r="AG56" s="268" t="s">
        <v>173</v>
      </c>
      <c r="AH56" s="268" t="s">
        <v>175</v>
      </c>
      <c r="AI56" s="268" t="s">
        <v>177</v>
      </c>
      <c r="AJ56" s="268" t="s">
        <v>179</v>
      </c>
    </row>
    <row r="57" spans="2:38" x14ac:dyDescent="0.25">
      <c r="C57" s="267"/>
      <c r="D57"/>
      <c r="E57" t="s">
        <v>1064</v>
      </c>
      <c r="G57" s="13" t="s">
        <v>335</v>
      </c>
      <c r="H57" t="s">
        <v>1066</v>
      </c>
      <c r="J57" s="265">
        <f>'Net revenue summary'!J124</f>
        <v>158.02926662686087</v>
      </c>
      <c r="K57" s="265">
        <f>'Net revenue summary'!K124</f>
        <v>256.88632465403765</v>
      </c>
      <c r="L57" s="265">
        <f>'Net revenue summary'!L124</f>
        <v>132.445179713828</v>
      </c>
      <c r="M57" s="265">
        <f>'Net revenue summary'!M124</f>
        <v>537.13750933398376</v>
      </c>
      <c r="N57" s="265">
        <f>'Net revenue summary'!N124</f>
        <v>804.74414986850741</v>
      </c>
      <c r="O57" s="265">
        <f>'Net revenue summary'!O124</f>
        <v>260.5790697848181</v>
      </c>
      <c r="P57" s="265">
        <f>'Net revenue summary'!P124</f>
        <v>3472.6306681904816</v>
      </c>
      <c r="Q57" s="265" t="str">
        <f>'Net revenue summary'!Q124</f>
        <v/>
      </c>
      <c r="R57" s="265">
        <f>'Net revenue summary'!R124</f>
        <v>26232.503589000247</v>
      </c>
      <c r="S57" s="265">
        <f>'Net revenue summary'!S124</f>
        <v>209.08519216162566</v>
      </c>
      <c r="T57" s="265">
        <f>'Net revenue summary'!T124</f>
        <v>2815.1862972217623</v>
      </c>
      <c r="U57" s="265">
        <f>'Net revenue summary'!U124</f>
        <v>9461.1947240546342</v>
      </c>
      <c r="V57" s="265">
        <f>'Net revenue summary'!V124</f>
        <v>41846.856565414979</v>
      </c>
      <c r="W57" s="265">
        <f>'Net revenue summary'!W124</f>
        <v>49192.113640019612</v>
      </c>
      <c r="X57" s="265">
        <f>'Net revenue summary'!X124</f>
        <v>2576.6314683628079</v>
      </c>
      <c r="Y57" s="265">
        <f>'Net revenue summary'!Y124</f>
        <v>359.1813064279491</v>
      </c>
      <c r="Z57" s="265">
        <f>'Net revenue summary'!Z124</f>
        <v>142.93247108937518</v>
      </c>
      <c r="AA57" s="265">
        <f>'Net revenue summary'!AA124</f>
        <v>350.88295592888426</v>
      </c>
      <c r="AB57" s="265">
        <f>'Net revenue summary'!AB124</f>
        <v>291969.48626638943</v>
      </c>
      <c r="AC57" s="265">
        <f>'Net revenue summary'!AC124</f>
        <v>-203.66508370751507</v>
      </c>
      <c r="AD57" s="265" t="str">
        <f>'Net revenue summary'!AD124</f>
        <v/>
      </c>
      <c r="AE57" s="265">
        <f>'Net revenue summary'!AE124</f>
        <v>-5876.5864396142597</v>
      </c>
      <c r="AF57" s="265">
        <f>'Net revenue summary'!AG124</f>
        <v>-15988.728594029533</v>
      </c>
      <c r="AG57" s="265">
        <f>'Net revenue summary'!AI124</f>
        <v>-20236.54464</v>
      </c>
      <c r="AH57" s="265" t="str">
        <f>'Net revenue summary'!AK124</f>
        <v/>
      </c>
      <c r="AI57" s="265">
        <f>'Net revenue summary'!AM124</f>
        <v>-12026.032859660188</v>
      </c>
      <c r="AJ57" s="265">
        <f>'Net revenue summary'!AO124</f>
        <v>-56452.820696419018</v>
      </c>
    </row>
    <row r="58" spans="2:38" x14ac:dyDescent="0.25">
      <c r="C58" s="267"/>
      <c r="D58"/>
      <c r="E58" t="s">
        <v>1069</v>
      </c>
      <c r="G58" s="13" t="s">
        <v>327</v>
      </c>
      <c r="H58" s="304" t="s">
        <v>1066</v>
      </c>
      <c r="I58" s="304"/>
      <c r="J58" s="329">
        <f>'Net revenue summary'!J130</f>
        <v>4.3359978394221672</v>
      </c>
      <c r="K58" s="329">
        <f>'Net revenue summary'!K130</f>
        <v>3.5938002022835875</v>
      </c>
      <c r="L58" s="329">
        <f>'Net revenue summary'!L130</f>
        <v>2.339</v>
      </c>
      <c r="M58" s="329">
        <f>'Net revenue summary'!M130</f>
        <v>3.9785666689987655</v>
      </c>
      <c r="N58" s="329">
        <f>'Net revenue summary'!N130</f>
        <v>3.4736902978527846</v>
      </c>
      <c r="O58" s="329">
        <f>'Net revenue summary'!O130</f>
        <v>2.2589999999999995</v>
      </c>
      <c r="P58" s="329">
        <f>'Net revenue summary'!P130</f>
        <v>3.5469873407460275</v>
      </c>
      <c r="Q58" s="329" t="str">
        <f>'Net revenue summary'!Q130</f>
        <v/>
      </c>
      <c r="R58" s="329">
        <f>'Net revenue summary'!R130</f>
        <v>3.20624932384584</v>
      </c>
      <c r="S58" s="329">
        <f>'Net revenue summary'!S130</f>
        <v>4.2492613421825105</v>
      </c>
      <c r="T58" s="329">
        <f>'Net revenue summary'!T130</f>
        <v>3.6926264113012861</v>
      </c>
      <c r="U58" s="329">
        <f>'Net revenue summary'!U130</f>
        <v>3.9573946904120341</v>
      </c>
      <c r="V58" s="329">
        <f>'Net revenue summary'!V130</f>
        <v>3.0325944863534846</v>
      </c>
      <c r="W58" s="329">
        <f>'Net revenue summary'!W130</f>
        <v>3.8736051197757457</v>
      </c>
      <c r="X58" s="329">
        <f>'Net revenue summary'!X130</f>
        <v>4.7549999999999999</v>
      </c>
      <c r="Y58" s="329">
        <f>'Net revenue summary'!Y130</f>
        <v>4.8419999999999987</v>
      </c>
      <c r="Z58" s="329">
        <f>'Net revenue summary'!Z130</f>
        <v>5.7080000000000002</v>
      </c>
      <c r="AA58" s="329">
        <f>'Net revenue summary'!AA130</f>
        <v>4.7580000000000009</v>
      </c>
      <c r="AB58" s="329">
        <f>'Net revenue summary'!AB130</f>
        <v>4.9330520529228661</v>
      </c>
      <c r="AC58" s="329">
        <f>'Net revenue summary'!AC130</f>
        <v>-1.2840000000000003</v>
      </c>
      <c r="AD58" s="329" t="str">
        <f>'Net revenue summary'!AD130</f>
        <v/>
      </c>
      <c r="AE58" s="329">
        <f>'Net revenue summary'!AE130</f>
        <v>-1.2751137933419343</v>
      </c>
      <c r="AF58" s="329">
        <f>'Net revenue summary'!AG130</f>
        <v>-1.3206328939756764</v>
      </c>
      <c r="AG58" s="329">
        <f>'Net revenue summary'!AI130</f>
        <v>-1.1519999999999999</v>
      </c>
      <c r="AH58" s="329" t="str">
        <f>'Net revenue summary'!AK130</f>
        <v/>
      </c>
      <c r="AI58" s="329">
        <f>'Net revenue summary'!AM130</f>
        <v>-0.53991471524622192</v>
      </c>
      <c r="AJ58" s="329">
        <f>'Net revenue summary'!AO130</f>
        <v>-0.67225662457795266</v>
      </c>
      <c r="AK58" s="304"/>
      <c r="AL58" s="304"/>
    </row>
    <row r="59" spans="2:38" x14ac:dyDescent="0.25">
      <c r="C59" s="267"/>
      <c r="D59"/>
      <c r="E59" t="s">
        <v>1078</v>
      </c>
      <c r="G59" t="s">
        <v>203</v>
      </c>
      <c r="H59" t="s">
        <v>1066</v>
      </c>
      <c r="J59" s="274">
        <f>'Net revenue summary'!J156</f>
        <v>0.11046128994699879</v>
      </c>
      <c r="K59" s="274">
        <f>'Net revenue summary'!K156</f>
        <v>0.15233286283599651</v>
      </c>
      <c r="L59" s="274">
        <f>'Net revenue summary'!L156</f>
        <v>9.1933563437997162E-2</v>
      </c>
      <c r="M59" s="274">
        <f>'Net revenue summary'!M156</f>
        <v>0.14006788256024333</v>
      </c>
      <c r="N59" s="274">
        <f>'Net revenue summary'!N156</f>
        <v>0.1421235339461599</v>
      </c>
      <c r="O59" s="274">
        <f>'Net revenue summary'!O156</f>
        <v>0.1368549662249747</v>
      </c>
      <c r="P59" s="274">
        <f>'Net revenue summary'!P156</f>
        <v>5.7848667323528513</v>
      </c>
      <c r="Q59" s="274">
        <f>'Net revenue summary'!Q156</f>
        <v>0</v>
      </c>
      <c r="R59" s="274">
        <f>'Net revenue summary'!R156</f>
        <v>-0.28127689980923554</v>
      </c>
      <c r="S59" s="274">
        <f>'Net revenue summary'!S156</f>
        <v>0.15127125436595829</v>
      </c>
      <c r="T59" s="274">
        <f>'Net revenue summary'!T156</f>
        <v>-0.18775907193064018</v>
      </c>
      <c r="U59" s="274">
        <f>'Net revenue summary'!U156</f>
        <v>6.938103116711887E-2</v>
      </c>
      <c r="V59" s="274">
        <f>'Net revenue summary'!V156</f>
        <v>4.5451030608086196E-2</v>
      </c>
      <c r="W59" s="274">
        <f>'Net revenue summary'!W156</f>
        <v>1.3099857005285884E-2</v>
      </c>
      <c r="X59" s="274">
        <f>'Net revenue summary'!X156</f>
        <v>0.13368753146856874</v>
      </c>
      <c r="Y59" s="274">
        <f>'Net revenue summary'!Y156</f>
        <v>1.0490536103353578</v>
      </c>
      <c r="Z59" s="274">
        <f>'Net revenue summary'!Z156</f>
        <v>1.8932355323098348E-2</v>
      </c>
      <c r="AA59" s="274">
        <f>'Net revenue summary'!AA156</f>
        <v>-4.1986132955948462E-2</v>
      </c>
      <c r="AB59" s="274">
        <f>'Net revenue summary'!AB156</f>
        <v>-4.623175596961606E-2</v>
      </c>
      <c r="AC59" s="274">
        <f>'Net revenue summary'!AC156</f>
        <v>8.6571653937943041E-2</v>
      </c>
      <c r="AD59" s="274">
        <f>'Net revenue summary'!AD156</f>
        <v>0</v>
      </c>
      <c r="AE59" s="274">
        <f>'Net revenue summary'!AE156</f>
        <v>0.10867213970945942</v>
      </c>
      <c r="AF59" s="274">
        <f>'Net revenue summary'!AG156</f>
        <v>0.10590380714316877</v>
      </c>
      <c r="AG59" s="274">
        <f>'Net revenue summary'!AI156</f>
        <v>-0.11652509809669225</v>
      </c>
      <c r="AH59" s="274">
        <f>'Net revenue summary'!AK156</f>
        <v>0</v>
      </c>
      <c r="AI59" s="274">
        <f>'Net revenue summary'!AM156</f>
        <v>0.10058613425319926</v>
      </c>
      <c r="AJ59" s="274">
        <f>'Net revenue summary'!AO156</f>
        <v>0.11280376356747122</v>
      </c>
    </row>
    <row r="60" spans="2:38" x14ac:dyDescent="0.25">
      <c r="C60" s="267"/>
      <c r="D60"/>
      <c r="E60" t="s">
        <v>1079</v>
      </c>
      <c r="G60" t="s">
        <v>327</v>
      </c>
      <c r="H60" s="304" t="s">
        <v>1066</v>
      </c>
      <c r="I60" s="304"/>
      <c r="J60" s="329">
        <f>'Net revenue summary'!J158</f>
        <v>0.43131617363522201</v>
      </c>
      <c r="K60" s="329">
        <f>'Net revenue summary'!K158</f>
        <v>0.47508310396278047</v>
      </c>
      <c r="L60" s="329">
        <f>'Net revenue summary'!L158</f>
        <v>0.19692828582394381</v>
      </c>
      <c r="M60" s="329">
        <f>'Net revenue summary'!M158</f>
        <v>0.48880370851248012</v>
      </c>
      <c r="N60" s="329">
        <f>'Net revenue summary'!N158</f>
        <v>0.43225896874707026</v>
      </c>
      <c r="O60" s="329">
        <f>'Net revenue summary'!O158</f>
        <v>0.27193914605377933</v>
      </c>
      <c r="P60" s="329">
        <f>'Net revenue summary'!P158</f>
        <v>3.0242081203624305</v>
      </c>
      <c r="Q60" s="329">
        <f>'Net revenue summary'!Q158</f>
        <v>0</v>
      </c>
      <c r="R60" s="329">
        <f>'Net revenue summary'!R158</f>
        <v>-1.254786258556942</v>
      </c>
      <c r="S60" s="329">
        <f>'Net revenue summary'!S158</f>
        <v>0.55833157557184854</v>
      </c>
      <c r="T60" s="329">
        <f>'Net revenue summary'!T158</f>
        <v>-0.853594154163695</v>
      </c>
      <c r="U60" s="329">
        <f>'Net revenue summary'!U158</f>
        <v>0.25675424975175154</v>
      </c>
      <c r="V60" s="329">
        <f>'Net revenue summary'!V158</f>
        <v>0.13184218178157447</v>
      </c>
      <c r="W60" s="329">
        <f>'Net revenue summary'!W158</f>
        <v>5.0087533635631357E-2</v>
      </c>
      <c r="X60" s="329">
        <f>'Net revenue summary'!X158</f>
        <v>0.56072259285553283</v>
      </c>
      <c r="Y60" s="329">
        <f>'Net revenue summary'!Y158</f>
        <v>2.478957873831551</v>
      </c>
      <c r="Z60" s="329">
        <f>'Net revenue summary'!Z158</f>
        <v>0.10605795725269536</v>
      </c>
      <c r="AA60" s="329">
        <f>'Net revenue summary'!AA158</f>
        <v>-0.20852518682301802</v>
      </c>
      <c r="AB60" s="329">
        <f>'Net revenue summary'!AB158</f>
        <v>-0.2391185281367767</v>
      </c>
      <c r="AC60" s="329">
        <f>'Net revenue summary'!AC158</f>
        <v>-0.10230158614340901</v>
      </c>
      <c r="AD60" s="329">
        <f>'Net revenue summary'!AD158</f>
        <v>0</v>
      </c>
      <c r="AE60" s="329">
        <f>'Net revenue summary'!AE158</f>
        <v>-0.12498676509705312</v>
      </c>
      <c r="AF60" s="329">
        <f>'Net revenue summary'!AG158</f>
        <v>-0.12646674186954743</v>
      </c>
      <c r="AG60" s="329">
        <f>'Net revenue summary'!AI158</f>
        <v>0.15194196543466842</v>
      </c>
      <c r="AH60" s="329">
        <f>'Net revenue summary'!AK158</f>
        <v>0</v>
      </c>
      <c r="AI60" s="329">
        <f>'Net revenue summary'!AM158</f>
        <v>-4.9344555907825313E-2</v>
      </c>
      <c r="AJ60" s="329">
        <f>'Net revenue summary'!AO158</f>
        <v>-6.8145956922763179E-2</v>
      </c>
      <c r="AK60" s="304"/>
      <c r="AL60" s="304"/>
    </row>
    <row r="61" spans="2:38" x14ac:dyDescent="0.25">
      <c r="C61" s="267"/>
    </row>
    <row r="62" spans="2:38" x14ac:dyDescent="0.25">
      <c r="C62" s="31" t="str">
        <f ca="1">INDEX('Version control'!$H$34:$H$56,MATCH($A$1,'Version control'!$F$34:$F$56,0),1)&amp;"-E: Outputs for IDNOs' internal use"</f>
        <v>Output 102-E: Outputs for IDNOs' internal use</v>
      </c>
      <c r="D62" s="31"/>
      <c r="E62" s="31"/>
      <c r="F62" s="31"/>
      <c r="G62" s="31"/>
      <c r="H62" s="31"/>
      <c r="I62" s="31"/>
      <c r="J62" s="31"/>
      <c r="K62" s="31"/>
      <c r="L62" s="31"/>
      <c r="M62" s="31"/>
      <c r="N62" s="31"/>
      <c r="O62" s="31"/>
      <c r="P62" s="31"/>
      <c r="Q62" s="31"/>
      <c r="R62" s="31"/>
      <c r="S62" s="31"/>
      <c r="T62" s="31"/>
      <c r="U62" s="31"/>
      <c r="V62" s="31"/>
      <c r="W62" s="31"/>
      <c r="X62" s="31"/>
      <c r="Y62" s="31"/>
      <c r="Z62" s="31"/>
      <c r="AA62" s="31"/>
      <c r="AB62" s="31"/>
      <c r="AC62" s="31"/>
      <c r="AD62" s="31"/>
      <c r="AE62" s="31"/>
      <c r="AF62" s="31"/>
      <c r="AG62" s="31"/>
      <c r="AH62" s="31"/>
      <c r="AI62" s="31"/>
      <c r="AJ62" s="31"/>
      <c r="AK62" s="31"/>
      <c r="AL62" s="31"/>
    </row>
    <row r="64" spans="2:38" x14ac:dyDescent="0.25">
      <c r="D64" s="29" t="s">
        <v>1113</v>
      </c>
      <c r="E64"/>
    </row>
    <row r="65" spans="2:38" x14ac:dyDescent="0.25">
      <c r="D65" s="29" t="s">
        <v>1114</v>
      </c>
      <c r="E65"/>
    </row>
    <row r="67" spans="2:38" ht="60" x14ac:dyDescent="0.25">
      <c r="E67"/>
      <c r="J67" s="268" t="s">
        <v>148</v>
      </c>
      <c r="K67" s="268" t="s">
        <v>149</v>
      </c>
      <c r="L67" s="268" t="s">
        <v>150</v>
      </c>
      <c r="M67" s="268" t="s">
        <v>151</v>
      </c>
      <c r="N67" s="268" t="s">
        <v>152</v>
      </c>
      <c r="O67" s="268" t="s">
        <v>153</v>
      </c>
      <c r="P67" s="268" t="s">
        <v>154</v>
      </c>
      <c r="Q67" s="268" t="s">
        <v>155</v>
      </c>
      <c r="R67" s="268" t="s">
        <v>156</v>
      </c>
      <c r="S67" s="268" t="s">
        <v>157</v>
      </c>
      <c r="T67" s="268" t="s">
        <v>158</v>
      </c>
      <c r="U67" s="268" t="s">
        <v>159</v>
      </c>
      <c r="V67" s="268" t="s">
        <v>160</v>
      </c>
      <c r="W67" s="268" t="s">
        <v>161</v>
      </c>
      <c r="X67" s="268" t="s">
        <v>162</v>
      </c>
      <c r="Y67" s="268" t="s">
        <v>163</v>
      </c>
      <c r="Z67" s="268" t="s">
        <v>164</v>
      </c>
      <c r="AA67" s="268" t="s">
        <v>165</v>
      </c>
      <c r="AB67" s="268" t="s">
        <v>166</v>
      </c>
      <c r="AC67" s="268" t="s">
        <v>167</v>
      </c>
      <c r="AD67" s="268" t="s">
        <v>168</v>
      </c>
      <c r="AE67" s="268" t="s">
        <v>169</v>
      </c>
      <c r="AF67" s="268" t="s">
        <v>171</v>
      </c>
      <c r="AG67" s="268" t="s">
        <v>173</v>
      </c>
      <c r="AH67" s="268" t="s">
        <v>175</v>
      </c>
      <c r="AI67" s="268" t="s">
        <v>177</v>
      </c>
      <c r="AJ67" s="268" t="s">
        <v>179</v>
      </c>
    </row>
    <row r="68" spans="2:38" x14ac:dyDescent="0.25">
      <c r="C68" s="267"/>
      <c r="D68"/>
      <c r="E68" t="s">
        <v>1087</v>
      </c>
      <c r="G68" s="28" t="s">
        <v>203</v>
      </c>
      <c r="H68" t="s">
        <v>508</v>
      </c>
      <c r="J68" s="275">
        <f>'Net revenue summary'!J190</f>
        <v>0.2941177679249648</v>
      </c>
      <c r="K68" s="275">
        <f>'Net revenue summary'!K190</f>
        <v>0.29405119888458292</v>
      </c>
      <c r="L68" s="275">
        <f>'Net revenue summary'!L190</f>
        <v>0.29414279606669519</v>
      </c>
      <c r="M68" s="275">
        <f>'Net revenue summary'!M190</f>
        <v>0.29393223134083141</v>
      </c>
      <c r="N68" s="275">
        <f>'Net revenue summary'!N190</f>
        <v>0.29397504780066358</v>
      </c>
      <c r="O68" s="275">
        <f>'Net revenue summary'!O190</f>
        <v>0.29393536963258082</v>
      </c>
      <c r="P68" s="275">
        <f>'Net revenue summary'!P190</f>
        <v>0.29404993188207323</v>
      </c>
      <c r="Q68" s="97"/>
      <c r="R68" s="97"/>
      <c r="S68" s="275">
        <f>'Net revenue summary'!S190</f>
        <v>0.29402822797882239</v>
      </c>
      <c r="T68" s="275">
        <f>'Net revenue summary'!T190</f>
        <v>0.29404875082141557</v>
      </c>
      <c r="U68" s="275">
        <f>'Net revenue summary'!U190</f>
        <v>0.29398940032598281</v>
      </c>
      <c r="V68" s="97"/>
      <c r="W68" s="97"/>
      <c r="X68" s="275">
        <f>'Net revenue summary'!X190</f>
        <v>0.29400630914826509</v>
      </c>
      <c r="Y68" s="275">
        <f>'Net revenue summary'!Y190</f>
        <v>0.29409334985543145</v>
      </c>
      <c r="Z68" s="275">
        <f>'Net revenue summary'!Z190</f>
        <v>0.29397337070777835</v>
      </c>
      <c r="AA68" s="275">
        <f>'Net revenue summary'!AA190</f>
        <v>0.29403110550651551</v>
      </c>
      <c r="AB68" s="275">
        <f>'Net revenue summary'!AB190</f>
        <v>0.29396810696756553</v>
      </c>
      <c r="AC68" s="275">
        <f>'Net revenue summary'!AC190</f>
        <v>0</v>
      </c>
      <c r="AD68" s="97"/>
      <c r="AE68" s="275">
        <f>'Net revenue summary'!AE190</f>
        <v>0</v>
      </c>
      <c r="AF68" s="275">
        <f>'Net revenue summary'!AG190</f>
        <v>1.1376698233686314E-16</v>
      </c>
      <c r="AG68" s="97"/>
      <c r="AH68" s="97"/>
      <c r="AI68" s="97"/>
      <c r="AJ68" s="97"/>
    </row>
    <row r="69" spans="2:38" x14ac:dyDescent="0.25">
      <c r="C69" s="267"/>
      <c r="D69"/>
      <c r="E69" t="s">
        <v>1088</v>
      </c>
      <c r="G69" s="28" t="s">
        <v>203</v>
      </c>
      <c r="H69" t="s">
        <v>509</v>
      </c>
      <c r="J69" s="275">
        <f>'Net revenue summary'!J191</f>
        <v>0.58154562836502888</v>
      </c>
      <c r="K69" s="275">
        <f>'Net revenue summary'!K191</f>
        <v>0.58158361921937118</v>
      </c>
      <c r="L69" s="275">
        <f>'Net revenue summary'!L191</f>
        <v>0.58144506199230439</v>
      </c>
      <c r="M69" s="275">
        <f>'Net revenue summary'!M191</f>
        <v>0.58167576946131849</v>
      </c>
      <c r="N69" s="275">
        <f>'Net revenue summary'!N191</f>
        <v>0.58169341359062021</v>
      </c>
      <c r="O69" s="275">
        <f>'Net revenue summary'!O191</f>
        <v>0.58167330677290841</v>
      </c>
      <c r="P69" s="275">
        <f>'Net revenue summary'!P191</f>
        <v>0.58162528964949023</v>
      </c>
      <c r="Q69" s="97"/>
      <c r="R69" s="97"/>
      <c r="S69" s="275">
        <f>'Net revenue summary'!S191</f>
        <v>0.58167264920574624</v>
      </c>
      <c r="T69" s="275">
        <f>'Net revenue summary'!T191</f>
        <v>0.58152481606012163</v>
      </c>
      <c r="U69" s="275">
        <f>'Net revenue summary'!U191</f>
        <v>0.58175365968106829</v>
      </c>
      <c r="V69" s="275">
        <f>'Net revenue summary'!V191</f>
        <v>0.39416007556728583</v>
      </c>
      <c r="W69" s="275">
        <f>'Net revenue summary'!W191</f>
        <v>0.33740335586789699</v>
      </c>
      <c r="X69" s="275">
        <f>'Net revenue summary'!X191</f>
        <v>0.58149316508937965</v>
      </c>
      <c r="Y69" s="275">
        <f>'Net revenue summary'!Y191</f>
        <v>0.5815778603882692</v>
      </c>
      <c r="Z69" s="275">
        <f>'Net revenue summary'!Z191</f>
        <v>0.58163980378416258</v>
      </c>
      <c r="AA69" s="275">
        <f>'Net revenue summary'!AA191</f>
        <v>0.58154686843211434</v>
      </c>
      <c r="AB69" s="275">
        <f>'Net revenue summary'!AB191</f>
        <v>0.58154892794043545</v>
      </c>
      <c r="AC69" s="275">
        <f>'Net revenue summary'!AC191</f>
        <v>0</v>
      </c>
      <c r="AD69" s="275" t="str">
        <f>'Net revenue summary'!AD191</f>
        <v/>
      </c>
      <c r="AE69" s="275">
        <f>'Net revenue summary'!AE191</f>
        <v>0</v>
      </c>
      <c r="AF69" s="275">
        <f>'Net revenue summary'!AG191</f>
        <v>1.1376698233686314E-16</v>
      </c>
      <c r="AG69" s="275">
        <f>'Net revenue summary'!AI191</f>
        <v>0</v>
      </c>
      <c r="AH69" s="275" t="str">
        <f>'Net revenue summary'!AK191</f>
        <v/>
      </c>
      <c r="AI69" s="275">
        <f>'Net revenue summary'!AM191</f>
        <v>-0.12583147889741902</v>
      </c>
      <c r="AJ69" s="275">
        <f>'Net revenue summary'!AO191</f>
        <v>-2.6805631345467856E-2</v>
      </c>
    </row>
    <row r="71" spans="2:38" x14ac:dyDescent="0.25">
      <c r="B71" s="30" t="s">
        <v>280</v>
      </c>
      <c r="C71" s="30"/>
      <c r="D71" s="30"/>
      <c r="E71" s="30"/>
      <c r="F71" s="30"/>
      <c r="G71" s="30"/>
      <c r="H71" s="30"/>
      <c r="I71" s="30"/>
      <c r="J71" s="30"/>
      <c r="K71" s="30"/>
      <c r="L71" s="107"/>
      <c r="M71" s="107"/>
      <c r="N71" s="107"/>
      <c r="O71" s="107"/>
      <c r="P71" s="107"/>
      <c r="Q71" s="107"/>
      <c r="R71" s="107"/>
      <c r="S71" s="107"/>
      <c r="T71" s="107"/>
      <c r="U71" s="108"/>
      <c r="V71" s="108"/>
      <c r="W71" s="108"/>
      <c r="X71" s="108"/>
      <c r="Y71" s="108"/>
      <c r="Z71" s="108"/>
      <c r="AA71" s="108"/>
      <c r="AB71" s="108"/>
      <c r="AC71" s="108"/>
      <c r="AD71" s="108"/>
      <c r="AE71" s="108"/>
      <c r="AF71" s="108"/>
      <c r="AG71" s="108"/>
      <c r="AH71" s="108"/>
      <c r="AI71" s="108"/>
      <c r="AJ71" s="108"/>
      <c r="AK71" s="108"/>
      <c r="AL71" s="108"/>
    </row>
    <row r="73" spans="2:38" x14ac:dyDescent="0.25">
      <c r="E73" t="s">
        <v>281</v>
      </c>
      <c r="G73" s="6" t="s">
        <v>56</v>
      </c>
      <c r="H73" s="26">
        <f t="array" ref="H73">SUM(IF(ISERROR(H19:AJ70), 1))</f>
        <v>0</v>
      </c>
    </row>
    <row r="75" spans="2:38" x14ac:dyDescent="0.25">
      <c r="B75" s="30" t="s">
        <v>107</v>
      </c>
      <c r="C75" s="30"/>
      <c r="D75" s="30"/>
      <c r="E75" s="30"/>
      <c r="F75" s="30"/>
      <c r="G75" s="30"/>
      <c r="H75" s="30"/>
      <c r="I75" s="30"/>
      <c r="J75" s="30"/>
      <c r="K75" s="30"/>
      <c r="L75" s="107"/>
      <c r="M75" s="107"/>
      <c r="N75" s="107"/>
      <c r="O75" s="107"/>
      <c r="P75" s="107"/>
      <c r="Q75" s="107"/>
      <c r="R75" s="107"/>
      <c r="S75" s="107"/>
      <c r="T75" s="107"/>
      <c r="U75" s="108"/>
      <c r="V75" s="108"/>
      <c r="W75" s="108"/>
      <c r="X75" s="108"/>
      <c r="Y75" s="108"/>
      <c r="Z75" s="108"/>
      <c r="AA75" s="108"/>
      <c r="AB75" s="108"/>
      <c r="AC75" s="108"/>
      <c r="AD75" s="108"/>
      <c r="AE75" s="108"/>
      <c r="AF75" s="108"/>
      <c r="AG75" s="108"/>
      <c r="AH75" s="108"/>
      <c r="AI75" s="108"/>
      <c r="AJ75" s="108"/>
      <c r="AK75" s="108"/>
      <c r="AL75" s="108"/>
    </row>
  </sheetData>
  <sheetProtection sheet="1" objects="1" formatCells="0" formatColumns="0" formatRows="0" sort="0" autoFilter="0"/>
  <conditionalFormatting sqref="H73">
    <cfRule type="cellIs" dxfId="1" priority="35" operator="greaterThan">
      <formula>0</formula>
    </cfRule>
  </conditionalFormatting>
  <conditionalFormatting sqref="A4:XFD4">
    <cfRule type="expression" dxfId="0" priority="1">
      <formula>LEFT($A$4,1) &lt;&gt; "0"</formula>
    </cfRule>
  </conditionalFormatting>
  <hyperlinks>
    <hyperlink ref="B5:F5" location="'Model map'!A1" display="Click here to return to model map"/>
  </hyperlinks>
  <pageMargins left="0.7" right="0.7" top="0.75" bottom="0.75" header="0.3" footer="0.3"/>
  <pageSetup paperSize="9" scale="32" fitToHeight="0" orientation="portrait" r:id="rId1"/>
  <headerFooter>
    <oddHeader>&amp;L&amp;A&amp;C&amp;R&amp;P of &amp;N</oddHeader>
    <oddFooter>&amp;F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6" tint="0.39997558519241921"/>
    <pageSetUpPr fitToPage="1"/>
  </sheetPr>
  <dimension ref="A1:J6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customHeight="1" x14ac:dyDescent="0.25"/>
  <cols>
    <col min="1" max="5" width="2.5703125" style="3" customWidth="1"/>
    <col min="6" max="6" width="30.5703125" style="3" customWidth="1"/>
    <col min="7" max="7" width="2.5703125" style="3" customWidth="1"/>
    <col min="8" max="8" width="25.5703125" style="4" customWidth="1"/>
    <col min="9" max="9" width="125.42578125" style="4" customWidth="1"/>
    <col min="10" max="10" width="2.5703125" style="3" customWidth="1"/>
    <col min="11" max="16384" width="9.140625" style="3" hidden="1"/>
  </cols>
  <sheetData>
    <row r="1" spans="1:9" s="1" customFormat="1" x14ac:dyDescent="0.25">
      <c r="A1" s="1" t="str">
        <f ca="1">MID(CELL("filename",A1),FIND("]",CELL("filename",A1))+1,255)</f>
        <v>Model map</v>
      </c>
    </row>
    <row r="2" spans="1:9" s="1" customFormat="1" x14ac:dyDescent="0.25">
      <c r="A2" s="1" t="str">
        <f>Cover!D21&amp;" - "&amp;Cover!D23</f>
        <v>SHEPD  - Final</v>
      </c>
    </row>
    <row r="3" spans="1:9" s="5" customFormat="1" x14ac:dyDescent="0.25">
      <c r="A3" s="5" t="str">
        <f>Cover!D2&amp;" - "&amp;Cover!D8&amp;" v"&amp;Cover!D10&amp;" - "&amp;Cover!D19</f>
        <v>CDCM charging model - Release for charge setting v3 - 2020/21</v>
      </c>
    </row>
    <row r="5" spans="1:9" customFormat="1" x14ac:dyDescent="0.25">
      <c r="A5" s="9"/>
      <c r="B5" s="41" t="s">
        <v>108</v>
      </c>
      <c r="C5" s="41"/>
      <c r="D5" s="41"/>
      <c r="E5" s="41"/>
      <c r="F5" s="41"/>
      <c r="G5" s="41"/>
      <c r="H5" s="41"/>
      <c r="I5" s="41"/>
    </row>
    <row r="7" spans="1:9" ht="15" customHeight="1" x14ac:dyDescent="0.25">
      <c r="F7" s="55"/>
      <c r="G7" s="55"/>
      <c r="H7" s="56"/>
      <c r="I7" s="56"/>
    </row>
    <row r="8" spans="1:9" ht="15" customHeight="1" x14ac:dyDescent="0.25">
      <c r="F8" s="55"/>
      <c r="G8" s="55"/>
    </row>
    <row r="9" spans="1:9" ht="15" customHeight="1" x14ac:dyDescent="0.25">
      <c r="F9" s="55"/>
      <c r="G9" s="55"/>
      <c r="H9" s="55"/>
      <c r="I9" s="55"/>
    </row>
    <row r="10" spans="1:9" ht="15" customHeight="1" x14ac:dyDescent="0.25">
      <c r="F10" s="55"/>
      <c r="G10" s="55"/>
      <c r="H10" s="55"/>
      <c r="I10" s="55"/>
    </row>
    <row r="11" spans="1:9" ht="15" customHeight="1" x14ac:dyDescent="0.25">
      <c r="F11" s="55"/>
      <c r="G11" s="55"/>
      <c r="H11" s="55"/>
      <c r="I11" s="3"/>
    </row>
    <row r="12" spans="1:9" ht="15" customHeight="1" x14ac:dyDescent="0.25">
      <c r="F12" s="55"/>
      <c r="H12" s="55"/>
      <c r="I12" s="3"/>
    </row>
    <row r="13" spans="1:9" ht="15" customHeight="1" x14ac:dyDescent="0.25">
      <c r="F13" s="55"/>
      <c r="H13" s="55"/>
      <c r="I13" s="3"/>
    </row>
    <row r="14" spans="1:9" ht="15" customHeight="1" x14ac:dyDescent="0.25">
      <c r="F14" s="55"/>
      <c r="H14" s="55"/>
      <c r="I14" s="3"/>
    </row>
    <row r="15" spans="1:9" x14ac:dyDescent="0.25">
      <c r="F15" s="57"/>
      <c r="G15" s="57"/>
      <c r="H15" s="57"/>
      <c r="I15" s="57"/>
    </row>
    <row r="16" spans="1:9" ht="15" customHeight="1" x14ac:dyDescent="0.25">
      <c r="H16" s="57"/>
      <c r="I16" s="57"/>
    </row>
    <row r="17" spans="6:9" ht="15" customHeight="1" x14ac:dyDescent="0.25">
      <c r="H17" s="57"/>
      <c r="I17" s="57"/>
    </row>
    <row r="18" spans="6:9" ht="15" customHeight="1" x14ac:dyDescent="0.25">
      <c r="H18" s="57"/>
      <c r="I18" s="57"/>
    </row>
    <row r="19" spans="6:9" ht="15" customHeight="1" x14ac:dyDescent="0.25">
      <c r="F19" s="57"/>
      <c r="G19" s="57"/>
      <c r="H19" s="57"/>
      <c r="I19" s="57"/>
    </row>
    <row r="20" spans="6:9" ht="15" customHeight="1" x14ac:dyDescent="0.25">
      <c r="F20" s="57"/>
      <c r="G20" s="57"/>
      <c r="H20" s="57"/>
      <c r="I20" s="57"/>
    </row>
    <row r="21" spans="6:9" ht="15" customHeight="1" x14ac:dyDescent="0.25">
      <c r="F21" s="57"/>
      <c r="G21" s="57"/>
      <c r="H21" s="57"/>
      <c r="I21" s="57"/>
    </row>
    <row r="22" spans="6:9" ht="15" customHeight="1" x14ac:dyDescent="0.25">
      <c r="F22" s="57"/>
      <c r="G22" s="57"/>
      <c r="H22" s="57"/>
      <c r="I22" s="57"/>
    </row>
    <row r="23" spans="6:9" ht="15" customHeight="1" x14ac:dyDescent="0.25">
      <c r="F23" s="57"/>
      <c r="G23" s="57"/>
      <c r="H23" s="57"/>
      <c r="I23" s="57"/>
    </row>
    <row r="24" spans="6:9" ht="15" customHeight="1" x14ac:dyDescent="0.25">
      <c r="F24" s="57"/>
      <c r="G24" s="57"/>
      <c r="H24" s="57"/>
      <c r="I24" s="57"/>
    </row>
    <row r="25" spans="6:9" ht="15" customHeight="1" x14ac:dyDescent="0.25">
      <c r="F25" s="57"/>
      <c r="G25" s="57"/>
      <c r="H25" s="57"/>
      <c r="I25" s="57"/>
    </row>
    <row r="26" spans="6:9" ht="15" customHeight="1" x14ac:dyDescent="0.25">
      <c r="F26" s="57"/>
      <c r="G26" s="57"/>
      <c r="H26" s="57"/>
      <c r="I26" s="57"/>
    </row>
    <row r="27" spans="6:9" ht="15" customHeight="1" x14ac:dyDescent="0.25">
      <c r="F27" s="57"/>
      <c r="G27" s="57"/>
      <c r="H27" s="57"/>
      <c r="I27" s="57"/>
    </row>
    <row r="28" spans="6:9" ht="15" customHeight="1" x14ac:dyDescent="0.25">
      <c r="F28" s="57"/>
      <c r="G28" s="57"/>
      <c r="H28" s="57"/>
      <c r="I28" s="57"/>
    </row>
    <row r="29" spans="6:9" ht="15" customHeight="1" x14ac:dyDescent="0.25">
      <c r="F29" s="57"/>
      <c r="G29" s="57"/>
      <c r="H29" s="57"/>
      <c r="I29" s="57"/>
    </row>
    <row r="30" spans="6:9" ht="15" customHeight="1" x14ac:dyDescent="0.25">
      <c r="F30" s="57"/>
      <c r="G30" s="57"/>
      <c r="H30" s="57"/>
      <c r="I30" s="57"/>
    </row>
    <row r="31" spans="6:9" ht="15" customHeight="1" x14ac:dyDescent="0.25">
      <c r="F31" s="57"/>
      <c r="G31" s="57"/>
      <c r="H31" s="57"/>
      <c r="I31" s="57"/>
    </row>
    <row r="32" spans="6:9" ht="15" customHeight="1" x14ac:dyDescent="0.25">
      <c r="F32" s="57"/>
      <c r="G32" s="57"/>
      <c r="H32" s="57"/>
      <c r="I32" s="57"/>
    </row>
    <row r="33" spans="6:9" ht="15" customHeight="1" x14ac:dyDescent="0.25">
      <c r="F33" s="57"/>
      <c r="G33" s="57"/>
      <c r="H33" s="57"/>
      <c r="I33" s="57"/>
    </row>
    <row r="34" spans="6:9" customFormat="1" x14ac:dyDescent="0.25">
      <c r="F34" s="57"/>
      <c r="G34" s="57"/>
      <c r="H34" s="57"/>
      <c r="I34" s="57"/>
    </row>
    <row r="35" spans="6:9" customFormat="1" x14ac:dyDescent="0.25">
      <c r="F35" s="57"/>
      <c r="G35" s="57"/>
      <c r="H35" s="57"/>
      <c r="I35" s="57"/>
    </row>
    <row r="36" spans="6:9" customFormat="1" x14ac:dyDescent="0.25">
      <c r="F36" s="57"/>
      <c r="G36" s="57"/>
      <c r="H36" s="57"/>
      <c r="I36" s="57"/>
    </row>
    <row r="37" spans="6:9" customFormat="1" x14ac:dyDescent="0.25">
      <c r="F37" s="57"/>
      <c r="G37" s="57"/>
      <c r="H37" s="57"/>
      <c r="I37" s="57"/>
    </row>
    <row r="38" spans="6:9" customFormat="1" x14ac:dyDescent="0.25">
      <c r="F38" s="57"/>
      <c r="G38" s="57"/>
      <c r="H38" s="57"/>
      <c r="I38" s="57"/>
    </row>
    <row r="39" spans="6:9" customFormat="1" x14ac:dyDescent="0.25">
      <c r="F39" s="57"/>
      <c r="G39" s="57"/>
      <c r="H39" s="57"/>
      <c r="I39" s="57"/>
    </row>
    <row r="40" spans="6:9" customFormat="1" x14ac:dyDescent="0.25">
      <c r="F40" s="57"/>
      <c r="G40" s="57"/>
      <c r="H40" s="57"/>
      <c r="I40" s="57"/>
    </row>
    <row r="41" spans="6:9" ht="15" customHeight="1" x14ac:dyDescent="0.25">
      <c r="F41" s="57"/>
      <c r="G41" s="57"/>
      <c r="H41" s="57"/>
      <c r="I41" s="57"/>
    </row>
    <row r="42" spans="6:9" ht="15" customHeight="1" x14ac:dyDescent="0.25">
      <c r="F42" s="57"/>
      <c r="G42" s="57"/>
      <c r="H42" s="57"/>
      <c r="I42" s="57"/>
    </row>
    <row r="43" spans="6:9" ht="15" customHeight="1" x14ac:dyDescent="0.25">
      <c r="F43" s="57"/>
      <c r="G43" s="57"/>
      <c r="H43" s="57"/>
      <c r="I43" s="57"/>
    </row>
    <row r="44" spans="6:9" ht="15" customHeight="1" x14ac:dyDescent="0.25">
      <c r="F44" s="57"/>
      <c r="G44" s="57"/>
      <c r="H44" s="57"/>
      <c r="I44" s="57"/>
    </row>
    <row r="45" spans="6:9" ht="15" customHeight="1" x14ac:dyDescent="0.25">
      <c r="F45" s="57"/>
      <c r="G45" s="57"/>
      <c r="H45" s="57"/>
      <c r="I45" s="57"/>
    </row>
    <row r="46" spans="6:9" ht="15" customHeight="1" x14ac:dyDescent="0.25">
      <c r="F46" s="57"/>
      <c r="G46" s="57"/>
      <c r="H46" s="57"/>
      <c r="I46" s="57"/>
    </row>
    <row r="47" spans="6:9" ht="15" customHeight="1" x14ac:dyDescent="0.25">
      <c r="F47" s="39"/>
      <c r="H47" s="3"/>
      <c r="I47" s="3"/>
    </row>
    <row r="51" spans="1:10" customFormat="1" x14ac:dyDescent="0.25">
      <c r="A51" s="9"/>
      <c r="B51" s="9"/>
      <c r="C51" s="9"/>
      <c r="D51" s="9"/>
      <c r="E51" s="9"/>
      <c r="F51" s="9"/>
      <c r="G51" s="9"/>
      <c r="H51" s="9"/>
      <c r="I51" s="9"/>
      <c r="J51" s="9"/>
    </row>
    <row r="62" spans="1:10" ht="15" customHeight="1" x14ac:dyDescent="0.25">
      <c r="A62" s="41" t="s">
        <v>107</v>
      </c>
      <c r="B62" s="41"/>
      <c r="C62" s="41"/>
      <c r="D62" s="41"/>
      <c r="E62" s="41"/>
      <c r="F62" s="41"/>
      <c r="G62" s="41"/>
      <c r="H62" s="41"/>
      <c r="I62" s="41"/>
    </row>
  </sheetData>
  <sheetProtection sheet="1" objects="1" formatCells="0" formatColumns="0" formatRows="0" sort="0" autoFilter="0"/>
  <pageMargins left="0.23622047244094491" right="0.23622047244094491" top="0.74803149606299213" bottom="0.74803149606299213" header="0.31496062992125984" footer="0.31496062992125984"/>
  <pageSetup paperSize="9" scale="88" fitToHeight="0" orientation="portrait" r:id="rId1"/>
  <headerFooter>
    <oddFooter>&amp;L&amp;Z&amp;F&amp;C&amp;D&amp;R&amp;P of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6" tint="0.39997558519241921"/>
  </sheetPr>
  <dimension ref="A1:U212"/>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23.5703125" bestFit="1" customWidth="1"/>
    <col min="7" max="7" width="112.5703125" bestFit="1" customWidth="1"/>
    <col min="8" max="8" width="2.5703125" customWidth="1"/>
    <col min="9" max="9" width="59.5703125" hidden="1" customWidth="1"/>
    <col min="10" max="20" width="15.42578125" hidden="1" customWidth="1"/>
    <col min="21" max="21" width="2.5703125" hidden="1" customWidth="1"/>
    <col min="22" max="16384" width="9.140625" hidden="1"/>
  </cols>
  <sheetData>
    <row r="1" spans="1:7" s="1" customFormat="1" x14ac:dyDescent="0.25">
      <c r="A1" s="1" t="str">
        <f ca="1">MID(CELL("filename",A1),FIND("]",CELL("filename",A1))+1,255)</f>
        <v>Index</v>
      </c>
    </row>
    <row r="2" spans="1:7" s="1" customFormat="1" x14ac:dyDescent="0.25">
      <c r="A2" s="1" t="str">
        <f>Cover!D21&amp;" - "&amp;Cover!D23</f>
        <v>SHEPD  - Final</v>
      </c>
    </row>
    <row r="3" spans="1:7" s="5" customFormat="1" x14ac:dyDescent="0.25">
      <c r="A3" s="5" t="str">
        <f>Cover!D2&amp;" - "&amp;Cover!D8&amp;" v"&amp;Cover!D10&amp;" - "&amp;Cover!D19</f>
        <v>CDCM charging model - Release for charge setting v3 - 2020/21</v>
      </c>
    </row>
    <row r="5" spans="1:7" x14ac:dyDescent="0.25">
      <c r="B5" s="30" t="s">
        <v>11</v>
      </c>
      <c r="C5" s="30"/>
      <c r="D5" s="30"/>
      <c r="E5" s="30"/>
      <c r="F5" s="30"/>
      <c r="G5" s="30"/>
    </row>
    <row r="7" spans="1:7" x14ac:dyDescent="0.25">
      <c r="C7" s="29" t="s">
        <v>109</v>
      </c>
    </row>
    <row r="8" spans="1:7" x14ac:dyDescent="0.25">
      <c r="C8" s="29" t="s">
        <v>110</v>
      </c>
    </row>
    <row r="10" spans="1:7" x14ac:dyDescent="0.25">
      <c r="B10" s="30" t="s">
        <v>111</v>
      </c>
      <c r="C10" s="30"/>
      <c r="D10" s="30"/>
      <c r="E10" s="30"/>
      <c r="F10" s="30"/>
      <c r="G10" s="30"/>
    </row>
    <row r="12" spans="1:7" x14ac:dyDescent="0.25">
      <c r="C12" s="29" t="s">
        <v>112</v>
      </c>
    </row>
    <row r="14" spans="1:7" ht="15.75" thickBot="1" x14ac:dyDescent="0.3">
      <c r="F14" s="1" t="s">
        <v>113</v>
      </c>
      <c r="G14" s="331" t="s">
        <v>114</v>
      </c>
    </row>
    <row r="15" spans="1:7" ht="16.5" thickTop="1" thickBot="1" x14ac:dyDescent="0.3">
      <c r="F15" s="333" t="s">
        <v>115</v>
      </c>
    </row>
    <row r="16" spans="1:7" ht="15.75" thickTop="1" x14ac:dyDescent="0.25">
      <c r="F16" s="333" t="s">
        <v>116</v>
      </c>
      <c r="G16" s="58" t="str">
        <f>'Version control'!$B$5</f>
        <v>Model version</v>
      </c>
    </row>
    <row r="17" spans="6:7" x14ac:dyDescent="0.25">
      <c r="F17" s="332" t="s">
        <v>117</v>
      </c>
      <c r="G17" s="58" t="str">
        <f>'Version control'!$B$17</f>
        <v>Version log</v>
      </c>
    </row>
    <row r="18" spans="6:7" x14ac:dyDescent="0.25">
      <c r="F18" s="332" t="s">
        <v>117</v>
      </c>
      <c r="G18" s="58" t="str">
        <f>'Version control'!$B$31</f>
        <v>Model checks</v>
      </c>
    </row>
    <row r="19" spans="6:7" ht="15.75" thickBot="1" x14ac:dyDescent="0.3">
      <c r="F19" s="332" t="s">
        <v>117</v>
      </c>
      <c r="G19" s="58" t="str">
        <f>'Version control'!$B$59</f>
        <v>Version log lists</v>
      </c>
    </row>
    <row r="20" spans="6:7" ht="16.5" thickTop="1" thickBot="1" x14ac:dyDescent="0.3">
      <c r="F20" s="333" t="s">
        <v>108</v>
      </c>
      <c r="G20" s="58" t="str">
        <f>'Model map'!$B$5</f>
        <v>Model map</v>
      </c>
    </row>
    <row r="21" spans="6:7" ht="16.5" thickTop="1" thickBot="1" x14ac:dyDescent="0.3">
      <c r="F21" s="333" t="s">
        <v>118</v>
      </c>
      <c r="G21" s="58" t="str">
        <f>'Named ranges'!$B$5</f>
        <v>List of named ranges</v>
      </c>
    </row>
    <row r="22" spans="6:7" ht="16.5" thickTop="1" thickBot="1" x14ac:dyDescent="0.3">
      <c r="F22" s="335" t="s">
        <v>54</v>
      </c>
      <c r="G22" s="58" t="str">
        <f>'Fixed inputs'!$B$11</f>
        <v>Fixed inputs</v>
      </c>
    </row>
    <row r="23" spans="6:7" ht="16.5" thickTop="1" thickBot="1" x14ac:dyDescent="0.3">
      <c r="F23" s="335" t="s">
        <v>57</v>
      </c>
      <c r="G23" s="58" t="str">
        <f>'Inputs by customer type'!$B$11</f>
        <v>Inputs by customer type</v>
      </c>
    </row>
    <row r="24" spans="6:7" ht="16.5" thickTop="1" thickBot="1" x14ac:dyDescent="0.3">
      <c r="F24" s="335" t="s">
        <v>59</v>
      </c>
      <c r="G24" s="58" t="str">
        <f>'Inputs by network level'!$B$11</f>
        <v>Inputs by network level</v>
      </c>
    </row>
    <row r="25" spans="6:7" ht="16.5" thickTop="1" thickBot="1" x14ac:dyDescent="0.3">
      <c r="F25" s="335" t="s">
        <v>61</v>
      </c>
      <c r="G25" s="58" t="str">
        <f>'General inputs'!$B$11</f>
        <v>General inputs</v>
      </c>
    </row>
    <row r="26" spans="6:7" ht="15.75" thickTop="1" x14ac:dyDescent="0.25">
      <c r="F26" s="337" t="s">
        <v>65</v>
      </c>
      <c r="G26" s="58" t="str">
        <f>'Load &amp; loss characteristics'!$B$13</f>
        <v>Load and loss characteristics</v>
      </c>
    </row>
    <row r="27" spans="6:7" ht="15.75" thickBot="1" x14ac:dyDescent="0.3">
      <c r="F27" s="336" t="s">
        <v>117</v>
      </c>
      <c r="G27" s="58" t="str">
        <f>'Load &amp; loss characteristics'!$B$31</f>
        <v>User loss factor adjustments</v>
      </c>
    </row>
    <row r="28" spans="6:7" ht="16.5" thickTop="1" thickBot="1" x14ac:dyDescent="0.3">
      <c r="F28" s="337" t="s">
        <v>67</v>
      </c>
      <c r="G28" s="58" t="str">
        <f>'Customer contributions'!$B$12</f>
        <v>Customer contributions</v>
      </c>
    </row>
    <row r="29" spans="6:7" ht="15.75" thickTop="1" x14ac:dyDescent="0.25">
      <c r="F29" s="337" t="s">
        <v>69</v>
      </c>
      <c r="G29" s="58" t="str">
        <f>'Volume adjustments'!$B$13</f>
        <v>LDNO discounts</v>
      </c>
    </row>
    <row r="30" spans="6:7" ht="15.75" thickBot="1" x14ac:dyDescent="0.3">
      <c r="F30" s="336" t="s">
        <v>117</v>
      </c>
      <c r="G30" s="58" t="str">
        <f>'Volume adjustments'!$B$51</f>
        <v>Volume discounting</v>
      </c>
    </row>
    <row r="31" spans="6:7" ht="16.5" thickTop="1" thickBot="1" x14ac:dyDescent="0.3">
      <c r="F31" s="337" t="s">
        <v>71</v>
      </c>
      <c r="G31" s="58" t="str">
        <f>'Pseudo-load coefficients'!$B$325</f>
        <v>Adjustment for domestic and non-domestic charge equalisation</v>
      </c>
    </row>
    <row r="32" spans="6:7" ht="15.75" thickTop="1" x14ac:dyDescent="0.25">
      <c r="F32" s="337" t="s">
        <v>73</v>
      </c>
      <c r="G32" s="58" t="str">
        <f>'System peak demand'!$B$16</f>
        <v>Common inputs for chargeable load calculations</v>
      </c>
    </row>
    <row r="33" spans="6:7" x14ac:dyDescent="0.25">
      <c r="F33" s="336" t="s">
        <v>117</v>
      </c>
      <c r="G33" s="58" t="str">
        <f>'System peak demand'!$B$63</f>
        <v>Load at system peak charged to unit rates</v>
      </c>
    </row>
    <row r="34" spans="6:7" x14ac:dyDescent="0.25">
      <c r="F34" s="336" t="s">
        <v>117</v>
      </c>
      <c r="G34" s="58" t="str">
        <f>'System peak demand'!$B$179</f>
        <v>Load at system peak charged to standing charges</v>
      </c>
    </row>
    <row r="35" spans="6:7" ht="15.75" thickBot="1" x14ac:dyDescent="0.3">
      <c r="F35" s="336" t="s">
        <v>117</v>
      </c>
      <c r="G35" s="58" t="str">
        <f>'System peak demand'!$B$262</f>
        <v>System peak based on chargeable load</v>
      </c>
    </row>
    <row r="36" spans="6:7" ht="16.5" thickTop="1" thickBot="1" x14ac:dyDescent="0.3">
      <c r="F36" s="337" t="s">
        <v>75</v>
      </c>
      <c r="G36" s="58" t="str">
        <f>'Service model assets'!$B$12</f>
        <v>Service model notional asset values</v>
      </c>
    </row>
    <row r="37" spans="6:7" ht="15.75" thickTop="1" x14ac:dyDescent="0.25">
      <c r="F37" s="337" t="s">
        <v>77</v>
      </c>
      <c r="G37" s="58" t="str">
        <f>'Unit costs'!$B$15</f>
        <v>500MW model costs</v>
      </c>
    </row>
    <row r="38" spans="6:7" x14ac:dyDescent="0.25">
      <c r="F38" s="336" t="s">
        <v>117</v>
      </c>
      <c r="G38" s="58" t="str">
        <f>'Unit costs'!$B$58</f>
        <v>Allocation of other costs</v>
      </c>
    </row>
    <row r="39" spans="6:7" ht="15.75" thickBot="1" x14ac:dyDescent="0.3">
      <c r="F39" s="336" t="s">
        <v>117</v>
      </c>
      <c r="G39" s="58" t="str">
        <f>'Unit costs'!$B$102</f>
        <v>Outputs</v>
      </c>
    </row>
    <row r="40" spans="6:7" ht="15.75" thickTop="1" x14ac:dyDescent="0.25">
      <c r="F40" s="337" t="s">
        <v>79</v>
      </c>
      <c r="G40" s="58" t="str">
        <f>'Initial unit rates'!$B$11</f>
        <v>Inputs for yardstick and unit rate calculations</v>
      </c>
    </row>
    <row r="41" spans="6:7" ht="15.75" thickBot="1" x14ac:dyDescent="0.3">
      <c r="F41" s="336" t="s">
        <v>117</v>
      </c>
      <c r="G41" s="58" t="str">
        <f>'Initial unit rates'!$B$116</f>
        <v>Calculation of yardstick &amp; unit rate charges</v>
      </c>
    </row>
    <row r="42" spans="6:7" ht="15.75" thickTop="1" x14ac:dyDescent="0.25">
      <c r="F42" s="337" t="s">
        <v>81</v>
      </c>
      <c r="G42" s="58" t="str">
        <f>'Service model charges'!$B$13</f>
        <v>Inputs to service model charge calculation</v>
      </c>
    </row>
    <row r="43" spans="6:7" ht="15.75" thickBot="1" x14ac:dyDescent="0.3">
      <c r="F43" s="336" t="s">
        <v>117</v>
      </c>
      <c r="G43" s="58" t="str">
        <f>'Service model charges'!$B$29</f>
        <v>Allocation of service model costs</v>
      </c>
    </row>
    <row r="44" spans="6:7" ht="15.75" thickTop="1" x14ac:dyDescent="0.25">
      <c r="F44" s="337" t="s">
        <v>83</v>
      </c>
      <c r="G44" s="58" t="str">
        <f>'Unit rate charges'!$B$15</f>
        <v>Inputs to unit rate charge calculations</v>
      </c>
    </row>
    <row r="45" spans="6:7" ht="15.75" thickBot="1" x14ac:dyDescent="0.3">
      <c r="F45" s="336" t="s">
        <v>117</v>
      </c>
      <c r="G45" s="58" t="str">
        <f>'Unit rate charges'!$B$122</f>
        <v>Application of standing charges to unit rates</v>
      </c>
    </row>
    <row r="46" spans="6:7" ht="15.75" thickTop="1" x14ac:dyDescent="0.25">
      <c r="F46" s="337" t="s">
        <v>85</v>
      </c>
      <c r="G46" s="58" t="str">
        <f>'Reactive power charges'!$B$13</f>
        <v>Inputs to reactive power charge calculations</v>
      </c>
    </row>
    <row r="47" spans="6:7" x14ac:dyDescent="0.25">
      <c r="F47" s="336" t="s">
        <v>117</v>
      </c>
      <c r="G47" s="58" t="str">
        <f>'Reactive power charges'!$B$150</f>
        <v>Calculation of yardstick charges for generation</v>
      </c>
    </row>
    <row r="48" spans="6:7" ht="15.75" thickBot="1" x14ac:dyDescent="0.3">
      <c r="F48" s="336" t="s">
        <v>117</v>
      </c>
      <c r="G48" s="58" t="str">
        <f>'Reactive power charges'!$B$185</f>
        <v>Calculation of reactive power charges</v>
      </c>
    </row>
    <row r="49" spans="6:7" ht="15.75" thickTop="1" x14ac:dyDescent="0.25">
      <c r="F49" s="337" t="s">
        <v>87</v>
      </c>
      <c r="G49" s="58" t="str">
        <f>'Capacity charges'!$B$17</f>
        <v>Inputs to capacity charge calculations</v>
      </c>
    </row>
    <row r="50" spans="6:7" x14ac:dyDescent="0.25">
      <c r="F50" s="336" t="s">
        <v>117</v>
      </c>
      <c r="G50" s="58" t="str">
        <f>'Capacity charges'!$B$125</f>
        <v>Calculation of capacity charges</v>
      </c>
    </row>
    <row r="51" spans="6:7" ht="15.75" thickBot="1" x14ac:dyDescent="0.3">
      <c r="F51" s="336" t="s">
        <v>117</v>
      </c>
      <c r="G51" s="58" t="str">
        <f>'Capacity charges'!$B$249</f>
        <v>Capacity charges (and elements allocated to fixed charges)</v>
      </c>
    </row>
    <row r="52" spans="6:7" ht="15.75" thickTop="1" x14ac:dyDescent="0.25">
      <c r="F52" s="337" t="s">
        <v>89</v>
      </c>
      <c r="G52" s="58" t="str">
        <f>'Fixed charges'!$B$14</f>
        <v>Inputs to fixed charge calculations</v>
      </c>
    </row>
    <row r="53" spans="6:7" ht="15.75" thickBot="1" x14ac:dyDescent="0.3">
      <c r="F53" s="336" t="s">
        <v>117</v>
      </c>
      <c r="G53" s="58" t="str">
        <f>'Fixed charges'!$B$65</f>
        <v>Calculation of fixed charges</v>
      </c>
    </row>
    <row r="54" spans="6:7" ht="15.75" thickTop="1" x14ac:dyDescent="0.25">
      <c r="F54" s="337" t="s">
        <v>91</v>
      </c>
      <c r="G54" s="58" t="str">
        <f>'Revenue matching'!$B$13</f>
        <v>Pre-matching net revenue calculations</v>
      </c>
    </row>
    <row r="55" spans="6:7" ht="15.75" thickBot="1" x14ac:dyDescent="0.3">
      <c r="F55" s="336" t="s">
        <v>117</v>
      </c>
      <c r="G55" s="58" t="str">
        <f>'Revenue matching'!$B$56</f>
        <v>Adder calculation</v>
      </c>
    </row>
    <row r="56" spans="6:7" ht="15.75" thickTop="1" x14ac:dyDescent="0.25">
      <c r="F56" s="337" t="s">
        <v>93</v>
      </c>
      <c r="G56" s="58" t="str">
        <f>Rounding!$B$12</f>
        <v>Inputs</v>
      </c>
    </row>
    <row r="57" spans="6:7" ht="15.75" thickBot="1" x14ac:dyDescent="0.3">
      <c r="F57" s="336" t="s">
        <v>117</v>
      </c>
      <c r="G57" s="58" t="str">
        <f>Rounding!$B$71</f>
        <v>Rounding of tariff forecast</v>
      </c>
    </row>
    <row r="58" spans="6:7" ht="15.75" thickTop="1" x14ac:dyDescent="0.25">
      <c r="F58" s="337" t="s">
        <v>95</v>
      </c>
      <c r="G58" s="58" t="str">
        <f>'Net revenue summary'!$B$11</f>
        <v>Inputs to net revenue summary calculation</v>
      </c>
    </row>
    <row r="59" spans="6:7" x14ac:dyDescent="0.25">
      <c r="F59" s="336" t="s">
        <v>117</v>
      </c>
      <c r="G59" s="58" t="str">
        <f>'Net revenue summary'!$B$77</f>
        <v>Typical bills</v>
      </c>
    </row>
    <row r="60" spans="6:7" x14ac:dyDescent="0.25">
      <c r="F60" s="336" t="s">
        <v>117</v>
      </c>
      <c r="G60" s="58" t="str">
        <f>'Net revenue summary'!$B$134</f>
        <v>Comparison with previous year</v>
      </c>
    </row>
    <row r="61" spans="6:7" ht="15.75" thickBot="1" x14ac:dyDescent="0.3">
      <c r="F61" s="336" t="s">
        <v>117</v>
      </c>
      <c r="G61" s="58" t="str">
        <f>'Net revenue summary'!$B$160</f>
        <v>LDNO margins</v>
      </c>
    </row>
    <row r="62" spans="6:7" ht="16.5" thickTop="1" thickBot="1" x14ac:dyDescent="0.3">
      <c r="F62" s="339" t="s">
        <v>97</v>
      </c>
      <c r="G62" s="58" t="str">
        <f>'Tariff summary'!$B$11</f>
        <v>Tariff summary</v>
      </c>
    </row>
    <row r="63" spans="6:7" ht="15.75" thickTop="1" x14ac:dyDescent="0.25">
      <c r="F63" s="339" t="s">
        <v>99</v>
      </c>
      <c r="G63" s="58" t="str">
        <f>'Output to other models'!$B$12</f>
        <v>Outputs for PCDM</v>
      </c>
    </row>
    <row r="64" spans="6:7" x14ac:dyDescent="0.25">
      <c r="F64" s="338" t="s">
        <v>117</v>
      </c>
      <c r="G64" s="58" t="str">
        <f>'Output to other models'!$B$25</f>
        <v>Outputs for EDCM</v>
      </c>
    </row>
    <row r="65" spans="2:7" x14ac:dyDescent="0.25">
      <c r="F65" s="338" t="s">
        <v>117</v>
      </c>
      <c r="G65" s="58" t="str">
        <f>'Output to other models'!$B$50</f>
        <v>Outputs for users' internal use</v>
      </c>
    </row>
    <row r="67" spans="2:7" x14ac:dyDescent="0.25">
      <c r="B67" s="30" t="s">
        <v>119</v>
      </c>
      <c r="C67" s="30"/>
      <c r="D67" s="30"/>
      <c r="E67" s="30"/>
      <c r="F67" s="30"/>
      <c r="G67" s="30"/>
    </row>
    <row r="69" spans="2:7" x14ac:dyDescent="0.25">
      <c r="C69" s="29" t="s">
        <v>120</v>
      </c>
    </row>
    <row r="71" spans="2:7" ht="15.75" thickBot="1" x14ac:dyDescent="0.3">
      <c r="F71" s="1" t="s">
        <v>113</v>
      </c>
      <c r="G71" s="331" t="s">
        <v>114</v>
      </c>
    </row>
    <row r="72" spans="2:7" ht="15.75" thickTop="1" x14ac:dyDescent="0.25">
      <c r="F72" s="335" t="s">
        <v>54</v>
      </c>
      <c r="G72" s="58" t="str">
        <f ca="1">'Fixed inputs'!$C$13</f>
        <v>Input 101-A: Conversions and time</v>
      </c>
    </row>
    <row r="73" spans="2:7" x14ac:dyDescent="0.25">
      <c r="F73" s="334" t="s">
        <v>117</v>
      </c>
      <c r="G73" s="58" t="str">
        <f ca="1">'Fixed inputs'!$C$20</f>
        <v>Input 101-B: Input 101-B: Rounding</v>
      </c>
    </row>
    <row r="74" spans="2:7" x14ac:dyDescent="0.25">
      <c r="F74" s="334" t="s">
        <v>117</v>
      </c>
      <c r="G74" s="58" t="str">
        <f ca="1">'Fixed inputs'!$C$33</f>
        <v>Input 101-C: Financial and general assumptions</v>
      </c>
    </row>
    <row r="75" spans="2:7" x14ac:dyDescent="0.25">
      <c r="F75" s="334" t="s">
        <v>117</v>
      </c>
      <c r="G75" s="58" t="str">
        <f ca="1">'Fixed inputs'!$C$43</f>
        <v>Input 101-D: Mappings</v>
      </c>
    </row>
    <row r="76" spans="2:7" x14ac:dyDescent="0.25">
      <c r="F76" s="334" t="s">
        <v>117</v>
      </c>
      <c r="G76" s="58" t="str">
        <f ca="1">'Fixed inputs'!$C$84</f>
        <v>Input 101-E: Standing charge factors</v>
      </c>
    </row>
    <row r="77" spans="2:7" x14ac:dyDescent="0.25">
      <c r="F77" s="334" t="s">
        <v>117</v>
      </c>
      <c r="G77" s="58" t="str">
        <f ca="1">'Fixed inputs'!$C$100</f>
        <v>Input 101-F: Flags</v>
      </c>
    </row>
    <row r="78" spans="2:7" x14ac:dyDescent="0.25">
      <c r="F78" s="334" t="s">
        <v>117</v>
      </c>
      <c r="G78" s="58" t="str">
        <f ca="1">'Fixed inputs'!$C$146</f>
        <v>Input 101-G: Identifiers for customer groupings</v>
      </c>
    </row>
    <row r="79" spans="2:7" ht="15.75" thickBot="1" x14ac:dyDescent="0.3">
      <c r="F79" s="334" t="s">
        <v>117</v>
      </c>
      <c r="G79" s="58" t="str">
        <f ca="1">'Fixed inputs'!$C$157</f>
        <v>Input 101-H: Decimal places for error checks</v>
      </c>
    </row>
    <row r="80" spans="2:7" ht="15.75" thickTop="1" x14ac:dyDescent="0.25">
      <c r="F80" s="335" t="s">
        <v>57</v>
      </c>
      <c r="G80" s="58" t="str">
        <f ca="1">'Inputs by customer type'!$C$13</f>
        <v>Input 102-A: Load characteristics</v>
      </c>
    </row>
    <row r="81" spans="6:7" x14ac:dyDescent="0.25">
      <c r="F81" s="334" t="s">
        <v>117</v>
      </c>
      <c r="G81" s="58" t="str">
        <f ca="1">'Inputs by customer type'!$C$18</f>
        <v>Input 102-B: Volume forecasts for the charging year</v>
      </c>
    </row>
    <row r="82" spans="6:7" x14ac:dyDescent="0.25">
      <c r="F82" s="334" t="s">
        <v>117</v>
      </c>
      <c r="G82" s="58" t="str">
        <f ca="1">'Inputs by customer type'!$C$47</f>
        <v>Input 102-C: Split of units by distribution timeband</v>
      </c>
    </row>
    <row r="83" spans="6:7" x14ac:dyDescent="0.25">
      <c r="F83" s="334" t="s">
        <v>117</v>
      </c>
      <c r="G83" s="58" t="str">
        <f ca="1">'Inputs by customer type'!$C$67</f>
        <v>Input 102-D: Service model asset values</v>
      </c>
    </row>
    <row r="84" spans="6:7" x14ac:dyDescent="0.25">
      <c r="F84" s="334" t="s">
        <v>117</v>
      </c>
      <c r="G84" s="58" t="str">
        <f ca="1">'Inputs by customer type'!$C$76</f>
        <v>Input 102-E: Previous year all-the-way tariff forecast</v>
      </c>
    </row>
    <row r="85" spans="6:7" ht="15.75" thickBot="1" x14ac:dyDescent="0.3">
      <c r="F85" s="334" t="s">
        <v>117</v>
      </c>
      <c r="G85" s="58" t="str">
        <f ca="1">'Inputs by customer type'!$C$90</f>
        <v>Input 102-F: Previous year net revenue (if known)</v>
      </c>
    </row>
    <row r="86" spans="6:7" ht="15.75" thickTop="1" x14ac:dyDescent="0.25">
      <c r="F86" s="335" t="s">
        <v>59</v>
      </c>
      <c r="G86" s="58" t="str">
        <f ca="1">'Inputs by network level'!$C$13</f>
        <v>Input 103-A: Network and load inputs</v>
      </c>
    </row>
    <row r="87" spans="6:7" x14ac:dyDescent="0.25">
      <c r="F87" s="334" t="s">
        <v>117</v>
      </c>
      <c r="G87" s="58" t="str">
        <f ca="1">'Inputs by network level'!$C$23</f>
        <v>Input 103-B: Customer contributions under current connection charging policy</v>
      </c>
    </row>
    <row r="88" spans="6:7" x14ac:dyDescent="0.25">
      <c r="F88" s="334" t="s">
        <v>117</v>
      </c>
      <c r="G88" s="58" t="str">
        <f ca="1">'Inputs by network level'!$C$31</f>
        <v>Input 103-C: DRM asset costs</v>
      </c>
    </row>
    <row r="89" spans="6:7" ht="15.75" thickBot="1" x14ac:dyDescent="0.3">
      <c r="F89" s="334" t="s">
        <v>117</v>
      </c>
      <c r="G89" s="58" t="str">
        <f ca="1">'Inputs by network level'!$C$35</f>
        <v>Input 103-D: Peaking probabilities by network level</v>
      </c>
    </row>
    <row r="90" spans="6:7" ht="15.75" thickTop="1" x14ac:dyDescent="0.25">
      <c r="F90" s="335" t="s">
        <v>61</v>
      </c>
      <c r="G90" s="58" t="str">
        <f ca="1">'General inputs'!$C$13</f>
        <v>Input 104-A: Inputs by distribution timeband</v>
      </c>
    </row>
    <row r="91" spans="6:7" x14ac:dyDescent="0.25">
      <c r="F91" s="334" t="s">
        <v>117</v>
      </c>
      <c r="G91" s="58" t="str">
        <f ca="1">'General inputs'!$C$25</f>
        <v>Input 104-B: LDNO discount inputs</v>
      </c>
    </row>
    <row r="92" spans="6:7" x14ac:dyDescent="0.25">
      <c r="F92" s="334" t="s">
        <v>117</v>
      </c>
      <c r="G92" s="58" t="str">
        <f ca="1">'General inputs'!$C$35</f>
        <v>Input 104-C: CDCM target revenue</v>
      </c>
    </row>
    <row r="93" spans="6:7" x14ac:dyDescent="0.25">
      <c r="F93" s="334" t="s">
        <v>117</v>
      </c>
      <c r="G93" s="58" t="str">
        <f ca="1">'General inputs'!$C$87</f>
        <v>Input 104-D: Financial and general assumptions</v>
      </c>
    </row>
    <row r="94" spans="6:7" x14ac:dyDescent="0.25">
      <c r="F94" s="334" t="s">
        <v>117</v>
      </c>
      <c r="G94" s="58" t="str">
        <f ca="1">'General inputs'!$C$93</f>
        <v>Input 104-E: Transmission exit charges</v>
      </c>
    </row>
    <row r="95" spans="6:7" ht="15.75" thickBot="1" x14ac:dyDescent="0.3">
      <c r="F95" s="334" t="s">
        <v>117</v>
      </c>
      <c r="G95" s="58" t="str">
        <f ca="1">'General inputs'!$C$97</f>
        <v>Input 104-F: Other expenditure</v>
      </c>
    </row>
    <row r="96" spans="6:7" ht="16.5" thickTop="1" thickBot="1" x14ac:dyDescent="0.3">
      <c r="F96" s="337" t="s">
        <v>121</v>
      </c>
      <c r="G96" s="58" t="str">
        <f ca="1">'Standing charge factors'!$C$19</f>
        <v>Section 101-A: Adjustments to standing charges</v>
      </c>
    </row>
    <row r="97" spans="6:7" ht="15.75" thickTop="1" x14ac:dyDescent="0.25">
      <c r="F97" s="337" t="s">
        <v>65</v>
      </c>
      <c r="G97" s="58" t="str">
        <f ca="1">'Load &amp; loss characteristics'!$C$17</f>
        <v>Section 102-A: Load characteristics</v>
      </c>
    </row>
    <row r="98" spans="6:7" x14ac:dyDescent="0.25">
      <c r="F98" s="336" t="s">
        <v>117</v>
      </c>
      <c r="G98" s="58" t="str">
        <f ca="1">'Load &amp; loss characteristics'!$C$25</f>
        <v>Section 102-B: Loss adjustment factors</v>
      </c>
    </row>
    <row r="99" spans="6:7" x14ac:dyDescent="0.25">
      <c r="F99" s="336" t="s">
        <v>117</v>
      </c>
      <c r="G99" s="58" t="str">
        <f ca="1">'Load &amp; loss characteristics'!$C$35</f>
        <v>Section 102-C: Proportion of relevant load going through 132kV/HV direct transformation</v>
      </c>
    </row>
    <row r="100" spans="6:7" x14ac:dyDescent="0.25">
      <c r="F100" s="336" t="s">
        <v>117</v>
      </c>
      <c r="G100" s="58" t="str">
        <f ca="1">'Load &amp; loss characteristics'!$C$40</f>
        <v>Section 102-D: Network use factors</v>
      </c>
    </row>
    <row r="101" spans="6:7" ht="15.75" thickBot="1" x14ac:dyDescent="0.3">
      <c r="F101" s="336" t="s">
        <v>117</v>
      </c>
      <c r="G101" s="58" t="str">
        <f ca="1">'Load &amp; loss characteristics'!$C$189</f>
        <v>Section 102-E: User loss factors</v>
      </c>
    </row>
    <row r="102" spans="6:7" ht="15.75" thickTop="1" x14ac:dyDescent="0.25">
      <c r="F102" s="337" t="s">
        <v>67</v>
      </c>
      <c r="G102" s="58" t="str">
        <f ca="1">'Customer contributions'!$C$16</f>
        <v>Section 103-A: Network use factors</v>
      </c>
    </row>
    <row r="103" spans="6:7" ht="15.75" thickBot="1" x14ac:dyDescent="0.3">
      <c r="F103" s="336" t="s">
        <v>117</v>
      </c>
      <c r="G103" s="58" t="str">
        <f ca="1">'Customer contributions'!$C$55</f>
        <v>Section 103-B: Customer contributions</v>
      </c>
    </row>
    <row r="104" spans="6:7" ht="15.75" thickTop="1" x14ac:dyDescent="0.25">
      <c r="F104" s="337" t="s">
        <v>69</v>
      </c>
      <c r="G104" s="58" t="str">
        <f ca="1">'Volume adjustments'!$C$15</f>
        <v>Section 104-A: LDNO discounts</v>
      </c>
    </row>
    <row r="105" spans="6:7" ht="15.75" thickBot="1" x14ac:dyDescent="0.3">
      <c r="F105" s="336" t="s">
        <v>117</v>
      </c>
      <c r="G105" s="58" t="str">
        <f ca="1">'Volume adjustments'!$C$55</f>
        <v>Section 104-B: Volume discounting</v>
      </c>
    </row>
    <row r="106" spans="6:7" ht="15.75" thickTop="1" x14ac:dyDescent="0.25">
      <c r="F106" s="337" t="s">
        <v>71</v>
      </c>
      <c r="G106" s="58" t="str">
        <f ca="1">'Pseudo-load coefficients'!$C$21</f>
        <v>Section 105-A: Flags and hours in timebands</v>
      </c>
    </row>
    <row r="107" spans="6:7" x14ac:dyDescent="0.25">
      <c r="F107" s="336" t="s">
        <v>117</v>
      </c>
      <c r="G107" s="58" t="str">
        <f ca="1">'Pseudo-load coefficients'!$C$33</f>
        <v>Section 105-B: Average load by timeband</v>
      </c>
    </row>
    <row r="108" spans="6:7" x14ac:dyDescent="0.25">
      <c r="F108" s="336" t="s">
        <v>117</v>
      </c>
      <c r="G108" s="58" t="str">
        <f ca="1">'Pseudo-load coefficients'!$C$77</f>
        <v>Section 105-C: Aggregated values for UMS customers</v>
      </c>
    </row>
    <row r="109" spans="6:7" x14ac:dyDescent="0.25">
      <c r="F109" s="336" t="s">
        <v>117</v>
      </c>
      <c r="G109" s="58" t="str">
        <f ca="1">'Pseudo-load coefficients'!$C$86</f>
        <v>Section 105-D: Ratio of coincidence to load factor assuming units evenly spread within time bands, and peak falls in Red period</v>
      </c>
    </row>
    <row r="110" spans="6:7" x14ac:dyDescent="0.25">
      <c r="F110" s="336" t="s">
        <v>117</v>
      </c>
      <c r="G110" s="58" t="str">
        <f ca="1">'Pseudo-load coefficients'!$C$96</f>
        <v>Section 105-E: Load characteristics for all customers</v>
      </c>
    </row>
    <row r="111" spans="6:7" x14ac:dyDescent="0.25">
      <c r="F111" s="336" t="s">
        <v>117</v>
      </c>
      <c r="G111" s="58" t="str">
        <f ca="1">'Pseudo-load coefficients'!$C$101</f>
        <v>Section 105-F: Aggregated load characteristics for UMS customers</v>
      </c>
    </row>
    <row r="112" spans="6:7" x14ac:dyDescent="0.25">
      <c r="F112" s="336" t="s">
        <v>117</v>
      </c>
      <c r="G112" s="58" t="str">
        <f ca="1">'Pseudo-load coefficients'!$C$114</f>
        <v>Section 105-G: Calculation of correction factor</v>
      </c>
    </row>
    <row r="113" spans="6:7" x14ac:dyDescent="0.25">
      <c r="F113" s="336" t="s">
        <v>117</v>
      </c>
      <c r="G113" s="58" t="str">
        <f ca="1">'Pseudo-load coefficients'!$C$129</f>
        <v>Section 105-H: Peaking probabilities, by network level</v>
      </c>
    </row>
    <row r="114" spans="6:7" x14ac:dyDescent="0.25">
      <c r="F114" s="336" t="s">
        <v>117</v>
      </c>
      <c r="G114" s="58" t="str">
        <f ca="1">'Pseudo-load coefficients'!$C$203</f>
        <v>Section 105-I: Peaking probabilities, by network level and customer type</v>
      </c>
    </row>
    <row r="115" spans="6:7" x14ac:dyDescent="0.25">
      <c r="F115" s="336" t="s">
        <v>117</v>
      </c>
      <c r="G115" s="58" t="str">
        <f ca="1">'Pseudo-load coefficients'!$C$250</f>
        <v>Section 105-J: Ratio of coincidence factor to load factor, based on uniform distribution in timebands and peaking probabilities</v>
      </c>
    </row>
    <row r="116" spans="6:7" x14ac:dyDescent="0.25">
      <c r="F116" s="336" t="s">
        <v>117</v>
      </c>
      <c r="G116" s="58" t="str">
        <f ca="1">'Pseudo-load coefficients'!$C$290</f>
        <v>Section 105-K: Pseudo load coefficients, by unit rate</v>
      </c>
    </row>
    <row r="117" spans="6:7" x14ac:dyDescent="0.25">
      <c r="F117" s="336" t="s">
        <v>117</v>
      </c>
      <c r="G117" s="58" t="str">
        <f ca="1">'Pseudo-load coefficients'!$C$335</f>
        <v>Section 105-L: Peak load based on average pseudo load coefficient</v>
      </c>
    </row>
    <row r="118" spans="6:7" x14ac:dyDescent="0.25">
      <c r="F118" s="336" t="s">
        <v>117</v>
      </c>
      <c r="G118" s="58" t="str">
        <f ca="1">'Pseudo-load coefficients'!$C$359</f>
        <v>Section 105-M: Adjustment group flags</v>
      </c>
    </row>
    <row r="119" spans="6:7" x14ac:dyDescent="0.25">
      <c r="F119" s="336" t="s">
        <v>117</v>
      </c>
      <c r="G119" s="58" t="str">
        <f ca="1">'Pseudo-load coefficients'!$C$365</f>
        <v>Section 105-N: Average pseudo load coefficient for HH tariff forecast, based on average split of units for NHH tariff forecast</v>
      </c>
    </row>
    <row r="120" spans="6:7" x14ac:dyDescent="0.25">
      <c r="F120" s="336" t="s">
        <v>117</v>
      </c>
      <c r="G120" s="58" t="str">
        <f ca="1">'Pseudo-load coefficients'!$C$393</f>
        <v>Section 105-O: Volume weighted average pseudo load coefficient by profile class</v>
      </c>
    </row>
    <row r="121" spans="6:7" x14ac:dyDescent="0.25">
      <c r="F121" s="336" t="s">
        <v>117</v>
      </c>
      <c r="G121" s="58" t="str">
        <f ca="1">'Pseudo-load coefficients'!$C$417</f>
        <v>Section 105-P: Relative correction factors</v>
      </c>
    </row>
    <row r="122" spans="6:7" x14ac:dyDescent="0.25">
      <c r="F122" s="336" t="s">
        <v>117</v>
      </c>
      <c r="G122" s="58" t="str">
        <f ca="1">'Pseudo-load coefficients'!$C$485</f>
        <v>Section 105-Q: Final correction factors for Paragraph 72A adjustment</v>
      </c>
    </row>
    <row r="123" spans="6:7" x14ac:dyDescent="0.25">
      <c r="F123" s="336" t="s">
        <v>117</v>
      </c>
      <c r="G123" s="58" t="str">
        <f ca="1">'Pseudo-load coefficients'!$C$502</f>
        <v>Section 105-R: Load coefficient</v>
      </c>
    </row>
    <row r="124" spans="6:7" ht="15.75" thickBot="1" x14ac:dyDescent="0.3">
      <c r="F124" s="336" t="s">
        <v>117</v>
      </c>
      <c r="G124" s="58" t="str">
        <f ca="1">'Pseudo-load coefficients'!$C$506</f>
        <v>Section 105-S: Pseudo load coefficients, by unit rate</v>
      </c>
    </row>
    <row r="125" spans="6:7" ht="15.75" thickTop="1" x14ac:dyDescent="0.25">
      <c r="F125" s="337" t="s">
        <v>73</v>
      </c>
      <c r="G125" s="58" t="str">
        <f ca="1">'System peak demand'!$C$18</f>
        <v>Section 106-A: Common inputs for chargeable load calculations</v>
      </c>
    </row>
    <row r="126" spans="6:7" x14ac:dyDescent="0.25">
      <c r="F126" s="336" t="s">
        <v>117</v>
      </c>
      <c r="G126" s="58" t="str">
        <f ca="1">'System peak demand'!$C$67</f>
        <v>Section 106-B: System peak load, by unit rate</v>
      </c>
    </row>
    <row r="127" spans="6:7" x14ac:dyDescent="0.25">
      <c r="F127" s="336" t="s">
        <v>117</v>
      </c>
      <c r="G127" s="58" t="str">
        <f ca="1">'System peak demand'!$C$138</f>
        <v>Section 106-C: System peak load, all unit rates</v>
      </c>
    </row>
    <row r="128" spans="6:7" x14ac:dyDescent="0.25">
      <c r="F128" s="336" t="s">
        <v>117</v>
      </c>
      <c r="G128" s="58" t="str">
        <f ca="1">'System peak demand'!$C$164</f>
        <v>Section 106-D: Unit rate contributions to chargeable peak load</v>
      </c>
    </row>
    <row r="129" spans="6:7" x14ac:dyDescent="0.25">
      <c r="F129" s="336" t="s">
        <v>117</v>
      </c>
      <c r="G129" s="58" t="str">
        <f ca="1">'System peak demand'!$C$184</f>
        <v>Section 106-E: Adjustment of import and exceeded capacity</v>
      </c>
    </row>
    <row r="130" spans="6:7" x14ac:dyDescent="0.25">
      <c r="F130" s="336" t="s">
        <v>117</v>
      </c>
      <c r="G130" s="58" t="str">
        <f ca="1">'System peak demand'!$C$194</f>
        <v>Section 106-F: Calculation of LV circuit diversity factor</v>
      </c>
    </row>
    <row r="131" spans="6:7" x14ac:dyDescent="0.25">
      <c r="F131" s="336" t="s">
        <v>117</v>
      </c>
      <c r="G131" s="58" t="str">
        <f ca="1">'System peak demand'!$C$236</f>
        <v>Section 106-G: Import/exceeded capacity contribution to system peak</v>
      </c>
    </row>
    <row r="132" spans="6:7" x14ac:dyDescent="0.25">
      <c r="F132" s="336" t="s">
        <v>117</v>
      </c>
      <c r="G132" s="58" t="str">
        <f ca="1">'System peak demand'!$C$249</f>
        <v>Section 106-H: Estimated capacity contribution to system peak</v>
      </c>
    </row>
    <row r="133" spans="6:7" ht="15.75" thickBot="1" x14ac:dyDescent="0.3">
      <c r="F133" s="336" t="s">
        <v>117</v>
      </c>
      <c r="G133" s="58" t="str">
        <f ca="1">'System peak demand'!$C$266</f>
        <v>Section 106-I: System peak based on chargeable load</v>
      </c>
    </row>
    <row r="134" spans="6:7" ht="16.5" thickTop="1" thickBot="1" x14ac:dyDescent="0.3">
      <c r="F134" s="337" t="s">
        <v>75</v>
      </c>
      <c r="G134" s="58" t="str">
        <f ca="1">'Service model assets'!$C$14</f>
        <v>Section 107-A: Service model notional asset values</v>
      </c>
    </row>
    <row r="135" spans="6:7" ht="15.75" thickTop="1" x14ac:dyDescent="0.25">
      <c r="F135" s="337" t="s">
        <v>77</v>
      </c>
      <c r="G135" s="58" t="str">
        <f ca="1">'Unit costs'!$C$19</f>
        <v>Section 108-A: Financial data</v>
      </c>
    </row>
    <row r="136" spans="6:7" x14ac:dyDescent="0.25">
      <c r="F136" s="336" t="s">
        <v>117</v>
      </c>
      <c r="G136" s="58" t="str">
        <f ca="1">'Unit costs'!$C$27</f>
        <v>Section 108-B: Diversity and loss adjustment factors</v>
      </c>
    </row>
    <row r="137" spans="6:7" x14ac:dyDescent="0.25">
      <c r="F137" s="336" t="s">
        <v>117</v>
      </c>
      <c r="G137" s="58" t="str">
        <f ca="1">'Unit costs'!$C$35</f>
        <v>Section 108-C: Maximum demand</v>
      </c>
    </row>
    <row r="138" spans="6:7" x14ac:dyDescent="0.25">
      <c r="F138" s="336" t="s">
        <v>117</v>
      </c>
      <c r="G138" s="58" t="str">
        <f ca="1">'Unit costs'!$C$42</f>
        <v>Section 108-D: Rerouting matrix</v>
      </c>
    </row>
    <row r="139" spans="6:7" x14ac:dyDescent="0.25">
      <c r="F139" s="336" t="s">
        <v>117</v>
      </c>
      <c r="G139" s="58" t="str">
        <f ca="1">'Unit costs'!$C$50</f>
        <v>Section 108-E: Annuitised cost of assets</v>
      </c>
    </row>
    <row r="140" spans="6:7" x14ac:dyDescent="0.25">
      <c r="F140" s="336" t="s">
        <v>117</v>
      </c>
      <c r="G140" s="58" t="str">
        <f ca="1">'Unit costs'!$C$62</f>
        <v>Section 108-F: System simultaneous peak load based on charegable units</v>
      </c>
    </row>
    <row r="141" spans="6:7" x14ac:dyDescent="0.25">
      <c r="F141" s="336" t="s">
        <v>117</v>
      </c>
      <c r="G141" s="58" t="str">
        <f ca="1">'Unit costs'!$C$69</f>
        <v>Section 108-G: Notional asset values, by network level</v>
      </c>
    </row>
    <row r="142" spans="6:7" x14ac:dyDescent="0.25">
      <c r="F142" s="336" t="s">
        <v>117</v>
      </c>
      <c r="G142" s="58" t="str">
        <f ca="1">'Unit costs'!$C$80</f>
        <v>Section 108-H: Other operating costs</v>
      </c>
    </row>
    <row r="143" spans="6:7" x14ac:dyDescent="0.25">
      <c r="F143" s="336" t="s">
        <v>117</v>
      </c>
      <c r="G143" s="58" t="str">
        <f ca="1">'Unit costs'!$C$92</f>
        <v>Section 108-I: Other operating costs by network level</v>
      </c>
    </row>
    <row r="144" spans="6:7" x14ac:dyDescent="0.25">
      <c r="F144" s="336" t="s">
        <v>117</v>
      </c>
      <c r="G144" s="58" t="str">
        <f ca="1">'Unit costs'!$C$104</f>
        <v>Section 108-J: Notional asset values by network level</v>
      </c>
    </row>
    <row r="145" spans="6:7" x14ac:dyDescent="0.25">
      <c r="F145" s="336" t="s">
        <v>117</v>
      </c>
      <c r="G145" s="58" t="str">
        <f ca="1">'Unit costs'!$C$110</f>
        <v>Section 108-K: Unit costs</v>
      </c>
    </row>
    <row r="146" spans="6:7" ht="15.75" thickBot="1" x14ac:dyDescent="0.3">
      <c r="F146" s="336" t="s">
        <v>117</v>
      </c>
      <c r="G146" s="58" t="str">
        <f ca="1">'Unit costs'!$C$117</f>
        <v>Section 108-L: Values used for allocating costs to service models</v>
      </c>
    </row>
    <row r="147" spans="6:7" ht="15.75" thickTop="1" x14ac:dyDescent="0.25">
      <c r="F147" s="337" t="s">
        <v>79</v>
      </c>
      <c r="G147" s="58" t="str">
        <f ca="1">'Initial unit rates'!$C$13</f>
        <v>Section 109-A: Inputs for yardstick and unit rate calculations</v>
      </c>
    </row>
    <row r="148" spans="6:7" x14ac:dyDescent="0.25">
      <c r="F148" s="336" t="s">
        <v>117</v>
      </c>
      <c r="G148" s="58" t="str">
        <f ca="1">'Initial unit rates'!$C$118</f>
        <v>Section 109-B: Yardstick charges</v>
      </c>
    </row>
    <row r="149" spans="6:7" x14ac:dyDescent="0.25">
      <c r="F149" s="336" t="s">
        <v>117</v>
      </c>
      <c r="G149" s="58" t="str">
        <f ca="1">'Initial unit rates'!$C$146</f>
        <v>Section 109-C: Unit rate 1</v>
      </c>
    </row>
    <row r="150" spans="6:7" x14ac:dyDescent="0.25">
      <c r="F150" s="336" t="s">
        <v>117</v>
      </c>
      <c r="G150" s="58" t="str">
        <f ca="1">'Initial unit rates'!$C$175</f>
        <v>Section 109-D: Unit rate 2</v>
      </c>
    </row>
    <row r="151" spans="6:7" ht="15.75" thickBot="1" x14ac:dyDescent="0.3">
      <c r="F151" s="336" t="s">
        <v>117</v>
      </c>
      <c r="G151" s="58" t="str">
        <f ca="1">'Initial unit rates'!$C$204</f>
        <v>Section 109-E: Unit rate 3</v>
      </c>
    </row>
    <row r="152" spans="6:7" ht="15.75" thickTop="1" x14ac:dyDescent="0.25">
      <c r="F152" s="337" t="s">
        <v>81</v>
      </c>
      <c r="G152" s="58" t="str">
        <f ca="1">'Service model charges'!$C$17</f>
        <v>Section 110-A: Inputs to service model charge calculation</v>
      </c>
    </row>
    <row r="153" spans="6:7" x14ac:dyDescent="0.25">
      <c r="F153" s="336" t="s">
        <v>117</v>
      </c>
      <c r="G153" s="58" t="str">
        <f ca="1">'Service model charges'!$C$33</f>
        <v>Section 110-B: Calculation of other operating expenditure per £ of notional asset value</v>
      </c>
    </row>
    <row r="154" spans="6:7" ht="15.75" thickBot="1" x14ac:dyDescent="0.3">
      <c r="F154" s="336" t="s">
        <v>117</v>
      </c>
      <c r="G154" s="58" t="str">
        <f ca="1">'Service model charges'!$C$37</f>
        <v>Section 110-C: Calculation of service model charges</v>
      </c>
    </row>
    <row r="155" spans="6:7" ht="15.75" thickTop="1" x14ac:dyDescent="0.25">
      <c r="F155" s="337" t="s">
        <v>83</v>
      </c>
      <c r="G155" s="58" t="str">
        <f ca="1">'Unit rate charges'!$C$19</f>
        <v>Section 111-A: Initial unit rate 1</v>
      </c>
    </row>
    <row r="156" spans="6:7" x14ac:dyDescent="0.25">
      <c r="F156" s="336" t="s">
        <v>117</v>
      </c>
      <c r="G156" s="58" t="str">
        <f ca="1">'Unit rate charges'!$C$49</f>
        <v>Section 111-B: Initial unit rate 2</v>
      </c>
    </row>
    <row r="157" spans="6:7" x14ac:dyDescent="0.25">
      <c r="F157" s="336" t="s">
        <v>117</v>
      </c>
      <c r="G157" s="58" t="str">
        <f ca="1">'Unit rate charges'!$C$79</f>
        <v>Section 111-C: Initial unit rate 3</v>
      </c>
    </row>
    <row r="158" spans="6:7" x14ac:dyDescent="0.25">
      <c r="F158" s="336" t="s">
        <v>117</v>
      </c>
      <c r="G158" s="58" t="str">
        <f ca="1">'Unit rate charges'!$C$109</f>
        <v>Section 111-D: Standing charge factors</v>
      </c>
    </row>
    <row r="159" spans="6:7" x14ac:dyDescent="0.25">
      <c r="F159" s="336" t="s">
        <v>117</v>
      </c>
      <c r="G159" s="58" t="str">
        <f ca="1">'Unit rate charges'!$C$124</f>
        <v>Section 111-E: Contributions to unit rate 1 p/kWh by network level (taking account of standing charges)</v>
      </c>
    </row>
    <row r="160" spans="6:7" x14ac:dyDescent="0.25">
      <c r="F160" s="336" t="s">
        <v>117</v>
      </c>
      <c r="G160" s="58" t="str">
        <f ca="1">'Unit rate charges'!$C$154</f>
        <v>Section 111-F: Contributions to unit rate 2 p/kWh by network level (taking account of standing charges)</v>
      </c>
    </row>
    <row r="161" spans="6:7" x14ac:dyDescent="0.25">
      <c r="F161" s="336" t="s">
        <v>117</v>
      </c>
      <c r="G161" s="58" t="str">
        <f ca="1">'Unit rate charges'!$C$184</f>
        <v>Section 111-G: Contributions to unit rate 3 p/kWh by network level (taking account of standing charges)</v>
      </c>
    </row>
    <row r="162" spans="6:7" ht="15.75" thickBot="1" x14ac:dyDescent="0.3">
      <c r="F162" s="336" t="s">
        <v>117</v>
      </c>
      <c r="G162" s="58" t="str">
        <f ca="1">'Unit rate charges'!$C$214</f>
        <v>Section 111-H: Unit rates, post application of standing charges</v>
      </c>
    </row>
    <row r="163" spans="6:7" ht="15.75" thickTop="1" x14ac:dyDescent="0.25">
      <c r="F163" s="337" t="s">
        <v>85</v>
      </c>
      <c r="G163" s="58" t="str">
        <f ca="1">'Reactive power charges'!$C$17</f>
        <v>Section 112-A: Inputs to reactive power charge calculations</v>
      </c>
    </row>
    <row r="164" spans="6:7" x14ac:dyDescent="0.25">
      <c r="F164" s="336" t="s">
        <v>117</v>
      </c>
      <c r="G164" s="58" t="str">
        <f ca="1">'Reactive power charges'!$C$120</f>
        <v>Section 112-B: Yardstick charge (demand)</v>
      </c>
    </row>
    <row r="165" spans="6:7" x14ac:dyDescent="0.25">
      <c r="F165" s="336" t="s">
        <v>117</v>
      </c>
      <c r="G165" s="58" t="str">
        <f ca="1">'Reactive power charges'!$C$155</f>
        <v>Section 112-C: Yardstick charge used for generation</v>
      </c>
    </row>
    <row r="166" spans="6:7" x14ac:dyDescent="0.25">
      <c r="F166" s="336" t="s">
        <v>117</v>
      </c>
      <c r="G166" s="58" t="str">
        <f ca="1">'Reactive power charges'!$C$190</f>
        <v>Section 112-D: Reactive power charges, all customer categories</v>
      </c>
    </row>
    <row r="167" spans="6:7" ht="15.75" thickBot="1" x14ac:dyDescent="0.3">
      <c r="F167" s="336" t="s">
        <v>117</v>
      </c>
      <c r="G167" s="58" t="str">
        <f ca="1">'Reactive power charges'!$C$220</f>
        <v>Section 112-E: Reactive power charges for applicable customers</v>
      </c>
    </row>
    <row r="168" spans="6:7" ht="15.75" thickTop="1" x14ac:dyDescent="0.25">
      <c r="F168" s="337" t="s">
        <v>87</v>
      </c>
      <c r="G168" s="58" t="str">
        <f ca="1">'Capacity charges'!$C$19</f>
        <v>Section 113-A: Inputs to capacity charge calculations</v>
      </c>
    </row>
    <row r="169" spans="6:7" x14ac:dyDescent="0.25">
      <c r="F169" s="336" t="s">
        <v>117</v>
      </c>
      <c r="G169" s="58" t="str">
        <f ca="1">'Capacity charges'!$C$129</f>
        <v>Section 113-B: Capacity-based charge elements (to be split between capacity &amp; fixed charges)</v>
      </c>
    </row>
    <row r="170" spans="6:7" x14ac:dyDescent="0.25">
      <c r="F170" s="336" t="s">
        <v>117</v>
      </c>
      <c r="G170" s="58" t="str">
        <f ca="1">'Capacity charges'!$C$159</f>
        <v>Section 113-C: Exceeded capacity-based charge elements</v>
      </c>
    </row>
    <row r="171" spans="6:7" x14ac:dyDescent="0.25">
      <c r="F171" s="336" t="s">
        <v>117</v>
      </c>
      <c r="G171" s="58" t="str">
        <f ca="1">'Capacity charges'!$C$189</f>
        <v>Section 113-D: Capacity charges for eligible customers, by network level</v>
      </c>
    </row>
    <row r="172" spans="6:7" x14ac:dyDescent="0.25">
      <c r="F172" s="336" t="s">
        <v>117</v>
      </c>
      <c r="G172" s="58" t="str">
        <f ca="1">'Capacity charges'!$C$219</f>
        <v>Section 113-E: Exceeded capacity charges for eligible customers, by network level</v>
      </c>
    </row>
    <row r="173" spans="6:7" x14ac:dyDescent="0.25">
      <c r="F173" s="336" t="s">
        <v>117</v>
      </c>
      <c r="G173" s="58" t="str">
        <f ca="1">'Capacity charges'!$C$254</f>
        <v>Section 113-F: Capacity and exceeded capacity charges</v>
      </c>
    </row>
    <row r="174" spans="6:7" ht="15.75" thickBot="1" x14ac:dyDescent="0.3">
      <c r="F174" s="336" t="s">
        <v>117</v>
      </c>
      <c r="G174" s="58" t="str">
        <f ca="1">'Capacity charges'!$C$259</f>
        <v>Section 113-G: Capacity elements allocated to fixed charges</v>
      </c>
    </row>
    <row r="175" spans="6:7" ht="15.75" thickTop="1" x14ac:dyDescent="0.25">
      <c r="F175" s="337" t="s">
        <v>89</v>
      </c>
      <c r="G175" s="58" t="str">
        <f ca="1">'Fixed charges'!$C$16</f>
        <v>Section 114-A: Volumes (discounted MPANs &amp; maximum load)</v>
      </c>
    </row>
    <row r="176" spans="6:7" x14ac:dyDescent="0.25">
      <c r="F176" s="336" t="s">
        <v>117</v>
      </c>
      <c r="G176" s="58" t="str">
        <f ca="1">'Fixed charges'!$C$22</f>
        <v>Section 114-B: Capacity elements allocated to fixed charges</v>
      </c>
    </row>
    <row r="177" spans="6:7" x14ac:dyDescent="0.25">
      <c r="F177" s="336" t="s">
        <v>117</v>
      </c>
      <c r="G177" s="58" t="str">
        <f ca="1">'Fixed charges'!$C$52</f>
        <v>Section 114-C: Service model costs allocated to fixed charges</v>
      </c>
    </row>
    <row r="178" spans="6:7" x14ac:dyDescent="0.25">
      <c r="F178" s="336" t="s">
        <v>117</v>
      </c>
      <c r="G178" s="58" t="str">
        <f ca="1">'Fixed charges'!$C$58</f>
        <v>Section 114-D: Flags</v>
      </c>
    </row>
    <row r="179" spans="6:7" x14ac:dyDescent="0.25">
      <c r="F179" s="336" t="s">
        <v>117</v>
      </c>
      <c r="G179" s="58" t="str">
        <f ca="1">'Fixed charges'!$C$67</f>
        <v>Section 114-E: Revenue allocated to fixed charges</v>
      </c>
    </row>
    <row r="180" spans="6:7" x14ac:dyDescent="0.25">
      <c r="F180" s="336" t="s">
        <v>117</v>
      </c>
      <c r="G180" s="58" t="str">
        <f ca="1">'Fixed charges'!$C$97</f>
        <v>Section 114-F: Revenue allocated to fixed charges, by aggregation group</v>
      </c>
    </row>
    <row r="181" spans="6:7" x14ac:dyDescent="0.25">
      <c r="F181" s="336" t="s">
        <v>117</v>
      </c>
      <c r="G181" s="58" t="str">
        <f ca="1">'Fixed charges'!$C$127</f>
        <v>Section 114-G: Fixed charges, by network level</v>
      </c>
    </row>
    <row r="182" spans="6:7" ht="15.75" thickBot="1" x14ac:dyDescent="0.3">
      <c r="F182" s="336" t="s">
        <v>117</v>
      </c>
      <c r="G182" s="58" t="str">
        <f ca="1">'Fixed charges'!$C$159</f>
        <v>Section 114-H: Aggregated fixed charges</v>
      </c>
    </row>
    <row r="183" spans="6:7" ht="15.75" thickTop="1" x14ac:dyDescent="0.25">
      <c r="F183" s="337" t="s">
        <v>91</v>
      </c>
      <c r="G183" s="58" t="str">
        <f ca="1">'Revenue matching'!$C$15</f>
        <v>Section 115-A: Inputs to revenue matching</v>
      </c>
    </row>
    <row r="184" spans="6:7" x14ac:dyDescent="0.25">
      <c r="F184" s="336" t="s">
        <v>117</v>
      </c>
      <c r="G184" s="58" t="str">
        <f ca="1">'Revenue matching'!$C$39</f>
        <v>Section 115-B: Net revenue before matching</v>
      </c>
    </row>
    <row r="185" spans="6:7" x14ac:dyDescent="0.25">
      <c r="F185" s="336" t="s">
        <v>117</v>
      </c>
      <c r="G185" s="58" t="str">
        <f ca="1">'Revenue matching'!$C$62</f>
        <v>Section 115-C: Calculation of unconstrained adder solution</v>
      </c>
    </row>
    <row r="186" spans="6:7" x14ac:dyDescent="0.25">
      <c r="F186" s="336" t="s">
        <v>117</v>
      </c>
      <c r="G186" s="58" t="str">
        <f ca="1">'Revenue matching'!$C$86</f>
        <v>Section 115-D: Algorithm to find constrained adder solution</v>
      </c>
    </row>
    <row r="187" spans="6:7" ht="15.75" thickBot="1" x14ac:dyDescent="0.3">
      <c r="F187" s="336" t="s">
        <v>117</v>
      </c>
      <c r="G187" s="58" t="str">
        <f ca="1">'Revenue matching'!$C$125</f>
        <v>Section 115-E: Adder to be applied to unit rates</v>
      </c>
    </row>
    <row r="188" spans="6:7" ht="15.75" thickTop="1" x14ac:dyDescent="0.25">
      <c r="F188" s="337" t="s">
        <v>93</v>
      </c>
      <c r="G188" s="58" t="str">
        <f ca="1">Rounding!$C$16</f>
        <v>Section 116-A: Pre-match, pre-rounding tariff forecast</v>
      </c>
    </row>
    <row r="189" spans="6:7" x14ac:dyDescent="0.25">
      <c r="F189" s="336" t="s">
        <v>117</v>
      </c>
      <c r="G189" s="58" t="str">
        <f ca="1">Rounding!$C$28</f>
        <v>Section 116-B: Adder to be applied to unit rates</v>
      </c>
    </row>
    <row r="190" spans="6:7" x14ac:dyDescent="0.25">
      <c r="F190" s="336" t="s">
        <v>117</v>
      </c>
      <c r="G190" s="58" t="str">
        <f ca="1">Rounding!$C$40</f>
        <v>Section 116-C: LDNO discounts</v>
      </c>
    </row>
    <row r="191" spans="6:7" x14ac:dyDescent="0.25">
      <c r="F191" s="336" t="s">
        <v>117</v>
      </c>
      <c r="G191" s="58" t="str">
        <f ca="1">Rounding!$C$60</f>
        <v>Section 116-D: Decimal places for rounding</v>
      </c>
    </row>
    <row r="192" spans="6:7" x14ac:dyDescent="0.25">
      <c r="F192" s="336" t="s">
        <v>117</v>
      </c>
      <c r="G192" s="58" t="str">
        <f ca="1">Rounding!$C$75</f>
        <v>Section 116-E: All the way tariff forecast, pre-rounding</v>
      </c>
    </row>
    <row r="193" spans="6:7" ht="15.75" thickBot="1" x14ac:dyDescent="0.3">
      <c r="F193" s="336" t="s">
        <v>117</v>
      </c>
      <c r="G193" s="58" t="str">
        <f ca="1">Rounding!$C$86</f>
        <v>Section 116-F: tariff forecast, post-rounding</v>
      </c>
    </row>
    <row r="194" spans="6:7" ht="15.75" thickTop="1" x14ac:dyDescent="0.25">
      <c r="F194" s="337" t="s">
        <v>95</v>
      </c>
      <c r="G194" s="58" t="str">
        <f ca="1">'Net revenue summary'!$C$13</f>
        <v>Section 117-A: Volume forecasts</v>
      </c>
    </row>
    <row r="195" spans="6:7" x14ac:dyDescent="0.25">
      <c r="F195" s="336" t="s">
        <v>117</v>
      </c>
      <c r="G195" s="58" t="str">
        <f ca="1">'Net revenue summary'!$C$42</f>
        <v>Section 117-B: Tariff forecast</v>
      </c>
    </row>
    <row r="196" spans="6:7" x14ac:dyDescent="0.25">
      <c r="F196" s="336" t="s">
        <v>117</v>
      </c>
      <c r="G196" s="58" t="str">
        <f ca="1">'Net revenue summary'!$C$71</f>
        <v>Section 117-C: Net revenue components</v>
      </c>
    </row>
    <row r="197" spans="6:7" x14ac:dyDescent="0.25">
      <c r="F197" s="336" t="s">
        <v>117</v>
      </c>
      <c r="G197" s="58" t="str">
        <f ca="1">'Net revenue summary'!$C$79</f>
        <v>Section 117-D: Net revenue by tariff</v>
      </c>
    </row>
    <row r="198" spans="6:7" x14ac:dyDescent="0.25">
      <c r="F198" s="336" t="s">
        <v>117</v>
      </c>
      <c r="G198" s="58" t="str">
        <f ca="1">'Net revenue summary'!$C$111</f>
        <v>Section 117-E: Net revenue summary (for information only)</v>
      </c>
    </row>
    <row r="199" spans="6:7" x14ac:dyDescent="0.25">
      <c r="F199" s="336" t="s">
        <v>117</v>
      </c>
      <c r="G199" s="58" t="str">
        <f ca="1">'Net revenue summary'!$C$122</f>
        <v>Section 117-F: Typical bills</v>
      </c>
    </row>
    <row r="200" spans="6:7" x14ac:dyDescent="0.25">
      <c r="F200" s="336" t="s">
        <v>117</v>
      </c>
      <c r="G200" s="58" t="str">
        <f ca="1">'Net revenue summary'!$C$128</f>
        <v>Section 117-G: Average bill per kWh</v>
      </c>
    </row>
    <row r="201" spans="6:7" x14ac:dyDescent="0.25">
      <c r="F201" s="336" t="s">
        <v>117</v>
      </c>
      <c r="G201" s="58" t="str">
        <f ca="1">'Net revenue summary'!$C$136</f>
        <v>Section 117-H: Previous year all the way tariff forecast</v>
      </c>
    </row>
    <row r="202" spans="6:7" x14ac:dyDescent="0.25">
      <c r="F202" s="336" t="s">
        <v>117</v>
      </c>
      <c r="G202" s="58" t="str">
        <f ca="1">'Net revenue summary'!$C$147</f>
        <v>Section 117-I: Previous year net revenue from all the way tariff forecast</v>
      </c>
    </row>
    <row r="203" spans="6:7" x14ac:dyDescent="0.25">
      <c r="F203" s="336" t="s">
        <v>117</v>
      </c>
      <c r="G203" s="58" t="str">
        <f ca="1">'Net revenue summary'!$C$162</f>
        <v>Section 117-J: LDNO typical bills using all-the-way volumes</v>
      </c>
    </row>
    <row r="204" spans="6:7" ht="15.75" thickBot="1" x14ac:dyDescent="0.3">
      <c r="F204" s="336" t="s">
        <v>117</v>
      </c>
      <c r="G204" s="58" t="str">
        <f ca="1">'Net revenue summary'!$C$186</f>
        <v>Section 117-K: LDNO margins</v>
      </c>
    </row>
    <row r="205" spans="6:7" ht="16.5" thickTop="1" thickBot="1" x14ac:dyDescent="0.3">
      <c r="F205" s="339" t="s">
        <v>97</v>
      </c>
      <c r="G205" s="58" t="str">
        <f>'Tariff summary'!$C$13</f>
        <v>Output 101-A: Tariffs for 2020/21</v>
      </c>
    </row>
    <row r="206" spans="6:7" ht="15.75" thickTop="1" x14ac:dyDescent="0.25">
      <c r="F206" s="339" t="s">
        <v>99</v>
      </c>
      <c r="G206" s="58" t="str">
        <f ca="1">'Output to other models'!$C$14</f>
        <v>Output 102-A: CDCM notional EHV asset values</v>
      </c>
    </row>
    <row r="207" spans="6:7" x14ac:dyDescent="0.25">
      <c r="F207" s="338" t="s">
        <v>117</v>
      </c>
      <c r="G207" s="58" t="str">
        <f ca="1">'Output to other models'!$C$27</f>
        <v>Output 102-B: CDCM end user tariff forecast</v>
      </c>
    </row>
    <row r="208" spans="6:7" x14ac:dyDescent="0.25">
      <c r="F208" s="338" t="s">
        <v>117</v>
      </c>
      <c r="G208" s="58" t="str">
        <f ca="1">'Output to other models'!$C$40</f>
        <v>Output 102-C: CDCM non-tariff outputs to EDCM</v>
      </c>
    </row>
    <row r="209" spans="2:7" x14ac:dyDescent="0.25">
      <c r="F209" s="338" t="s">
        <v>117</v>
      </c>
      <c r="G209" s="58" t="str">
        <f ca="1">'Output to other models'!$C$52</f>
        <v>Output 102-D: Outputs for DNOs' internal use</v>
      </c>
    </row>
    <row r="210" spans="2:7" x14ac:dyDescent="0.25">
      <c r="F210" s="338" t="s">
        <v>117</v>
      </c>
      <c r="G210" s="58" t="str">
        <f ca="1">'Output to other models'!$C$62</f>
        <v>Output 102-E: Outputs for IDNOs' internal use</v>
      </c>
    </row>
    <row r="212" spans="2:7" x14ac:dyDescent="0.25">
      <c r="B212" s="30" t="s">
        <v>107</v>
      </c>
      <c r="C212" s="30"/>
      <c r="D212" s="30"/>
      <c r="E212" s="30"/>
      <c r="F212" s="30"/>
      <c r="G212" s="30"/>
    </row>
  </sheetData>
  <sheetProtection sheet="1" objects="1" formatCells="0" formatColumns="0" formatRows="0" sort="0" autoFilter="0"/>
  <hyperlinks>
    <hyperlink ref="F15" location="'Cover'!A4" display="'"/>
    <hyperlink ref="F16" location="'Version control'!A4" display="'"/>
    <hyperlink ref="G16" location="'Version control'!$B$5" display="'Version control'!$B$5"/>
    <hyperlink ref="F17" location="'Version control'!A4" display="'"/>
    <hyperlink ref="G17" location="'Version control'!$B$17" display="'Version control'!$B$17"/>
    <hyperlink ref="F18" location="'Version control'!A4" display="'"/>
    <hyperlink ref="G18" location="'Version control'!$B$31" display="'Version control'!$B$31"/>
    <hyperlink ref="F19" location="'Version control'!A4" display="'"/>
    <hyperlink ref="G19" location="'Version control'!$B$59" display="'Version control'!$B$59"/>
    <hyperlink ref="F20" location="'Model map'!A4" display="'"/>
    <hyperlink ref="G20" location="'Model map'!$B$5" display="'Model map'!$B$5"/>
    <hyperlink ref="F21" location="'Named ranges'!A4" display="'"/>
    <hyperlink ref="G21" location="'Named ranges'!$B$5" display="'Named ranges'!$B$5"/>
    <hyperlink ref="F22" location="'Fixed inputs'!A4" display="'"/>
    <hyperlink ref="G22" location="'Fixed inputs'!$B$11" display="'Fixed inputs'!$B$11"/>
    <hyperlink ref="F23" location="'Inputs by customer type'!A4" display="'"/>
    <hyperlink ref="G23" location="'Inputs by customer type'!$B$11" display="'Inputs by customer type'!$B$11"/>
    <hyperlink ref="F24" location="'Inputs by network level'!A4" display="'"/>
    <hyperlink ref="G24" location="'Inputs by network level'!$B$11" display="'Inputs by network level'!$B$11"/>
    <hyperlink ref="F25" location="'General inputs'!A4" display="'"/>
    <hyperlink ref="G25" location="'General inputs'!$B$11" display="'General inputs'!$B$11"/>
    <hyperlink ref="F26" location="'Load &amp; loss characteristics'!A4" display="'"/>
    <hyperlink ref="G26" location="'Load &amp; loss characteristics'!$B$13" display="'Load &amp; loss characteristics'!$B$13"/>
    <hyperlink ref="F27" location="'Load &amp; loss characteristics'!A4" display="'"/>
    <hyperlink ref="G27" location="'Load &amp; loss characteristics'!$B$31" display="'Load &amp; loss characteristics'!$B$31"/>
    <hyperlink ref="F28" location="'Customer contributions'!A4" display="'"/>
    <hyperlink ref="G28" location="'Customer contributions'!$B$12" display="'Customer contributions'!$B$12"/>
    <hyperlink ref="F29" location="'Volume adjustments'!A4" display="'"/>
    <hyperlink ref="G29" location="'Volume adjustments'!$B$13" display="'Volume adjustments'!$B$13"/>
    <hyperlink ref="F30" location="'Volume adjustments'!A4" display="'"/>
    <hyperlink ref="G30" location="'Volume adjustments'!$B$51" display="'Volume adjustments'!$B$51"/>
    <hyperlink ref="F31" location="'Pseudo-load coefficients'!A4" display="'"/>
    <hyperlink ref="G31" location="'Pseudo-load coefficients'!$B$325" display="'Pseudo-load coefficients'!$B$325"/>
    <hyperlink ref="F32" location="'System peak demand'!A4" display="'"/>
    <hyperlink ref="G32" location="'System peak demand'!$B$16" display="'System peak demand'!$B$16"/>
    <hyperlink ref="F33" location="'System peak demand'!A4" display="'"/>
    <hyperlink ref="G33" location="'System peak demand'!$B$63" display="'System peak demand'!$B$63"/>
    <hyperlink ref="F34" location="'System peak demand'!A4" display="'"/>
    <hyperlink ref="G34" location="'System peak demand'!$B$179" display="'System peak demand'!$B$179"/>
    <hyperlink ref="F35" location="'System peak demand'!A4" display="'"/>
    <hyperlink ref="G35" location="'System peak demand'!$B$262" display="'System peak demand'!$B$262"/>
    <hyperlink ref="F36" location="'Service model assets'!A4" display="'"/>
    <hyperlink ref="G36" location="'Service model assets'!$B$12" display="'Service model assets'!$B$12"/>
    <hyperlink ref="F37" location="'Unit costs'!A4" display="'"/>
    <hyperlink ref="G37" location="'Unit costs'!$B$15" display="'Unit costs'!$B$15"/>
    <hyperlink ref="F38" location="'Unit costs'!A4" display="'"/>
    <hyperlink ref="G38" location="'Unit costs'!$B$58" display="'Unit costs'!$B$58"/>
    <hyperlink ref="F39" location="'Unit costs'!A4" display="'"/>
    <hyperlink ref="G39" location="'Unit costs'!$B$102" display="'Unit costs'!$B$102"/>
    <hyperlink ref="F40" location="'Initial unit rates'!A4" display="'"/>
    <hyperlink ref="G40" location="'Initial unit rates'!$B$11" display="'Initial unit rates'!$B$11"/>
    <hyperlink ref="F41" location="'Initial unit rates'!A4" display="'"/>
    <hyperlink ref="G41" location="'Initial unit rates'!$B$116" display="'Initial unit rates'!$B$116"/>
    <hyperlink ref="F42" location="'Service model charges'!A4" display="'"/>
    <hyperlink ref="G42" location="'Service model charges'!$B$13" display="'Service model charges'!$B$13"/>
    <hyperlink ref="F43" location="'Service model charges'!A4" display="'"/>
    <hyperlink ref="G43" location="'Service model charges'!$B$29" display="'Service model charges'!$B$29"/>
    <hyperlink ref="F44" location="'Unit rate charges'!A4" display="'"/>
    <hyperlink ref="G44" location="'Unit rate charges'!$B$15" display="'Unit rate charges'!$B$15"/>
    <hyperlink ref="F45" location="'Unit rate charges'!A4" display="'"/>
    <hyperlink ref="G45" location="'Unit rate charges'!$B$122" display="'Unit rate charges'!$B$122"/>
    <hyperlink ref="F46" location="'Reactive power charges'!A4" display="'"/>
    <hyperlink ref="G46" location="'Reactive power charges'!$B$13" display="'Reactive power charges'!$B$13"/>
    <hyperlink ref="F47" location="'Reactive power charges'!A4" display="'"/>
    <hyperlink ref="G47" location="'Reactive power charges'!$B$150" display="'Reactive power charges'!$B$150"/>
    <hyperlink ref="F48" location="'Reactive power charges'!A4" display="'"/>
    <hyperlink ref="G48" location="'Reactive power charges'!$B$185" display="'Reactive power charges'!$B$185"/>
    <hyperlink ref="F49" location="'Capacity charges'!A4" display="'"/>
    <hyperlink ref="G49" location="'Capacity charges'!$B$17" display="'Capacity charges'!$B$17"/>
    <hyperlink ref="F50" location="'Capacity charges'!A4" display="'"/>
    <hyperlink ref="G50" location="'Capacity charges'!$B$125" display="'Capacity charges'!$B$125"/>
    <hyperlink ref="F51" location="'Capacity charges'!A4" display="'"/>
    <hyperlink ref="G51" location="'Capacity charges'!$B$249" display="'Capacity charges'!$B$249"/>
    <hyperlink ref="F52" location="'Fixed charges'!A4" display="'"/>
    <hyperlink ref="G52" location="'Fixed charges'!$B$14" display="'Fixed charges'!$B$14"/>
    <hyperlink ref="F53" location="'Fixed charges'!A4" display="'"/>
    <hyperlink ref="G53" location="'Fixed charges'!$B$65" display="'Fixed charges'!$B$65"/>
    <hyperlink ref="F54" location="'Revenue matching'!A4" display="'"/>
    <hyperlink ref="G54" location="'Revenue matching'!$B$13" display="'Revenue matching'!$B$13"/>
    <hyperlink ref="F55" location="'Revenue matching'!A4" display="'"/>
    <hyperlink ref="G55" location="'Revenue matching'!$B$56" display="'Revenue matching'!$B$56"/>
    <hyperlink ref="F56" location="'Rounding'!A4" display="'"/>
    <hyperlink ref="G56" location="'Rounding'!$B$12" display="'Rounding'!$B$12"/>
    <hyperlink ref="F57" location="'Rounding'!A4" display="'"/>
    <hyperlink ref="G57" location="'Rounding'!$B$71" display="'Rounding'!$B$71"/>
    <hyperlink ref="F58" location="'Net revenue summary'!A4" display="'"/>
    <hyperlink ref="G58" location="'Net revenue summary'!$B$11" display="'Net revenue summary'!$B$11"/>
    <hyperlink ref="F59" location="'Net revenue summary'!A4" display="'"/>
    <hyperlink ref="G59" location="'Net revenue summary'!$B$77" display="'Net revenue summary'!$B$77"/>
    <hyperlink ref="F60" location="'Net revenue summary'!A4" display="'"/>
    <hyperlink ref="G60" location="'Net revenue summary'!$B$134" display="'Net revenue summary'!$B$134"/>
    <hyperlink ref="F61" location="'Net revenue summary'!A4" display="'"/>
    <hyperlink ref="G61" location="'Net revenue summary'!$B$160" display="'Net revenue summary'!$B$160"/>
    <hyperlink ref="F62" location="'Tariff summary'!A4" display="'"/>
    <hyperlink ref="G62" location="'Tariff summary'!$B$11" display="'Tariff summary'!$B$11"/>
    <hyperlink ref="F63" location="'Output to other models'!A4" display="'"/>
    <hyperlink ref="G63" location="'Output to other models'!$B$12" display="'Output to other models'!$B$12"/>
    <hyperlink ref="F64" location="'Output to other models'!A4" display="'"/>
    <hyperlink ref="G64" location="'Output to other models'!$B$25" display="'Output to other models'!$B$25"/>
    <hyperlink ref="F65" location="'Output to other models'!A4" display="'"/>
    <hyperlink ref="G65" location="'Output to other models'!$B$50" display="'Output to other models'!$B$50"/>
    <hyperlink ref="F72" location="'Fixed inputs'!A4" display="'"/>
    <hyperlink ref="G72" location="'Fixed inputs'!$C$13" display="'Fixed inputs'!$C$13"/>
    <hyperlink ref="F73" location="'Fixed inputs'!A4" display="'"/>
    <hyperlink ref="G73" location="'Fixed inputs'!$C$20" display="'Fixed inputs'!$C$20"/>
    <hyperlink ref="F74" location="'Fixed inputs'!A4" display="'"/>
    <hyperlink ref="G74" location="'Fixed inputs'!$C$33" display="'Fixed inputs'!$C$33"/>
    <hyperlink ref="F75" location="'Fixed inputs'!A4" display="'"/>
    <hyperlink ref="G75" location="'Fixed inputs'!$C$43" display="'Fixed inputs'!$C$43"/>
    <hyperlink ref="F76" location="'Fixed inputs'!A4" display="'"/>
    <hyperlink ref="G76" location="'Fixed inputs'!$C$84" display="'Fixed inputs'!$C$84"/>
    <hyperlink ref="F77" location="'Fixed inputs'!A4" display="'"/>
    <hyperlink ref="G77" location="'Fixed inputs'!$C$100" display="'Fixed inputs'!$C$100"/>
    <hyperlink ref="F78" location="'Fixed inputs'!A4" display="'"/>
    <hyperlink ref="G78" location="'Fixed inputs'!$C$146" display="'Fixed inputs'!$C$146"/>
    <hyperlink ref="F79" location="'Fixed inputs'!A4" display="'"/>
    <hyperlink ref="G79" location="'Fixed inputs'!$C$157" display="'Fixed inputs'!$C$157"/>
    <hyperlink ref="F80" location="'Inputs by customer type'!A4" display="'"/>
    <hyperlink ref="G80" location="'Inputs by customer type'!$C$13" display="'Inputs by customer type'!$C$13"/>
    <hyperlink ref="F81" location="'Inputs by customer type'!A4" display="'"/>
    <hyperlink ref="G81" location="'Inputs by customer type'!$C$18" display="'Inputs by customer type'!$C$18"/>
    <hyperlink ref="F82" location="'Inputs by customer type'!A4" display="'"/>
    <hyperlink ref="G82" location="'Inputs by customer type'!$C$47" display="'Inputs by customer type'!$C$47"/>
    <hyperlink ref="F83" location="'Inputs by customer type'!A4" display="'"/>
    <hyperlink ref="G83" location="'Inputs by customer type'!$C$67" display="'Inputs by customer type'!$C$67"/>
    <hyperlink ref="F84" location="'Inputs by customer type'!A4" display="'"/>
    <hyperlink ref="G84" location="'Inputs by customer type'!$C$76" display="'Inputs by customer type'!$C$76"/>
    <hyperlink ref="F85" location="'Inputs by customer type'!A4" display="'"/>
    <hyperlink ref="G85" location="'Inputs by customer type'!$C$90" display="'Inputs by customer type'!$C$90"/>
    <hyperlink ref="F86" location="'Inputs by network level'!A4" display="'"/>
    <hyperlink ref="G86" location="'Inputs by network level'!$C$13" display="'Inputs by network level'!$C$13"/>
    <hyperlink ref="F87" location="'Inputs by network level'!A4" display="'"/>
    <hyperlink ref="G87" location="'Inputs by network level'!$C$23" display="'Inputs by network level'!$C$23"/>
    <hyperlink ref="F88" location="'Inputs by network level'!A4" display="'"/>
    <hyperlink ref="G88" location="'Inputs by network level'!$C$31" display="'Inputs by network level'!$C$31"/>
    <hyperlink ref="F89" location="'Inputs by network level'!A4" display="'"/>
    <hyperlink ref="G89" location="'Inputs by network level'!$C$35" display="'Inputs by network level'!$C$35"/>
    <hyperlink ref="F90" location="'General inputs'!A4" display="'"/>
    <hyperlink ref="G90" location="'General inputs'!$C$13" display="'General inputs'!$C$13"/>
    <hyperlink ref="F91" location="'General inputs'!A4" display="'"/>
    <hyperlink ref="G91" location="'General inputs'!$C$25" display="'General inputs'!$C$25"/>
    <hyperlink ref="F92" location="'General inputs'!A4" display="'"/>
    <hyperlink ref="G92" location="'General inputs'!$C$35" display="'General inputs'!$C$35"/>
    <hyperlink ref="F93" location="'General inputs'!A4" display="'"/>
    <hyperlink ref="G93" location="'General inputs'!$C$87" display="'General inputs'!$C$87"/>
    <hyperlink ref="F94" location="'General inputs'!A4" display="'"/>
    <hyperlink ref="G94" location="'General inputs'!$C$93" display="'General inputs'!$C$93"/>
    <hyperlink ref="F95" location="'General inputs'!A4" display="'"/>
    <hyperlink ref="G95" location="'General inputs'!$C$97" display="'General inputs'!$C$97"/>
    <hyperlink ref="F96" location="'Standing charge factors'!A4" display="'"/>
    <hyperlink ref="G96" location="'Standing charge factors'!$C$19" display="'Standing charge factors'!$C$19"/>
    <hyperlink ref="F97" location="'Load &amp; loss characteristics'!A4" display="'"/>
    <hyperlink ref="G97" location="'Load &amp; loss characteristics'!$C$17" display="'Load &amp; loss characteristics'!$C$17"/>
    <hyperlink ref="F98" location="'Load &amp; loss characteristics'!A4" display="'"/>
    <hyperlink ref="G98" location="'Load &amp; loss characteristics'!$C$25" display="'Load &amp; loss characteristics'!$C$25"/>
    <hyperlink ref="F99" location="'Load &amp; loss characteristics'!A4" display="'"/>
    <hyperlink ref="G99" location="'Load &amp; loss characteristics'!$C$35" display="'Load &amp; loss characteristics'!$C$35"/>
    <hyperlink ref="F100" location="'Load &amp; loss characteristics'!A4" display="'"/>
    <hyperlink ref="G100" location="'Load &amp; loss characteristics'!$C$40" display="'Load &amp; loss characteristics'!$C$40"/>
    <hyperlink ref="F101" location="'Load &amp; loss characteristics'!A4" display="'"/>
    <hyperlink ref="G101" location="'Load &amp; loss characteristics'!$C$189" display="'Load &amp; loss characteristics'!$C$189"/>
    <hyperlink ref="F102" location="'Customer contributions'!A4" display="'"/>
    <hyperlink ref="G102" location="'Customer contributions'!$C$16" display="'Customer contributions'!$C$16"/>
    <hyperlink ref="F103" location="'Customer contributions'!A4" display="'"/>
    <hyperlink ref="G103" location="'Customer contributions'!$C$55" display="'Customer contributions'!$C$55"/>
    <hyperlink ref="F104" location="'Volume adjustments'!A4" display="'"/>
    <hyperlink ref="G104" location="'Volume adjustments'!$C$15" display="'Volume adjustments'!$C$15"/>
    <hyperlink ref="F105" location="'Volume adjustments'!A4" display="'"/>
    <hyperlink ref="G105" location="'Volume adjustments'!$C$55" display="'Volume adjustments'!$C$55"/>
    <hyperlink ref="F106" location="'Pseudo-load coefficients'!A4" display="'"/>
    <hyperlink ref="G106" location="'Pseudo-load coefficients'!$C$21" display="'Pseudo-load coefficients'!$C$21"/>
    <hyperlink ref="F107" location="'Pseudo-load coefficients'!A4" display="'"/>
    <hyperlink ref="G107" location="'Pseudo-load coefficients'!$C$33" display="'Pseudo-load coefficients'!$C$33"/>
    <hyperlink ref="F108" location="'Pseudo-load coefficients'!A4" display="'"/>
    <hyperlink ref="G108" location="'Pseudo-load coefficients'!$C$77" display="'Pseudo-load coefficients'!$C$77"/>
    <hyperlink ref="F109" location="'Pseudo-load coefficients'!A4" display="'"/>
    <hyperlink ref="G109" location="'Pseudo-load coefficients'!$C$86" display="'Pseudo-load coefficients'!$C$86"/>
    <hyperlink ref="F110" location="'Pseudo-load coefficients'!A4" display="'"/>
    <hyperlink ref="G110" location="'Pseudo-load coefficients'!$C$96" display="'Pseudo-load coefficients'!$C$96"/>
    <hyperlink ref="F111" location="'Pseudo-load coefficients'!A4" display="'"/>
    <hyperlink ref="G111" location="'Pseudo-load coefficients'!$C$101" display="'Pseudo-load coefficients'!$C$101"/>
    <hyperlink ref="F112" location="'Pseudo-load coefficients'!A4" display="'"/>
    <hyperlink ref="G112" location="'Pseudo-load coefficients'!$C$114" display="'Pseudo-load coefficients'!$C$114"/>
    <hyperlink ref="F113" location="'Pseudo-load coefficients'!A4" display="'"/>
    <hyperlink ref="G113" location="'Pseudo-load coefficients'!$C$129" display="'Pseudo-load coefficients'!$C$129"/>
    <hyperlink ref="F114" location="'Pseudo-load coefficients'!A4" display="'"/>
    <hyperlink ref="G114" location="'Pseudo-load coefficients'!$C$203" display="'Pseudo-load coefficients'!$C$203"/>
    <hyperlink ref="F115" location="'Pseudo-load coefficients'!A4" display="'"/>
    <hyperlink ref="G115" location="'Pseudo-load coefficients'!$C$250" display="'Pseudo-load coefficients'!$C$250"/>
    <hyperlink ref="F116" location="'Pseudo-load coefficients'!A4" display="'"/>
    <hyperlink ref="G116" location="'Pseudo-load coefficients'!$C$290" display="'Pseudo-load coefficients'!$C$290"/>
    <hyperlink ref="F117" location="'Pseudo-load coefficients'!A4" display="'"/>
    <hyperlink ref="G117" location="'Pseudo-load coefficients'!$C$335" display="'Pseudo-load coefficients'!$C$335"/>
    <hyperlink ref="F118" location="'Pseudo-load coefficients'!A4" display="'"/>
    <hyperlink ref="G118" location="'Pseudo-load coefficients'!$C$359" display="'Pseudo-load coefficients'!$C$359"/>
    <hyperlink ref="F119" location="'Pseudo-load coefficients'!A4" display="'"/>
    <hyperlink ref="G119" location="'Pseudo-load coefficients'!$C$365" display="'Pseudo-load coefficients'!$C$365"/>
    <hyperlink ref="F120" location="'Pseudo-load coefficients'!A4" display="'"/>
    <hyperlink ref="G120" location="'Pseudo-load coefficients'!$C$393" display="'Pseudo-load coefficients'!$C$393"/>
    <hyperlink ref="F121" location="'Pseudo-load coefficients'!A4" display="'"/>
    <hyperlink ref="G121" location="'Pseudo-load coefficients'!$C$417" display="'Pseudo-load coefficients'!$C$417"/>
    <hyperlink ref="F122" location="'Pseudo-load coefficients'!A4" display="'"/>
    <hyperlink ref="G122" location="'Pseudo-load coefficients'!$C$485" display="'Pseudo-load coefficients'!$C$485"/>
    <hyperlink ref="F123" location="'Pseudo-load coefficients'!A4" display="'"/>
    <hyperlink ref="G123" location="'Pseudo-load coefficients'!$C$502" display="'Pseudo-load coefficients'!$C$502"/>
    <hyperlink ref="F124" location="'Pseudo-load coefficients'!A4" display="'"/>
    <hyperlink ref="G124" location="'Pseudo-load coefficients'!$C$506" display="'Pseudo-load coefficients'!$C$506"/>
    <hyperlink ref="F125" location="'System peak demand'!A4" display="'"/>
    <hyperlink ref="G125" location="'System peak demand'!$C$18" display="'System peak demand'!$C$18"/>
    <hyperlink ref="F126" location="'System peak demand'!A4" display="'"/>
    <hyperlink ref="G126" location="'System peak demand'!$C$67" display="'System peak demand'!$C$67"/>
    <hyperlink ref="F127" location="'System peak demand'!A4" display="'"/>
    <hyperlink ref="G127" location="'System peak demand'!$C$138" display="'System peak demand'!$C$138"/>
    <hyperlink ref="F128" location="'System peak demand'!A4" display="'"/>
    <hyperlink ref="G128" location="'System peak demand'!$C$164" display="'System peak demand'!$C$164"/>
    <hyperlink ref="F129" location="'System peak demand'!A4" display="'"/>
    <hyperlink ref="G129" location="'System peak demand'!$C$184" display="'System peak demand'!$C$184"/>
    <hyperlink ref="F130" location="'System peak demand'!A4" display="'"/>
    <hyperlink ref="G130" location="'System peak demand'!$C$194" display="'System peak demand'!$C$194"/>
    <hyperlink ref="F131" location="'System peak demand'!A4" display="'"/>
    <hyperlink ref="G131" location="'System peak demand'!$C$236" display="'System peak demand'!$C$236"/>
    <hyperlink ref="F132" location="'System peak demand'!A4" display="'"/>
    <hyperlink ref="G132" location="'System peak demand'!$C$249" display="'System peak demand'!$C$249"/>
    <hyperlink ref="F133" location="'System peak demand'!A4" display="'"/>
    <hyperlink ref="G133" location="'System peak demand'!$C$266" display="'System peak demand'!$C$266"/>
    <hyperlink ref="F134" location="'Service model assets'!A4" display="'"/>
    <hyperlink ref="G134" location="'Service model assets'!$C$14" display="'Service model assets'!$C$14"/>
    <hyperlink ref="F135" location="'Unit costs'!A4" display="'"/>
    <hyperlink ref="G135" location="'Unit costs'!$C$19" display="'Unit costs'!$C$19"/>
    <hyperlink ref="F136" location="'Unit costs'!A4" display="'"/>
    <hyperlink ref="G136" location="'Unit costs'!$C$27" display="'Unit costs'!$C$27"/>
    <hyperlink ref="F137" location="'Unit costs'!A4" display="'"/>
    <hyperlink ref="G137" location="'Unit costs'!$C$35" display="'Unit costs'!$C$35"/>
    <hyperlink ref="F138" location="'Unit costs'!A4" display="'"/>
    <hyperlink ref="G138" location="'Unit costs'!$C$42" display="'Unit costs'!$C$42"/>
    <hyperlink ref="F139" location="'Unit costs'!A4" display="'"/>
    <hyperlink ref="G139" location="'Unit costs'!$C$50" display="'Unit costs'!$C$50"/>
    <hyperlink ref="F140" location="'Unit costs'!A4" display="'"/>
    <hyperlink ref="G140" location="'Unit costs'!$C$62" display="'Unit costs'!$C$62"/>
    <hyperlink ref="F141" location="'Unit costs'!A4" display="'"/>
    <hyperlink ref="G141" location="'Unit costs'!$C$69" display="'Unit costs'!$C$69"/>
    <hyperlink ref="F142" location="'Unit costs'!A4" display="'"/>
    <hyperlink ref="G142" location="'Unit costs'!$C$80" display="'Unit costs'!$C$80"/>
    <hyperlink ref="F143" location="'Unit costs'!A4" display="'"/>
    <hyperlink ref="G143" location="'Unit costs'!$C$92" display="'Unit costs'!$C$92"/>
    <hyperlink ref="F144" location="'Unit costs'!A4" display="'"/>
    <hyperlink ref="G144" location="'Unit costs'!$C$104" display="'Unit costs'!$C$104"/>
    <hyperlink ref="F145" location="'Unit costs'!A4" display="'"/>
    <hyperlink ref="G145" location="'Unit costs'!$C$110" display="'Unit costs'!$C$110"/>
    <hyperlink ref="F146" location="'Unit costs'!A4" display="'"/>
    <hyperlink ref="G146" location="'Unit costs'!$C$117" display="'Unit costs'!$C$117"/>
    <hyperlink ref="F147" location="'Initial unit rates'!A4" display="'"/>
    <hyperlink ref="G147" location="'Initial unit rates'!$C$13" display="'Initial unit rates'!$C$13"/>
    <hyperlink ref="F148" location="'Initial unit rates'!A4" display="'"/>
    <hyperlink ref="G148" location="'Initial unit rates'!$C$118" display="'Initial unit rates'!$C$118"/>
    <hyperlink ref="F149" location="'Initial unit rates'!A4" display="'"/>
    <hyperlink ref="G149" location="'Initial unit rates'!$C$146" display="'Initial unit rates'!$C$146"/>
    <hyperlink ref="F150" location="'Initial unit rates'!A4" display="'"/>
    <hyperlink ref="G150" location="'Initial unit rates'!$C$175" display="'Initial unit rates'!$C$175"/>
    <hyperlink ref="F151" location="'Initial unit rates'!A4" display="'"/>
    <hyperlink ref="G151" location="'Initial unit rates'!$C$204" display="'Initial unit rates'!$C$204"/>
    <hyperlink ref="F152" location="'Service model charges'!A4" display="'"/>
    <hyperlink ref="G152" location="'Service model charges'!$C$17" display="'Service model charges'!$C$17"/>
    <hyperlink ref="F153" location="'Service model charges'!A4" display="'"/>
    <hyperlink ref="G153" location="'Service model charges'!$C$33" display="'Service model charges'!$C$33"/>
    <hyperlink ref="F154" location="'Service model charges'!A4" display="'"/>
    <hyperlink ref="G154" location="'Service model charges'!$C$37" display="'Service model charges'!$C$37"/>
    <hyperlink ref="F155" location="'Unit rate charges'!A4" display="'"/>
    <hyperlink ref="G155" location="'Unit rate charges'!$C$19" display="'Unit rate charges'!$C$19"/>
    <hyperlink ref="F156" location="'Unit rate charges'!A4" display="'"/>
    <hyperlink ref="G156" location="'Unit rate charges'!$C$49" display="'Unit rate charges'!$C$49"/>
    <hyperlink ref="F157" location="'Unit rate charges'!A4" display="'"/>
    <hyperlink ref="G157" location="'Unit rate charges'!$C$79" display="'Unit rate charges'!$C$79"/>
    <hyperlink ref="F158" location="'Unit rate charges'!A4" display="'"/>
    <hyperlink ref="G158" location="'Unit rate charges'!$C$109" display="'Unit rate charges'!$C$109"/>
    <hyperlink ref="F159" location="'Unit rate charges'!A4" display="'"/>
    <hyperlink ref="G159" location="'Unit rate charges'!$C$124" display="'Unit rate charges'!$C$124"/>
    <hyperlink ref="F160" location="'Unit rate charges'!A4" display="'"/>
    <hyperlink ref="G160" location="'Unit rate charges'!$C$154" display="'Unit rate charges'!$C$154"/>
    <hyperlink ref="F161" location="'Unit rate charges'!A4" display="'"/>
    <hyperlink ref="G161" location="'Unit rate charges'!$C$184" display="'Unit rate charges'!$C$184"/>
    <hyperlink ref="F162" location="'Unit rate charges'!A4" display="'"/>
    <hyperlink ref="G162" location="'Unit rate charges'!$C$214" display="'Unit rate charges'!$C$214"/>
    <hyperlink ref="F163" location="'Reactive power charges'!A4" display="'"/>
    <hyperlink ref="G163" location="'Reactive power charges'!$C$17" display="'Reactive power charges'!$C$17"/>
    <hyperlink ref="F164" location="'Reactive power charges'!A4" display="'"/>
    <hyperlink ref="G164" location="'Reactive power charges'!$C$120" display="'Reactive power charges'!$C$120"/>
    <hyperlink ref="F165" location="'Reactive power charges'!A4" display="'"/>
    <hyperlink ref="G165" location="'Reactive power charges'!$C$155" display="'Reactive power charges'!$C$155"/>
    <hyperlink ref="F166" location="'Reactive power charges'!A4" display="'"/>
    <hyperlink ref="G166" location="'Reactive power charges'!$C$190" display="'Reactive power charges'!$C$190"/>
    <hyperlink ref="F167" location="'Reactive power charges'!A4" display="'"/>
    <hyperlink ref="G167" location="'Reactive power charges'!$C$220" display="'Reactive power charges'!$C$220"/>
    <hyperlink ref="F168" location="'Capacity charges'!A4" display="'"/>
    <hyperlink ref="G168" location="'Capacity charges'!$C$19" display="'Capacity charges'!$C$19"/>
    <hyperlink ref="F169" location="'Capacity charges'!A4" display="'"/>
    <hyperlink ref="G169" location="'Capacity charges'!$C$129" display="'Capacity charges'!$C$129"/>
    <hyperlink ref="F170" location="'Capacity charges'!A4" display="'"/>
    <hyperlink ref="G170" location="'Capacity charges'!$C$159" display="'Capacity charges'!$C$159"/>
    <hyperlink ref="F171" location="'Capacity charges'!A4" display="'"/>
    <hyperlink ref="G171" location="'Capacity charges'!$C$189" display="'Capacity charges'!$C$189"/>
    <hyperlink ref="F172" location="'Capacity charges'!A4" display="'"/>
    <hyperlink ref="G172" location="'Capacity charges'!$C$219" display="'Capacity charges'!$C$219"/>
    <hyperlink ref="F173" location="'Capacity charges'!A4" display="'"/>
    <hyperlink ref="G173" location="'Capacity charges'!$C$254" display="'Capacity charges'!$C$254"/>
    <hyperlink ref="F174" location="'Capacity charges'!A4" display="'"/>
    <hyperlink ref="G174" location="'Capacity charges'!$C$259" display="'Capacity charges'!$C$259"/>
    <hyperlink ref="F175" location="'Fixed charges'!A4" display="'"/>
    <hyperlink ref="G175" location="'Fixed charges'!$C$16" display="'Fixed charges'!$C$16"/>
    <hyperlink ref="F176" location="'Fixed charges'!A4" display="'"/>
    <hyperlink ref="G176" location="'Fixed charges'!$C$22" display="'Fixed charges'!$C$22"/>
    <hyperlink ref="F177" location="'Fixed charges'!A4" display="'"/>
    <hyperlink ref="G177" location="'Fixed charges'!$C$52" display="'Fixed charges'!$C$52"/>
    <hyperlink ref="F178" location="'Fixed charges'!A4" display="'"/>
    <hyperlink ref="G178" location="'Fixed charges'!$C$58" display="'Fixed charges'!$C$58"/>
    <hyperlink ref="F179" location="'Fixed charges'!A4" display="'"/>
    <hyperlink ref="G179" location="'Fixed charges'!$C$67" display="'Fixed charges'!$C$67"/>
    <hyperlink ref="F180" location="'Fixed charges'!A4" display="'"/>
    <hyperlink ref="G180" location="'Fixed charges'!$C$97" display="'Fixed charges'!$C$97"/>
    <hyperlink ref="F181" location="'Fixed charges'!A4" display="'"/>
    <hyperlink ref="G181" location="'Fixed charges'!$C$127" display="'Fixed charges'!$C$127"/>
    <hyperlink ref="F182" location="'Fixed charges'!A4" display="'"/>
    <hyperlink ref="G182" location="'Fixed charges'!$C$159" display="'Fixed charges'!$C$159"/>
    <hyperlink ref="F183" location="'Revenue matching'!A4" display="'"/>
    <hyperlink ref="G183" location="'Revenue matching'!$C$15" display="'Revenue matching'!$C$15"/>
    <hyperlink ref="F184" location="'Revenue matching'!A4" display="'"/>
    <hyperlink ref="G184" location="'Revenue matching'!$C$39" display="'Revenue matching'!$C$39"/>
    <hyperlink ref="F185" location="'Revenue matching'!A4" display="'"/>
    <hyperlink ref="G185" location="'Revenue matching'!$C$62" display="'Revenue matching'!$C$62"/>
    <hyperlink ref="F186" location="'Revenue matching'!A4" display="'"/>
    <hyperlink ref="G186" location="'Revenue matching'!$C$86" display="'Revenue matching'!$C$86"/>
    <hyperlink ref="F187" location="'Revenue matching'!A4" display="'"/>
    <hyperlink ref="G187" location="'Revenue matching'!$C$125" display="'Revenue matching'!$C$125"/>
    <hyperlink ref="F188" location="'Rounding'!A4" display="'"/>
    <hyperlink ref="G188" location="'Rounding'!$C$16" display="'Rounding'!$C$16"/>
    <hyperlink ref="F189" location="'Rounding'!A4" display="'"/>
    <hyperlink ref="G189" location="'Rounding'!$C$28" display="'Rounding'!$C$28"/>
    <hyperlink ref="F190" location="'Rounding'!A4" display="'"/>
    <hyperlink ref="G190" location="'Rounding'!$C$40" display="'Rounding'!$C$40"/>
    <hyperlink ref="F191" location="'Rounding'!A4" display="'"/>
    <hyperlink ref="G191" location="'Rounding'!$C$60" display="'Rounding'!$C$60"/>
    <hyperlink ref="F192" location="'Rounding'!A4" display="'"/>
    <hyperlink ref="G192" location="'Rounding'!$C$75" display="'Rounding'!$C$75"/>
    <hyperlink ref="F193" location="'Rounding'!A4" display="'"/>
    <hyperlink ref="G193" location="'Rounding'!$C$86" display="'Rounding'!$C$86"/>
    <hyperlink ref="F194" location="'Net revenue summary'!A4" display="'"/>
    <hyperlink ref="G194" location="'Net revenue summary'!$C$13" display="'Net revenue summary'!$C$13"/>
    <hyperlink ref="F195" location="'Net revenue summary'!A4" display="'"/>
    <hyperlink ref="G195" location="'Net revenue summary'!$C$42" display="'Net revenue summary'!$C$42"/>
    <hyperlink ref="F196" location="'Net revenue summary'!A4" display="'"/>
    <hyperlink ref="G196" location="'Net revenue summary'!$C$71" display="'Net revenue summary'!$C$71"/>
    <hyperlink ref="F197" location="'Net revenue summary'!A4" display="'"/>
    <hyperlink ref="G197" location="'Net revenue summary'!$C$79" display="'Net revenue summary'!$C$79"/>
    <hyperlink ref="F198" location="'Net revenue summary'!A4" display="'"/>
    <hyperlink ref="G198" location="'Net revenue summary'!$C$111" display="'Net revenue summary'!$C$111"/>
    <hyperlink ref="F199" location="'Net revenue summary'!A4" display="'"/>
    <hyperlink ref="G199" location="'Net revenue summary'!$C$122" display="'Net revenue summary'!$C$122"/>
    <hyperlink ref="F200" location="'Net revenue summary'!A4" display="'"/>
    <hyperlink ref="G200" location="'Net revenue summary'!$C$128" display="'Net revenue summary'!$C$128"/>
    <hyperlink ref="F201" location="'Net revenue summary'!A4" display="'"/>
    <hyperlink ref="G201" location="'Net revenue summary'!$C$136" display="'Net revenue summary'!$C$136"/>
    <hyperlink ref="F202" location="'Net revenue summary'!A4" display="'"/>
    <hyperlink ref="G202" location="'Net revenue summary'!$C$147" display="'Net revenue summary'!$C$147"/>
    <hyperlink ref="F203" location="'Net revenue summary'!A4" display="'"/>
    <hyperlink ref="G203" location="'Net revenue summary'!$C$162" display="'Net revenue summary'!$C$162"/>
    <hyperlink ref="F204" location="'Net revenue summary'!A4" display="'"/>
    <hyperlink ref="G204" location="'Net revenue summary'!$C$186" display="'Net revenue summary'!$C$186"/>
    <hyperlink ref="F205" location="'Tariff summary'!A4" display="'"/>
    <hyperlink ref="G205" location="'Tariff summary'!$C$13" display="'Tariff summary'!$C$13"/>
    <hyperlink ref="F206" location="'Output to other models'!A4" display="'"/>
    <hyperlink ref="G206" location="'Output to other models'!$C$14" display="'Output to other models'!$C$14"/>
    <hyperlink ref="F207" location="'Output to other models'!A4" display="'"/>
    <hyperlink ref="G207" location="'Output to other models'!$C$27" display="'Output to other models'!$C$27"/>
    <hyperlink ref="F208" location="'Output to other models'!A4" display="'"/>
    <hyperlink ref="G208" location="'Output to other models'!$C$40" display="'Output to other models'!$C$40"/>
    <hyperlink ref="F209" location="'Output to other models'!A4" display="'"/>
    <hyperlink ref="G209" location="'Output to other models'!$C$52" display="'Output to other models'!$C$52"/>
    <hyperlink ref="F210" location="'Output to other models'!A4" display="'"/>
    <hyperlink ref="G210" location="'Output to other models'!$C$62" display="'Output to other models'!$C$62"/>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6" tint="0.39997558519241921"/>
  </sheetPr>
  <dimension ref="A1:AA19"/>
  <sheetViews>
    <sheetView showGridLines="0" zoomScale="80" zoomScaleNormal="80" workbookViewId="0">
      <pane ySplit="3" topLeftCell="A4" activePane="bottomLeft" state="frozen"/>
      <selection activeCell="A3" sqref="A3"/>
      <selection pane="bottomLeft" activeCell="A4" sqref="A4"/>
    </sheetView>
  </sheetViews>
  <sheetFormatPr defaultColWidth="0" defaultRowHeight="15" x14ac:dyDescent="0.25"/>
  <cols>
    <col min="1" max="5" width="2.5703125" customWidth="1"/>
    <col min="6" max="6" width="59.5703125" customWidth="1"/>
    <col min="7" max="7" width="90.42578125" customWidth="1"/>
    <col min="8" max="8" width="20.5703125" customWidth="1"/>
    <col min="9" max="9" width="2.5703125" customWidth="1"/>
    <col min="10" max="16" width="15.42578125" hidden="1" customWidth="1"/>
    <col min="17" max="17" width="2.5703125" hidden="1" customWidth="1"/>
    <col min="18" max="27" width="0" hidden="1" customWidth="1"/>
    <col min="28" max="16384" width="9.140625" hidden="1"/>
  </cols>
  <sheetData>
    <row r="1" spans="1:8" s="1" customFormat="1" x14ac:dyDescent="0.25">
      <c r="A1" s="1" t="str">
        <f ca="1">MID(CELL("filename",A1),FIND("]",CELL("filename",A1))+1,255)</f>
        <v>Named ranges</v>
      </c>
    </row>
    <row r="2" spans="1:8" s="1" customFormat="1" x14ac:dyDescent="0.25">
      <c r="A2" s="1" t="str">
        <f>Cover!D21&amp;" - "&amp;Cover!D23</f>
        <v>SHEPD  - Final</v>
      </c>
    </row>
    <row r="3" spans="1:8" s="5" customFormat="1" x14ac:dyDescent="0.25">
      <c r="A3" s="5" t="str">
        <f>Cover!D2&amp;" - "&amp;Cover!D8&amp;" v"&amp;Cover!D10&amp;" - "&amp;Cover!D19</f>
        <v>CDCM charging model - Release for charge setting v3 - 2020/21</v>
      </c>
    </row>
    <row r="5" spans="1:8" x14ac:dyDescent="0.25">
      <c r="B5" s="41" t="s">
        <v>122</v>
      </c>
      <c r="C5" s="41"/>
      <c r="D5" s="41"/>
      <c r="E5" s="41"/>
      <c r="F5" s="42"/>
      <c r="G5" s="42"/>
      <c r="H5" s="42"/>
    </row>
    <row r="6" spans="1:8" x14ac:dyDescent="0.25">
      <c r="B6" s="40"/>
      <c r="C6" s="40"/>
      <c r="D6" s="40"/>
      <c r="E6" s="40"/>
      <c r="F6" s="43"/>
      <c r="G6" s="40"/>
      <c r="H6" s="40"/>
    </row>
    <row r="7" spans="1:8" x14ac:dyDescent="0.25">
      <c r="F7" s="58" t="s">
        <v>123</v>
      </c>
      <c r="G7" t="s">
        <v>124</v>
      </c>
      <c r="H7" t="s">
        <v>115</v>
      </c>
    </row>
    <row r="8" spans="1:8" x14ac:dyDescent="0.25">
      <c r="F8" s="58" t="s">
        <v>125</v>
      </c>
      <c r="G8" t="s">
        <v>126</v>
      </c>
      <c r="H8" t="s">
        <v>54</v>
      </c>
    </row>
    <row r="9" spans="1:8" x14ac:dyDescent="0.25">
      <c r="F9" s="58" t="s">
        <v>127</v>
      </c>
      <c r="G9" t="s">
        <v>128</v>
      </c>
      <c r="H9" t="s">
        <v>61</v>
      </c>
    </row>
    <row r="10" spans="1:8" x14ac:dyDescent="0.25">
      <c r="F10" s="58" t="s">
        <v>129</v>
      </c>
      <c r="G10" t="s">
        <v>130</v>
      </c>
      <c r="H10" t="s">
        <v>115</v>
      </c>
    </row>
    <row r="11" spans="1:8" x14ac:dyDescent="0.25">
      <c r="F11" s="58" t="s">
        <v>131</v>
      </c>
      <c r="G11" t="s">
        <v>132</v>
      </c>
      <c r="H11" t="s">
        <v>54</v>
      </c>
    </row>
    <row r="12" spans="1:8" x14ac:dyDescent="0.25">
      <c r="F12" s="58" t="s">
        <v>133</v>
      </c>
      <c r="G12" t="s">
        <v>134</v>
      </c>
      <c r="H12" t="s">
        <v>61</v>
      </c>
    </row>
    <row r="13" spans="1:8" x14ac:dyDescent="0.25">
      <c r="F13" s="58" t="s">
        <v>135</v>
      </c>
      <c r="G13" t="s">
        <v>136</v>
      </c>
      <c r="H13" t="s">
        <v>54</v>
      </c>
    </row>
    <row r="14" spans="1:8" x14ac:dyDescent="0.25">
      <c r="F14" s="58" t="s">
        <v>137</v>
      </c>
      <c r="G14" t="s">
        <v>138</v>
      </c>
      <c r="H14" t="s">
        <v>97</v>
      </c>
    </row>
    <row r="15" spans="1:8" x14ac:dyDescent="0.25">
      <c r="F15" s="58" t="s">
        <v>139</v>
      </c>
      <c r="G15" t="s">
        <v>140</v>
      </c>
      <c r="H15" t="s">
        <v>54</v>
      </c>
    </row>
    <row r="16" spans="1:8" x14ac:dyDescent="0.25">
      <c r="F16" s="58" t="s">
        <v>141</v>
      </c>
      <c r="G16" t="s">
        <v>142</v>
      </c>
      <c r="H16" t="s">
        <v>54</v>
      </c>
    </row>
    <row r="17" spans="2:8" x14ac:dyDescent="0.25">
      <c r="F17" s="58" t="s">
        <v>143</v>
      </c>
      <c r="G17" t="s">
        <v>144</v>
      </c>
      <c r="H17" t="s">
        <v>54</v>
      </c>
    </row>
    <row r="18" spans="2:8" x14ac:dyDescent="0.25">
      <c r="F18" s="58"/>
    </row>
    <row r="19" spans="2:8" x14ac:dyDescent="0.25">
      <c r="B19" s="41" t="s">
        <v>107</v>
      </c>
      <c r="C19" s="41"/>
      <c r="D19" s="41"/>
      <c r="E19" s="41"/>
      <c r="F19" s="42"/>
      <c r="G19" s="42"/>
      <c r="H19" s="42"/>
    </row>
  </sheetData>
  <sheetProtection sheet="1" objects="1" formatCells="0" formatColumns="0" formatRows="0" sort="0" autoFilter="0"/>
  <hyperlinks>
    <hyperlink ref="F7" location="Cover!$D$19" display="charging_year"/>
    <hyperlink ref="F8" location="'Fixed inputs'!$H$159" display="check_decimals"/>
    <hyperlink ref="F9" location="'General inputs'!$H$90" display="days_in_year"/>
    <hyperlink ref="F10" location="Cover!$D$21" display="DNO_name"/>
    <hyperlink ref="F11" location="'Fixed inputs'!$H$15" display="hours_in_day"/>
    <hyperlink ref="F12" location="'General inputs'!$H$91" display="hours_in_year"/>
    <hyperlink ref="F13" location="'Fixed inputs'!$H$17" display="hundred"/>
    <hyperlink ref="F14" location="'Tariff summary'!$J$16:$P$118" display="live_results_tariffs"/>
    <hyperlink ref="F15" location="'Fixed inputs'!$H$37" display="PowerFactor"/>
    <hyperlink ref="F16" location="'Fixed inputs'!$H$16" display="ten"/>
    <hyperlink ref="F17" location="'Fixed inputs'!$H$18" display="thousand"/>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5" tint="0.59999389629810485"/>
  </sheetPr>
  <dimension ref="A1:AS178"/>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9" sqref="J9"/>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16384" width="9.140625" hidden="1"/>
  </cols>
  <sheetData>
    <row r="1" spans="1:44" s="1" customFormat="1" x14ac:dyDescent="0.25">
      <c r="A1" s="1" t="str">
        <f ca="1">MID(CELL("filename",A1),FIND("]",CELL("filename",A1))+1,255)</f>
        <v>Fixed inputs</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H174 &amp; IF(H174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182</v>
      </c>
    </row>
    <row r="11" spans="1:44" x14ac:dyDescent="0.25">
      <c r="B11" s="30" t="s">
        <v>54</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3" spans="1:44" x14ac:dyDescent="0.25">
      <c r="C13" s="31" t="str">
        <f ca="1">INDEX('Version control'!$H$34:$H$56,MATCH($A$1,'Version control'!$F$34:$F$56,0),1)&amp;"-A: Conversions and time"</f>
        <v>Input 101-A: Conversions and time</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132</v>
      </c>
      <c r="G15" t="s">
        <v>183</v>
      </c>
      <c r="H15" s="277">
        <v>24</v>
      </c>
    </row>
    <row r="16" spans="1:44" x14ac:dyDescent="0.25">
      <c r="E16" s="28" t="s">
        <v>184</v>
      </c>
      <c r="G16" t="s">
        <v>185</v>
      </c>
      <c r="H16" s="277">
        <v>10</v>
      </c>
    </row>
    <row r="17" spans="3:44" x14ac:dyDescent="0.25">
      <c r="E17" s="28" t="s">
        <v>186</v>
      </c>
      <c r="G17" t="s">
        <v>185</v>
      </c>
      <c r="H17" s="277">
        <v>100</v>
      </c>
    </row>
    <row r="18" spans="3:44" x14ac:dyDescent="0.25">
      <c r="E18" s="28" t="s">
        <v>187</v>
      </c>
      <c r="G18" t="s">
        <v>185</v>
      </c>
      <c r="H18" s="277">
        <v>1000</v>
      </c>
    </row>
    <row r="20" spans="3:44" x14ac:dyDescent="0.25">
      <c r="C20" s="31" t="str">
        <f ca="1">INDEX('Version control'!$H$34:$H$56,MATCH($A$1,'Version control'!$F$34:$F$56,0),1)&amp;"-B: Input 101-B: Rounding"</f>
        <v>Input 101-B: Input 101-B: Rounding</v>
      </c>
      <c r="D20" s="31"/>
      <c r="E20" s="31"/>
      <c r="F20" s="31"/>
      <c r="G20" s="31"/>
      <c r="H20" s="31"/>
      <c r="I20" s="31"/>
      <c r="J20" s="31"/>
      <c r="K20" s="31"/>
      <c r="L20" s="31"/>
      <c r="M20" s="31"/>
      <c r="N20" s="31"/>
      <c r="O20" s="31"/>
      <c r="P20" s="31"/>
      <c r="Q20" s="31"/>
      <c r="R20" s="31"/>
      <c r="S20" s="31"/>
      <c r="T20" s="31"/>
      <c r="U20" s="31"/>
      <c r="V20" s="31"/>
      <c r="W20" s="31"/>
      <c r="X20" s="31"/>
      <c r="Y20" s="31"/>
      <c r="Z20" s="31"/>
      <c r="AA20" s="31"/>
      <c r="AB20" s="31"/>
      <c r="AC20" s="31"/>
      <c r="AD20" s="31"/>
      <c r="AE20" s="31"/>
      <c r="AF20" s="31"/>
      <c r="AG20" s="31"/>
      <c r="AH20" s="31"/>
      <c r="AI20" s="31"/>
      <c r="AJ20" s="31"/>
      <c r="AK20" s="31"/>
      <c r="AL20" s="31"/>
      <c r="AM20" s="31"/>
      <c r="AN20" s="31"/>
      <c r="AO20" s="31"/>
      <c r="AP20" s="31"/>
      <c r="AQ20" s="31"/>
      <c r="AR20" s="31"/>
    </row>
    <row r="22" spans="3:44" x14ac:dyDescent="0.25">
      <c r="D22" s="29" t="s">
        <v>188</v>
      </c>
    </row>
    <row r="23" spans="3:44" x14ac:dyDescent="0.25">
      <c r="E23" s="32"/>
    </row>
    <row r="24" spans="3:44" x14ac:dyDescent="0.25">
      <c r="E24" s="32" t="s">
        <v>189</v>
      </c>
      <c r="F24" s="29"/>
      <c r="I24" t="s">
        <v>190</v>
      </c>
      <c r="AR24" t="s">
        <v>191</v>
      </c>
    </row>
    <row r="25" spans="3:44" x14ac:dyDescent="0.25">
      <c r="F25" s="23" t="s">
        <v>192</v>
      </c>
      <c r="G25" s="23" t="s">
        <v>185</v>
      </c>
      <c r="H25" s="281">
        <v>3</v>
      </c>
    </row>
    <row r="26" spans="3:44" x14ac:dyDescent="0.25">
      <c r="F26" t="s">
        <v>193</v>
      </c>
      <c r="G26" t="s">
        <v>185</v>
      </c>
      <c r="H26" s="277">
        <v>3</v>
      </c>
    </row>
    <row r="27" spans="3:44" x14ac:dyDescent="0.25">
      <c r="F27" t="s">
        <v>194</v>
      </c>
      <c r="G27" t="s">
        <v>185</v>
      </c>
      <c r="H27" s="277">
        <v>3</v>
      </c>
    </row>
    <row r="28" spans="3:44" x14ac:dyDescent="0.25">
      <c r="F28" t="s">
        <v>195</v>
      </c>
      <c r="G28" t="s">
        <v>185</v>
      </c>
      <c r="H28" s="277">
        <v>2</v>
      </c>
    </row>
    <row r="29" spans="3:44" x14ac:dyDescent="0.25">
      <c r="F29" t="s">
        <v>196</v>
      </c>
      <c r="G29" t="s">
        <v>185</v>
      </c>
      <c r="H29" s="277">
        <v>2</v>
      </c>
    </row>
    <row r="30" spans="3:44" x14ac:dyDescent="0.25">
      <c r="F30" t="s">
        <v>197</v>
      </c>
      <c r="G30" t="s">
        <v>185</v>
      </c>
      <c r="H30" s="277">
        <v>2</v>
      </c>
    </row>
    <row r="31" spans="3:44" x14ac:dyDescent="0.25">
      <c r="F31" s="37" t="s">
        <v>198</v>
      </c>
      <c r="G31" s="37" t="s">
        <v>185</v>
      </c>
      <c r="H31" s="282">
        <v>3</v>
      </c>
    </row>
    <row r="33" spans="3:44" x14ac:dyDescent="0.25">
      <c r="C33" s="31" t="str">
        <f ca="1">INDEX('Version control'!$H$34:$H$56,MATCH($A$1,'Version control'!$F$34:$F$56,0),1)&amp;"-C: Financial and general assumptions"</f>
        <v>Input 101-C: Financial and general assumptions</v>
      </c>
      <c r="D33" s="31"/>
      <c r="E33" s="31"/>
      <c r="F33" s="31"/>
      <c r="G33" s="31"/>
      <c r="H33" s="31"/>
      <c r="I33" s="31"/>
      <c r="J33" s="31"/>
      <c r="K33" s="31"/>
      <c r="L33" s="31"/>
      <c r="M33" s="31"/>
      <c r="N33" s="31"/>
      <c r="O33" s="31"/>
      <c r="P33" s="31"/>
      <c r="Q33" s="31"/>
      <c r="R33" s="31"/>
      <c r="S33" s="31"/>
      <c r="T33" s="31"/>
      <c r="U33" s="31"/>
      <c r="V33" s="31"/>
      <c r="W33" s="31"/>
      <c r="X33" s="31"/>
      <c r="Y33" s="31"/>
      <c r="Z33" s="31"/>
      <c r="AA33" s="31"/>
      <c r="AB33" s="31"/>
      <c r="AC33" s="31"/>
      <c r="AD33" s="31"/>
      <c r="AE33" s="31"/>
      <c r="AF33" s="31"/>
      <c r="AG33" s="31"/>
      <c r="AH33" s="31"/>
      <c r="AI33" s="31"/>
      <c r="AJ33" s="31"/>
      <c r="AK33" s="31"/>
      <c r="AL33" s="31"/>
      <c r="AM33" s="31"/>
      <c r="AN33" s="31"/>
      <c r="AO33" s="31"/>
      <c r="AP33" s="31"/>
      <c r="AQ33" s="31"/>
      <c r="AR33" s="31"/>
    </row>
    <row r="35" spans="3:44" x14ac:dyDescent="0.25">
      <c r="E35" s="28" t="s">
        <v>199</v>
      </c>
      <c r="G35" t="s">
        <v>200</v>
      </c>
      <c r="H35" s="277">
        <v>40</v>
      </c>
      <c r="I35" t="s">
        <v>190</v>
      </c>
      <c r="AR35" s="3" t="s">
        <v>201</v>
      </c>
    </row>
    <row r="37" spans="3:44" x14ac:dyDescent="0.25">
      <c r="E37" s="28" t="s">
        <v>202</v>
      </c>
      <c r="G37" t="s">
        <v>203</v>
      </c>
      <c r="H37" s="277">
        <v>0.95</v>
      </c>
      <c r="I37" t="s">
        <v>190</v>
      </c>
      <c r="AR37" t="s">
        <v>204</v>
      </c>
    </row>
    <row r="39" spans="3:44" x14ac:dyDescent="0.25">
      <c r="E39" s="28" t="s">
        <v>205</v>
      </c>
      <c r="G39" t="s">
        <v>203</v>
      </c>
      <c r="H39" s="283">
        <v>0.6</v>
      </c>
      <c r="I39" t="s">
        <v>190</v>
      </c>
      <c r="AR39" s="3" t="s">
        <v>206</v>
      </c>
    </row>
    <row r="41" spans="3:44" x14ac:dyDescent="0.25">
      <c r="E41" s="28" t="s">
        <v>207</v>
      </c>
      <c r="G41" s="28" t="s">
        <v>208</v>
      </c>
      <c r="H41" s="277">
        <v>500</v>
      </c>
      <c r="I41" t="s">
        <v>190</v>
      </c>
      <c r="AR41" s="63" t="s">
        <v>209</v>
      </c>
    </row>
    <row r="43" spans="3:44" x14ac:dyDescent="0.25">
      <c r="C43" s="31" t="str">
        <f ca="1">INDEX('Version control'!$H$34:$H$56,MATCH($A$1,'Version control'!$F$34:$F$56,0),1)&amp;"-D: Mappings"</f>
        <v>Input 101-D: Mappings</v>
      </c>
      <c r="D43" s="31"/>
      <c r="E43" s="31"/>
      <c r="F43" s="31"/>
      <c r="G43" s="31"/>
      <c r="H43" s="31"/>
      <c r="I43" s="31"/>
      <c r="J43" s="31"/>
      <c r="K43" s="31"/>
      <c r="L43" s="31"/>
      <c r="M43" s="31"/>
      <c r="N43" s="31"/>
      <c r="O43" s="31"/>
      <c r="P43" s="31"/>
      <c r="Q43" s="31"/>
      <c r="R43" s="31"/>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row>
    <row r="45" spans="3:44" x14ac:dyDescent="0.25">
      <c r="E45" s="32" t="s">
        <v>210</v>
      </c>
    </row>
    <row r="46" spans="3:44" x14ac:dyDescent="0.25">
      <c r="F46" s="64" t="s">
        <v>211</v>
      </c>
      <c r="G46" s="23" t="s">
        <v>212</v>
      </c>
      <c r="H46" s="23"/>
      <c r="I46" s="23"/>
      <c r="J46" s="281">
        <v>1</v>
      </c>
      <c r="K46" s="281">
        <v>1</v>
      </c>
      <c r="L46" s="281">
        <v>1</v>
      </c>
      <c r="M46" s="281">
        <v>1</v>
      </c>
      <c r="N46" s="281">
        <v>1</v>
      </c>
      <c r="O46" s="281">
        <v>1</v>
      </c>
      <c r="P46" s="281">
        <v>1</v>
      </c>
      <c r="Q46" s="281">
        <v>0</v>
      </c>
      <c r="R46" s="281">
        <v>0</v>
      </c>
      <c r="S46" s="281">
        <v>1</v>
      </c>
      <c r="T46" s="281">
        <v>1</v>
      </c>
      <c r="U46" s="281">
        <v>1</v>
      </c>
      <c r="V46" s="281">
        <v>0</v>
      </c>
      <c r="W46" s="281">
        <v>0</v>
      </c>
      <c r="X46" s="281">
        <v>1</v>
      </c>
      <c r="Y46" s="281">
        <v>1</v>
      </c>
      <c r="Z46" s="281">
        <v>1</v>
      </c>
      <c r="AA46" s="281">
        <v>1</v>
      </c>
      <c r="AB46" s="281">
        <v>1</v>
      </c>
      <c r="AC46" s="65"/>
      <c r="AD46" s="65"/>
      <c r="AE46" s="65"/>
      <c r="AF46" s="65"/>
      <c r="AG46" s="65"/>
      <c r="AH46" s="65"/>
      <c r="AI46" s="65"/>
      <c r="AJ46" s="65"/>
      <c r="AK46" s="65"/>
      <c r="AL46" s="65"/>
      <c r="AM46" s="65"/>
      <c r="AN46" s="65"/>
      <c r="AO46" s="65"/>
      <c r="AP46" s="65"/>
    </row>
    <row r="47" spans="3:44" x14ac:dyDescent="0.25">
      <c r="F47" s="28" t="s">
        <v>213</v>
      </c>
      <c r="G47" t="s">
        <v>212</v>
      </c>
      <c r="J47" s="277">
        <v>1</v>
      </c>
      <c r="K47" s="277">
        <v>1</v>
      </c>
      <c r="L47" s="277">
        <v>1</v>
      </c>
      <c r="M47" s="277">
        <v>1</v>
      </c>
      <c r="N47" s="277">
        <v>1</v>
      </c>
      <c r="O47" s="277">
        <v>1</v>
      </c>
      <c r="P47" s="277">
        <v>1</v>
      </c>
      <c r="Q47" s="277">
        <v>0</v>
      </c>
      <c r="R47" s="277">
        <v>0</v>
      </c>
      <c r="S47" s="277">
        <v>1</v>
      </c>
      <c r="T47" s="277">
        <v>1</v>
      </c>
      <c r="U47" s="277">
        <v>1</v>
      </c>
      <c r="V47" s="277">
        <v>0</v>
      </c>
      <c r="W47" s="277">
        <v>0</v>
      </c>
      <c r="X47" s="277">
        <v>1</v>
      </c>
      <c r="Y47" s="277">
        <v>1</v>
      </c>
      <c r="Z47" s="277">
        <v>1</v>
      </c>
      <c r="AA47" s="277">
        <v>1</v>
      </c>
      <c r="AB47" s="277">
        <v>1</v>
      </c>
      <c r="AC47" s="66"/>
      <c r="AD47" s="66"/>
      <c r="AE47" s="66"/>
      <c r="AF47" s="66"/>
      <c r="AG47" s="66"/>
      <c r="AH47" s="66"/>
      <c r="AI47" s="66"/>
      <c r="AJ47" s="66"/>
      <c r="AK47" s="66"/>
      <c r="AL47" s="66"/>
      <c r="AM47" s="66"/>
      <c r="AN47" s="66"/>
      <c r="AO47" s="66"/>
      <c r="AP47" s="66"/>
    </row>
    <row r="48" spans="3:44" x14ac:dyDescent="0.25">
      <c r="F48" s="28" t="s">
        <v>214</v>
      </c>
      <c r="G48" t="s">
        <v>212</v>
      </c>
      <c r="J48" s="277">
        <v>0</v>
      </c>
      <c r="K48" s="277">
        <v>0</v>
      </c>
      <c r="L48" s="277">
        <v>0</v>
      </c>
      <c r="M48" s="277">
        <v>0</v>
      </c>
      <c r="N48" s="277">
        <v>0</v>
      </c>
      <c r="O48" s="277">
        <v>0</v>
      </c>
      <c r="P48" s="277">
        <v>0</v>
      </c>
      <c r="Q48" s="277">
        <v>0</v>
      </c>
      <c r="R48" s="277">
        <v>0</v>
      </c>
      <c r="S48" s="277">
        <v>0</v>
      </c>
      <c r="T48" s="277">
        <v>0</v>
      </c>
      <c r="U48" s="277">
        <v>0</v>
      </c>
      <c r="V48" s="277">
        <v>1</v>
      </c>
      <c r="W48" s="277">
        <v>0</v>
      </c>
      <c r="X48" s="277">
        <v>0</v>
      </c>
      <c r="Y48" s="277">
        <v>0</v>
      </c>
      <c r="Z48" s="277">
        <v>0</v>
      </c>
      <c r="AA48" s="277">
        <v>0</v>
      </c>
      <c r="AB48" s="277">
        <v>0</v>
      </c>
      <c r="AC48" s="66"/>
      <c r="AD48" s="66"/>
      <c r="AE48" s="66"/>
      <c r="AF48" s="66"/>
      <c r="AG48" s="66"/>
      <c r="AH48" s="66"/>
      <c r="AI48" s="66"/>
      <c r="AJ48" s="66"/>
      <c r="AK48" s="66"/>
      <c r="AL48" s="66"/>
      <c r="AM48" s="66"/>
      <c r="AN48" s="66"/>
      <c r="AO48" s="66"/>
      <c r="AP48" s="66"/>
    </row>
    <row r="49" spans="5:44" x14ac:dyDescent="0.25">
      <c r="F49" s="67" t="s">
        <v>215</v>
      </c>
      <c r="G49" s="37" t="s">
        <v>212</v>
      </c>
      <c r="H49" s="37"/>
      <c r="I49" s="37"/>
      <c r="J49" s="282">
        <v>0</v>
      </c>
      <c r="K49" s="282">
        <v>0</v>
      </c>
      <c r="L49" s="282">
        <v>0</v>
      </c>
      <c r="M49" s="282">
        <v>0</v>
      </c>
      <c r="N49" s="282">
        <v>0</v>
      </c>
      <c r="O49" s="282">
        <v>0</v>
      </c>
      <c r="P49" s="282">
        <v>0</v>
      </c>
      <c r="Q49" s="282">
        <v>0</v>
      </c>
      <c r="R49" s="282">
        <v>0</v>
      </c>
      <c r="S49" s="282">
        <v>0</v>
      </c>
      <c r="T49" s="282">
        <v>0</v>
      </c>
      <c r="U49" s="282">
        <v>0</v>
      </c>
      <c r="V49" s="282">
        <v>0</v>
      </c>
      <c r="W49" s="282">
        <v>1</v>
      </c>
      <c r="X49" s="282">
        <v>0</v>
      </c>
      <c r="Y49" s="282">
        <v>0</v>
      </c>
      <c r="Z49" s="282">
        <v>0</v>
      </c>
      <c r="AA49" s="282">
        <v>0</v>
      </c>
      <c r="AB49" s="282">
        <v>0</v>
      </c>
      <c r="AC49" s="68"/>
      <c r="AD49" s="68"/>
      <c r="AE49" s="68"/>
      <c r="AF49" s="68"/>
      <c r="AG49" s="68"/>
      <c r="AH49" s="68"/>
      <c r="AI49" s="68"/>
      <c r="AJ49" s="68"/>
      <c r="AK49" s="68"/>
      <c r="AL49" s="68"/>
      <c r="AM49" s="68"/>
      <c r="AN49" s="68"/>
      <c r="AO49" s="68"/>
      <c r="AP49" s="68"/>
    </row>
    <row r="51" spans="5:44" x14ac:dyDescent="0.25">
      <c r="E51" s="32" t="s">
        <v>216</v>
      </c>
      <c r="I51" t="s">
        <v>190</v>
      </c>
      <c r="AR51" s="3" t="s">
        <v>217</v>
      </c>
    </row>
    <row r="52" spans="5:44" x14ac:dyDescent="0.25">
      <c r="E52" s="29" t="s">
        <v>218</v>
      </c>
    </row>
    <row r="53" spans="5:44" x14ac:dyDescent="0.25">
      <c r="F53" s="64" t="s">
        <v>219</v>
      </c>
      <c r="G53" s="23" t="s">
        <v>212</v>
      </c>
      <c r="H53" s="69"/>
      <c r="I53" s="69"/>
      <c r="J53" s="281">
        <v>0</v>
      </c>
      <c r="K53" s="281">
        <v>0</v>
      </c>
      <c r="L53" s="281">
        <v>0</v>
      </c>
      <c r="M53" s="281">
        <v>0</v>
      </c>
      <c r="N53" s="281">
        <v>0</v>
      </c>
      <c r="O53" s="281">
        <v>0</v>
      </c>
      <c r="P53" s="281">
        <v>0</v>
      </c>
      <c r="Q53" s="281">
        <v>0</v>
      </c>
      <c r="R53" s="281">
        <v>0</v>
      </c>
      <c r="S53" s="281">
        <v>0</v>
      </c>
      <c r="T53" s="281">
        <v>0</v>
      </c>
      <c r="U53" s="281">
        <v>0</v>
      </c>
      <c r="V53" s="281">
        <v>0</v>
      </c>
      <c r="W53" s="281">
        <v>0</v>
      </c>
      <c r="X53" s="281">
        <v>0</v>
      </c>
      <c r="Y53" s="281">
        <v>0</v>
      </c>
      <c r="Z53" s="281">
        <v>0</v>
      </c>
      <c r="AA53" s="281">
        <v>0</v>
      </c>
      <c r="AB53" s="281">
        <v>0</v>
      </c>
      <c r="AC53" s="281">
        <v>0</v>
      </c>
      <c r="AD53" s="281">
        <v>0</v>
      </c>
      <c r="AE53" s="281">
        <v>0</v>
      </c>
      <c r="AF53" s="281">
        <v>0</v>
      </c>
      <c r="AG53" s="281">
        <v>0</v>
      </c>
      <c r="AH53" s="281">
        <v>0</v>
      </c>
      <c r="AI53" s="281">
        <v>0</v>
      </c>
      <c r="AJ53" s="281">
        <v>0</v>
      </c>
      <c r="AK53" s="281">
        <v>0</v>
      </c>
      <c r="AL53" s="281">
        <v>0</v>
      </c>
      <c r="AM53" s="281">
        <v>0</v>
      </c>
      <c r="AN53" s="281">
        <v>0</v>
      </c>
      <c r="AO53" s="281">
        <v>0</v>
      </c>
      <c r="AP53" s="281">
        <v>0</v>
      </c>
    </row>
    <row r="54" spans="5:44" x14ac:dyDescent="0.25">
      <c r="F54" s="28" t="s">
        <v>220</v>
      </c>
      <c r="G54" t="s">
        <v>212</v>
      </c>
      <c r="J54" s="277">
        <v>0</v>
      </c>
      <c r="K54" s="277">
        <v>0</v>
      </c>
      <c r="L54" s="277">
        <v>0</v>
      </c>
      <c r="M54" s="277">
        <v>0</v>
      </c>
      <c r="N54" s="277">
        <v>0</v>
      </c>
      <c r="O54" s="277">
        <v>0</v>
      </c>
      <c r="P54" s="277">
        <v>0</v>
      </c>
      <c r="Q54" s="277">
        <v>0</v>
      </c>
      <c r="R54" s="277">
        <v>1</v>
      </c>
      <c r="S54" s="277">
        <v>0</v>
      </c>
      <c r="T54" s="277">
        <v>0</v>
      </c>
      <c r="U54" s="277">
        <v>0</v>
      </c>
      <c r="V54" s="277">
        <v>0</v>
      </c>
      <c r="W54" s="277">
        <v>1</v>
      </c>
      <c r="X54" s="277">
        <v>0</v>
      </c>
      <c r="Y54" s="277">
        <v>0</v>
      </c>
      <c r="Z54" s="277">
        <v>0</v>
      </c>
      <c r="AA54" s="277">
        <v>0</v>
      </c>
      <c r="AB54" s="277">
        <v>0</v>
      </c>
      <c r="AC54" s="277">
        <v>0</v>
      </c>
      <c r="AD54" s="277">
        <v>0</v>
      </c>
      <c r="AE54" s="277">
        <v>0</v>
      </c>
      <c r="AF54" s="277">
        <v>0</v>
      </c>
      <c r="AG54" s="277">
        <v>0</v>
      </c>
      <c r="AH54" s="277">
        <v>0</v>
      </c>
      <c r="AI54" s="277">
        <v>0</v>
      </c>
      <c r="AJ54" s="277">
        <v>0</v>
      </c>
      <c r="AK54" s="277">
        <v>0</v>
      </c>
      <c r="AL54" s="277">
        <v>0</v>
      </c>
      <c r="AM54" s="277">
        <v>1</v>
      </c>
      <c r="AN54" s="277">
        <v>1</v>
      </c>
      <c r="AO54" s="277">
        <v>1</v>
      </c>
      <c r="AP54" s="277">
        <v>1</v>
      </c>
    </row>
    <row r="55" spans="5:44" x14ac:dyDescent="0.25">
      <c r="F55" s="28" t="s">
        <v>221</v>
      </c>
      <c r="G55" t="s">
        <v>212</v>
      </c>
      <c r="J55" s="277">
        <v>0</v>
      </c>
      <c r="K55" s="277">
        <v>0</v>
      </c>
      <c r="L55" s="277">
        <v>0</v>
      </c>
      <c r="M55" s="277">
        <v>0</v>
      </c>
      <c r="N55" s="277">
        <v>0</v>
      </c>
      <c r="O55" s="277">
        <v>0</v>
      </c>
      <c r="P55" s="277">
        <v>0</v>
      </c>
      <c r="Q55" s="277">
        <v>1</v>
      </c>
      <c r="R55" s="277">
        <v>0</v>
      </c>
      <c r="S55" s="277">
        <v>0</v>
      </c>
      <c r="T55" s="277">
        <v>0</v>
      </c>
      <c r="U55" s="277">
        <v>0</v>
      </c>
      <c r="V55" s="277">
        <v>1</v>
      </c>
      <c r="W55" s="277">
        <v>0</v>
      </c>
      <c r="X55" s="277">
        <v>0</v>
      </c>
      <c r="Y55" s="277">
        <v>0</v>
      </c>
      <c r="Z55" s="277">
        <v>0</v>
      </c>
      <c r="AA55" s="277">
        <v>0</v>
      </c>
      <c r="AB55" s="277">
        <v>0</v>
      </c>
      <c r="AC55" s="277">
        <v>0</v>
      </c>
      <c r="AD55" s="277">
        <v>1</v>
      </c>
      <c r="AE55" s="277">
        <v>0</v>
      </c>
      <c r="AF55" s="277">
        <v>0</v>
      </c>
      <c r="AG55" s="277">
        <v>0</v>
      </c>
      <c r="AH55" s="277">
        <v>0</v>
      </c>
      <c r="AI55" s="277">
        <v>1</v>
      </c>
      <c r="AJ55" s="277">
        <v>1</v>
      </c>
      <c r="AK55" s="277">
        <v>1</v>
      </c>
      <c r="AL55" s="277">
        <v>1</v>
      </c>
      <c r="AM55" s="277">
        <v>0</v>
      </c>
      <c r="AN55" s="277">
        <v>0</v>
      </c>
      <c r="AO55" s="277">
        <v>0</v>
      </c>
      <c r="AP55" s="277">
        <v>0</v>
      </c>
    </row>
    <row r="56" spans="5:44" x14ac:dyDescent="0.25">
      <c r="F56" s="67" t="s">
        <v>222</v>
      </c>
      <c r="G56" s="37" t="s">
        <v>212</v>
      </c>
      <c r="H56" s="37"/>
      <c r="I56" s="37"/>
      <c r="J56" s="282">
        <v>1</v>
      </c>
      <c r="K56" s="282">
        <v>1</v>
      </c>
      <c r="L56" s="282">
        <v>1</v>
      </c>
      <c r="M56" s="282">
        <v>1</v>
      </c>
      <c r="N56" s="282">
        <v>1</v>
      </c>
      <c r="O56" s="282">
        <v>1</v>
      </c>
      <c r="P56" s="282">
        <v>1</v>
      </c>
      <c r="Q56" s="282">
        <v>0</v>
      </c>
      <c r="R56" s="282">
        <v>0</v>
      </c>
      <c r="S56" s="282">
        <v>1</v>
      </c>
      <c r="T56" s="282">
        <v>1</v>
      </c>
      <c r="U56" s="282">
        <v>1</v>
      </c>
      <c r="V56" s="282">
        <v>0</v>
      </c>
      <c r="W56" s="282">
        <v>0</v>
      </c>
      <c r="X56" s="282">
        <v>1</v>
      </c>
      <c r="Y56" s="282">
        <v>1</v>
      </c>
      <c r="Z56" s="282">
        <v>1</v>
      </c>
      <c r="AA56" s="282">
        <v>1</v>
      </c>
      <c r="AB56" s="282">
        <v>1</v>
      </c>
      <c r="AC56" s="282">
        <v>1</v>
      </c>
      <c r="AD56" s="282">
        <v>0</v>
      </c>
      <c r="AE56" s="282">
        <v>1</v>
      </c>
      <c r="AF56" s="282">
        <v>1</v>
      </c>
      <c r="AG56" s="282">
        <v>1</v>
      </c>
      <c r="AH56" s="282">
        <v>1</v>
      </c>
      <c r="AI56" s="282">
        <v>0</v>
      </c>
      <c r="AJ56" s="282">
        <v>0</v>
      </c>
      <c r="AK56" s="282">
        <v>0</v>
      </c>
      <c r="AL56" s="282">
        <v>0</v>
      </c>
      <c r="AM56" s="282">
        <v>0</v>
      </c>
      <c r="AN56" s="282">
        <v>0</v>
      </c>
      <c r="AO56" s="282">
        <v>0</v>
      </c>
      <c r="AP56" s="282">
        <v>0</v>
      </c>
    </row>
    <row r="57" spans="5:44" x14ac:dyDescent="0.25">
      <c r="H57" s="3"/>
      <c r="I57" s="3"/>
      <c r="J57" s="3"/>
      <c r="K57" s="3"/>
      <c r="L57" s="3"/>
      <c r="M57" s="3"/>
      <c r="N57" s="3"/>
      <c r="O57" s="3"/>
      <c r="P57" s="3"/>
      <c r="Q57" s="3"/>
    </row>
    <row r="58" spans="5:44" x14ac:dyDescent="0.25">
      <c r="E58" s="32" t="s">
        <v>223</v>
      </c>
    </row>
    <row r="59" spans="5:44" x14ac:dyDescent="0.25">
      <c r="E59" s="29" t="s">
        <v>224</v>
      </c>
    </row>
    <row r="60" spans="5:44" x14ac:dyDescent="0.25">
      <c r="F60" s="23" t="s">
        <v>225</v>
      </c>
      <c r="G60" s="23" t="s">
        <v>226</v>
      </c>
      <c r="H60" s="23"/>
      <c r="I60" s="23"/>
      <c r="J60" s="281">
        <v>1</v>
      </c>
      <c r="K60" s="281">
        <v>1</v>
      </c>
      <c r="L60" s="281">
        <v>1</v>
      </c>
      <c r="M60" s="281">
        <v>1</v>
      </c>
      <c r="N60" s="281">
        <v>1</v>
      </c>
      <c r="O60" s="281">
        <v>1</v>
      </c>
      <c r="P60" s="281">
        <v>1</v>
      </c>
      <c r="Q60" s="281">
        <v>1</v>
      </c>
      <c r="R60" s="281">
        <v>1</v>
      </c>
      <c r="S60" s="281">
        <v>1</v>
      </c>
      <c r="T60" s="281">
        <v>1</v>
      </c>
      <c r="U60" s="281">
        <v>1</v>
      </c>
      <c r="V60" s="281">
        <v>1</v>
      </c>
      <c r="W60" s="281">
        <v>1</v>
      </c>
      <c r="X60" s="281">
        <v>1</v>
      </c>
      <c r="Y60" s="281">
        <v>1</v>
      </c>
      <c r="Z60" s="281">
        <v>1</v>
      </c>
      <c r="AA60" s="281">
        <v>1</v>
      </c>
      <c r="AB60" s="281">
        <v>1</v>
      </c>
      <c r="AC60" s="281">
        <v>-1</v>
      </c>
      <c r="AD60" s="281">
        <v>-1</v>
      </c>
      <c r="AE60" s="281">
        <v>-1</v>
      </c>
      <c r="AF60" s="281">
        <v>-1</v>
      </c>
      <c r="AG60" s="281">
        <v>-1</v>
      </c>
      <c r="AH60" s="281">
        <v>-1</v>
      </c>
      <c r="AI60" s="281">
        <v>-1</v>
      </c>
      <c r="AJ60" s="281">
        <v>-1</v>
      </c>
      <c r="AK60" s="281">
        <v>-1</v>
      </c>
      <c r="AL60" s="281">
        <v>-1</v>
      </c>
      <c r="AM60" s="281">
        <v>-1</v>
      </c>
      <c r="AN60" s="281">
        <v>-1</v>
      </c>
      <c r="AO60" s="281">
        <v>-1</v>
      </c>
      <c r="AP60" s="281">
        <v>-1</v>
      </c>
    </row>
    <row r="61" spans="5:44" x14ac:dyDescent="0.25">
      <c r="F61" t="s">
        <v>227</v>
      </c>
      <c r="G61" t="s">
        <v>226</v>
      </c>
      <c r="J61" s="277">
        <v>1</v>
      </c>
      <c r="K61" s="277">
        <v>1</v>
      </c>
      <c r="L61" s="277">
        <v>1</v>
      </c>
      <c r="M61" s="277">
        <v>1</v>
      </c>
      <c r="N61" s="277">
        <v>1</v>
      </c>
      <c r="O61" s="277">
        <v>1</v>
      </c>
      <c r="P61" s="277">
        <v>1</v>
      </c>
      <c r="Q61" s="277">
        <v>1</v>
      </c>
      <c r="R61" s="277">
        <v>1</v>
      </c>
      <c r="S61" s="277">
        <v>1</v>
      </c>
      <c r="T61" s="277">
        <v>1</v>
      </c>
      <c r="U61" s="277">
        <v>1</v>
      </c>
      <c r="V61" s="277">
        <v>1</v>
      </c>
      <c r="W61" s="277">
        <v>1</v>
      </c>
      <c r="X61" s="277">
        <v>1</v>
      </c>
      <c r="Y61" s="277">
        <v>1</v>
      </c>
      <c r="Z61" s="277">
        <v>1</v>
      </c>
      <c r="AA61" s="277">
        <v>1</v>
      </c>
      <c r="AB61" s="277">
        <v>1</v>
      </c>
      <c r="AC61" s="277">
        <v>-1</v>
      </c>
      <c r="AD61" s="277">
        <v>-1</v>
      </c>
      <c r="AE61" s="277">
        <v>-1</v>
      </c>
      <c r="AF61" s="277">
        <v>-1</v>
      </c>
      <c r="AG61" s="277">
        <v>-1</v>
      </c>
      <c r="AH61" s="277">
        <v>-1</v>
      </c>
      <c r="AI61" s="277">
        <v>-1</v>
      </c>
      <c r="AJ61" s="277">
        <v>-1</v>
      </c>
      <c r="AK61" s="277">
        <v>-1</v>
      </c>
      <c r="AL61" s="277">
        <v>-1</v>
      </c>
      <c r="AM61" s="277">
        <v>-1</v>
      </c>
      <c r="AN61" s="277">
        <v>-1</v>
      </c>
      <c r="AO61" s="277">
        <v>-1</v>
      </c>
      <c r="AP61" s="277">
        <v>-1</v>
      </c>
    </row>
    <row r="62" spans="5:44" x14ac:dyDescent="0.25">
      <c r="F62" t="s">
        <v>228</v>
      </c>
      <c r="G62" t="s">
        <v>226</v>
      </c>
      <c r="J62" s="277">
        <v>1</v>
      </c>
      <c r="K62" s="277">
        <v>1</v>
      </c>
      <c r="L62" s="277">
        <v>1</v>
      </c>
      <c r="M62" s="277">
        <v>1</v>
      </c>
      <c r="N62" s="277">
        <v>1</v>
      </c>
      <c r="O62" s="277">
        <v>1</v>
      </c>
      <c r="P62" s="277">
        <v>1</v>
      </c>
      <c r="Q62" s="277">
        <v>1</v>
      </c>
      <c r="R62" s="277">
        <v>1</v>
      </c>
      <c r="S62" s="277">
        <v>1</v>
      </c>
      <c r="T62" s="277">
        <v>1</v>
      </c>
      <c r="U62" s="277">
        <v>1</v>
      </c>
      <c r="V62" s="277">
        <v>1</v>
      </c>
      <c r="W62" s="277">
        <v>1</v>
      </c>
      <c r="X62" s="277">
        <v>1</v>
      </c>
      <c r="Y62" s="277">
        <v>1</v>
      </c>
      <c r="Z62" s="277">
        <v>1</v>
      </c>
      <c r="AA62" s="277">
        <v>1</v>
      </c>
      <c r="AB62" s="277">
        <v>1</v>
      </c>
      <c r="AC62" s="277">
        <v>-1</v>
      </c>
      <c r="AD62" s="277">
        <v>-1</v>
      </c>
      <c r="AE62" s="277">
        <v>-1</v>
      </c>
      <c r="AF62" s="277">
        <v>-1</v>
      </c>
      <c r="AG62" s="277">
        <v>-1</v>
      </c>
      <c r="AH62" s="277">
        <v>-1</v>
      </c>
      <c r="AI62" s="277">
        <v>-1</v>
      </c>
      <c r="AJ62" s="277">
        <v>-1</v>
      </c>
      <c r="AK62" s="277">
        <v>-1</v>
      </c>
      <c r="AL62" s="277">
        <v>-1</v>
      </c>
      <c r="AM62" s="277">
        <v>-1</v>
      </c>
      <c r="AN62" s="277">
        <v>-1</v>
      </c>
      <c r="AO62" s="277">
        <v>-1</v>
      </c>
      <c r="AP62" s="277">
        <v>-1</v>
      </c>
    </row>
    <row r="63" spans="5:44" x14ac:dyDescent="0.25">
      <c r="F63" t="s">
        <v>229</v>
      </c>
      <c r="G63" t="s">
        <v>226</v>
      </c>
      <c r="J63" s="277">
        <v>1</v>
      </c>
      <c r="K63" s="277">
        <v>1</v>
      </c>
      <c r="L63" s="277">
        <v>1</v>
      </c>
      <c r="M63" s="277">
        <v>1</v>
      </c>
      <c r="N63" s="277">
        <v>1</v>
      </c>
      <c r="O63" s="277">
        <v>1</v>
      </c>
      <c r="P63" s="277">
        <v>1</v>
      </c>
      <c r="Q63" s="277">
        <v>1</v>
      </c>
      <c r="R63" s="277">
        <v>1</v>
      </c>
      <c r="S63" s="277">
        <v>1</v>
      </c>
      <c r="T63" s="277">
        <v>1</v>
      </c>
      <c r="U63" s="277">
        <v>1</v>
      </c>
      <c r="V63" s="277">
        <v>1</v>
      </c>
      <c r="W63" s="277">
        <v>1</v>
      </c>
      <c r="X63" s="277">
        <v>1</v>
      </c>
      <c r="Y63" s="277">
        <v>1</v>
      </c>
      <c r="Z63" s="277">
        <v>1</v>
      </c>
      <c r="AA63" s="277">
        <v>1</v>
      </c>
      <c r="AB63" s="277">
        <v>1</v>
      </c>
      <c r="AC63" s="277">
        <v>-1</v>
      </c>
      <c r="AD63" s="277">
        <v>-1</v>
      </c>
      <c r="AE63" s="277">
        <v>-1</v>
      </c>
      <c r="AF63" s="277">
        <v>-1</v>
      </c>
      <c r="AG63" s="277">
        <v>-1</v>
      </c>
      <c r="AH63" s="277">
        <v>-1</v>
      </c>
      <c r="AI63" s="277">
        <v>-1</v>
      </c>
      <c r="AJ63" s="277">
        <v>-1</v>
      </c>
      <c r="AK63" s="277">
        <v>-1</v>
      </c>
      <c r="AL63" s="277">
        <v>-1</v>
      </c>
      <c r="AM63" s="277">
        <v>-1</v>
      </c>
      <c r="AN63" s="277">
        <v>-1</v>
      </c>
      <c r="AO63" s="277">
        <v>-1</v>
      </c>
      <c r="AP63" s="277">
        <v>-1</v>
      </c>
    </row>
    <row r="64" spans="5:44" x14ac:dyDescent="0.25">
      <c r="F64" t="s">
        <v>230</v>
      </c>
      <c r="G64" t="s">
        <v>226</v>
      </c>
      <c r="J64" s="277">
        <v>1</v>
      </c>
      <c r="K64" s="277">
        <v>1</v>
      </c>
      <c r="L64" s="277">
        <v>1</v>
      </c>
      <c r="M64" s="277">
        <v>1</v>
      </c>
      <c r="N64" s="277">
        <v>1</v>
      </c>
      <c r="O64" s="277">
        <v>1</v>
      </c>
      <c r="P64" s="277">
        <v>1</v>
      </c>
      <c r="Q64" s="277">
        <v>1</v>
      </c>
      <c r="R64" s="277">
        <v>1</v>
      </c>
      <c r="S64" s="277">
        <v>1</v>
      </c>
      <c r="T64" s="277">
        <v>1</v>
      </c>
      <c r="U64" s="277">
        <v>1</v>
      </c>
      <c r="V64" s="277">
        <v>1</v>
      </c>
      <c r="W64" s="277">
        <v>1</v>
      </c>
      <c r="X64" s="277">
        <v>1</v>
      </c>
      <c r="Y64" s="277">
        <v>1</v>
      </c>
      <c r="Z64" s="277">
        <v>1</v>
      </c>
      <c r="AA64" s="277">
        <v>1</v>
      </c>
      <c r="AB64" s="277">
        <v>1</v>
      </c>
      <c r="AC64" s="277">
        <v>-1</v>
      </c>
      <c r="AD64" s="277">
        <v>-1</v>
      </c>
      <c r="AE64" s="277">
        <v>-1</v>
      </c>
      <c r="AF64" s="277">
        <v>-1</v>
      </c>
      <c r="AG64" s="277">
        <v>-1</v>
      </c>
      <c r="AH64" s="277">
        <v>-1</v>
      </c>
      <c r="AI64" s="277">
        <v>-1</v>
      </c>
      <c r="AJ64" s="277">
        <v>-1</v>
      </c>
      <c r="AK64" s="277">
        <v>-1</v>
      </c>
      <c r="AL64" s="277">
        <v>-1</v>
      </c>
      <c r="AM64" s="277">
        <v>-1</v>
      </c>
      <c r="AN64" s="277">
        <v>-1</v>
      </c>
      <c r="AO64" s="277">
        <v>-1</v>
      </c>
      <c r="AP64" s="277">
        <v>-1</v>
      </c>
    </row>
    <row r="65" spans="5:44" x14ac:dyDescent="0.25">
      <c r="F65" t="s">
        <v>231</v>
      </c>
      <c r="G65" t="s">
        <v>226</v>
      </c>
      <c r="J65" s="277">
        <v>1</v>
      </c>
      <c r="K65" s="277">
        <v>1</v>
      </c>
      <c r="L65" s="277">
        <v>1</v>
      </c>
      <c r="M65" s="277">
        <v>1</v>
      </c>
      <c r="N65" s="277">
        <v>1</v>
      </c>
      <c r="O65" s="277">
        <v>1</v>
      </c>
      <c r="P65" s="277">
        <v>1</v>
      </c>
      <c r="Q65" s="277">
        <v>1</v>
      </c>
      <c r="R65" s="277">
        <v>1</v>
      </c>
      <c r="S65" s="277">
        <v>1</v>
      </c>
      <c r="T65" s="277">
        <v>1</v>
      </c>
      <c r="U65" s="277">
        <v>1</v>
      </c>
      <c r="V65" s="277">
        <v>1</v>
      </c>
      <c r="W65" s="277">
        <v>1</v>
      </c>
      <c r="X65" s="277">
        <v>1</v>
      </c>
      <c r="Y65" s="277">
        <v>1</v>
      </c>
      <c r="Z65" s="277">
        <v>1</v>
      </c>
      <c r="AA65" s="277">
        <v>1</v>
      </c>
      <c r="AB65" s="277">
        <v>1</v>
      </c>
      <c r="AC65" s="277">
        <v>-1</v>
      </c>
      <c r="AD65" s="277">
        <v>-1</v>
      </c>
      <c r="AE65" s="277">
        <v>-1</v>
      </c>
      <c r="AF65" s="277">
        <v>-1</v>
      </c>
      <c r="AG65" s="277">
        <v>-1</v>
      </c>
      <c r="AH65" s="277">
        <v>-1</v>
      </c>
      <c r="AI65" s="277">
        <v>-1</v>
      </c>
      <c r="AJ65" s="277">
        <v>-1</v>
      </c>
      <c r="AK65" s="277">
        <v>-1</v>
      </c>
      <c r="AL65" s="277">
        <v>-1</v>
      </c>
      <c r="AM65" s="277">
        <v>-1</v>
      </c>
      <c r="AN65" s="277">
        <v>-1</v>
      </c>
      <c r="AO65" s="277">
        <v>-1</v>
      </c>
      <c r="AP65" s="277">
        <v>-1</v>
      </c>
    </row>
    <row r="66" spans="5:44" x14ac:dyDescent="0.25">
      <c r="F66" t="s">
        <v>232</v>
      </c>
      <c r="G66" t="s">
        <v>226</v>
      </c>
      <c r="J66" s="277">
        <v>1</v>
      </c>
      <c r="K66" s="277">
        <v>1</v>
      </c>
      <c r="L66" s="277">
        <v>1</v>
      </c>
      <c r="M66" s="277">
        <v>1</v>
      </c>
      <c r="N66" s="277">
        <v>1</v>
      </c>
      <c r="O66" s="277">
        <v>1</v>
      </c>
      <c r="P66" s="277">
        <v>1</v>
      </c>
      <c r="Q66" s="277">
        <v>1</v>
      </c>
      <c r="R66" s="277">
        <v>1</v>
      </c>
      <c r="S66" s="277">
        <v>1</v>
      </c>
      <c r="T66" s="277">
        <v>1</v>
      </c>
      <c r="U66" s="277">
        <v>1</v>
      </c>
      <c r="V66" s="277">
        <v>1</v>
      </c>
      <c r="W66" s="277">
        <v>1</v>
      </c>
      <c r="X66" s="277">
        <v>1</v>
      </c>
      <c r="Y66" s="277">
        <v>1</v>
      </c>
      <c r="Z66" s="277">
        <v>1</v>
      </c>
      <c r="AA66" s="277">
        <v>1</v>
      </c>
      <c r="AB66" s="277">
        <v>1</v>
      </c>
      <c r="AC66" s="277">
        <v>-1</v>
      </c>
      <c r="AD66" s="277">
        <v>-1</v>
      </c>
      <c r="AE66" s="277">
        <v>-1</v>
      </c>
      <c r="AF66" s="277">
        <v>-1</v>
      </c>
      <c r="AG66" s="277">
        <v>-1</v>
      </c>
      <c r="AH66" s="277">
        <v>-1</v>
      </c>
      <c r="AI66" s="277">
        <v>-1</v>
      </c>
      <c r="AJ66" s="277">
        <v>-1</v>
      </c>
      <c r="AK66" s="277">
        <v>-1</v>
      </c>
      <c r="AL66" s="277">
        <v>-1</v>
      </c>
      <c r="AM66" s="277">
        <v>-1</v>
      </c>
      <c r="AN66" s="277">
        <v>-1</v>
      </c>
      <c r="AO66" s="277">
        <v>-1</v>
      </c>
      <c r="AP66" s="277">
        <v>-1</v>
      </c>
    </row>
    <row r="67" spans="5:44" x14ac:dyDescent="0.25">
      <c r="F67" t="s">
        <v>233</v>
      </c>
      <c r="G67" t="s">
        <v>226</v>
      </c>
      <c r="J67" s="277">
        <v>1</v>
      </c>
      <c r="K67" s="277">
        <v>1</v>
      </c>
      <c r="L67" s="277">
        <v>1</v>
      </c>
      <c r="M67" s="277">
        <v>1</v>
      </c>
      <c r="N67" s="277">
        <v>1</v>
      </c>
      <c r="O67" s="277">
        <v>1</v>
      </c>
      <c r="P67" s="277">
        <v>1</v>
      </c>
      <c r="Q67" s="277">
        <v>1</v>
      </c>
      <c r="R67" s="277">
        <v>1</v>
      </c>
      <c r="S67" s="277">
        <v>1</v>
      </c>
      <c r="T67" s="277">
        <v>1</v>
      </c>
      <c r="U67" s="277">
        <v>1</v>
      </c>
      <c r="V67" s="277">
        <v>1</v>
      </c>
      <c r="W67" s="277">
        <v>1</v>
      </c>
      <c r="X67" s="277">
        <v>1</v>
      </c>
      <c r="Y67" s="277">
        <v>1</v>
      </c>
      <c r="Z67" s="277">
        <v>1</v>
      </c>
      <c r="AA67" s="277">
        <v>1</v>
      </c>
      <c r="AB67" s="277">
        <v>1</v>
      </c>
      <c r="AC67" s="277">
        <v>-1</v>
      </c>
      <c r="AD67" s="277">
        <v>-1</v>
      </c>
      <c r="AE67" s="277">
        <v>-1</v>
      </c>
      <c r="AF67" s="277">
        <v>-1</v>
      </c>
      <c r="AG67" s="277">
        <v>-1</v>
      </c>
      <c r="AH67" s="277">
        <v>-1</v>
      </c>
      <c r="AI67" s="277">
        <v>-1</v>
      </c>
      <c r="AJ67" s="277">
        <v>-1</v>
      </c>
      <c r="AK67" s="277">
        <v>-1</v>
      </c>
      <c r="AL67" s="277">
        <v>-1</v>
      </c>
      <c r="AM67" s="277">
        <v>-1</v>
      </c>
      <c r="AN67" s="277">
        <v>-1</v>
      </c>
      <c r="AO67" s="277">
        <v>-1</v>
      </c>
      <c r="AP67" s="277">
        <v>-1</v>
      </c>
    </row>
    <row r="68" spans="5:44" x14ac:dyDescent="0.25">
      <c r="F68" t="s">
        <v>234</v>
      </c>
      <c r="G68" t="s">
        <v>226</v>
      </c>
      <c r="J68" s="277">
        <v>1</v>
      </c>
      <c r="K68" s="277">
        <v>1</v>
      </c>
      <c r="L68" s="277">
        <v>1</v>
      </c>
      <c r="M68" s="277">
        <v>1</v>
      </c>
      <c r="N68" s="277">
        <v>1</v>
      </c>
      <c r="O68" s="277">
        <v>1</v>
      </c>
      <c r="P68" s="277">
        <v>1</v>
      </c>
      <c r="Q68" s="277">
        <v>1</v>
      </c>
      <c r="R68" s="277">
        <v>0</v>
      </c>
      <c r="S68" s="277">
        <v>1</v>
      </c>
      <c r="T68" s="277">
        <v>1</v>
      </c>
      <c r="U68" s="277">
        <v>1</v>
      </c>
      <c r="V68" s="277">
        <v>1</v>
      </c>
      <c r="W68" s="277">
        <v>0</v>
      </c>
      <c r="X68" s="277">
        <v>1</v>
      </c>
      <c r="Y68" s="277">
        <v>1</v>
      </c>
      <c r="Z68" s="277">
        <v>1</v>
      </c>
      <c r="AA68" s="277">
        <v>1</v>
      </c>
      <c r="AB68" s="277">
        <v>1</v>
      </c>
      <c r="AC68" s="277">
        <v>-1</v>
      </c>
      <c r="AD68" s="277">
        <v>-1</v>
      </c>
      <c r="AE68" s="277">
        <v>-1</v>
      </c>
      <c r="AF68" s="277">
        <v>-1</v>
      </c>
      <c r="AG68" s="277">
        <v>-1</v>
      </c>
      <c r="AH68" s="277">
        <v>-1</v>
      </c>
      <c r="AI68" s="277">
        <v>-1</v>
      </c>
      <c r="AJ68" s="277">
        <v>-1</v>
      </c>
      <c r="AK68" s="277">
        <v>-1</v>
      </c>
      <c r="AL68" s="277">
        <v>-1</v>
      </c>
      <c r="AM68" s="277">
        <v>0</v>
      </c>
      <c r="AN68" s="277">
        <v>0</v>
      </c>
      <c r="AO68" s="277">
        <v>0</v>
      </c>
      <c r="AP68" s="277">
        <v>0</v>
      </c>
    </row>
    <row r="69" spans="5:44" x14ac:dyDescent="0.25">
      <c r="F69" s="37" t="s">
        <v>235</v>
      </c>
      <c r="G69" s="37" t="s">
        <v>226</v>
      </c>
      <c r="H69" s="37"/>
      <c r="I69" s="37"/>
      <c r="J69" s="282">
        <v>1</v>
      </c>
      <c r="K69" s="282">
        <v>1</v>
      </c>
      <c r="L69" s="282">
        <v>1</v>
      </c>
      <c r="M69" s="282">
        <v>1</v>
      </c>
      <c r="N69" s="282">
        <v>1</v>
      </c>
      <c r="O69" s="282">
        <v>1</v>
      </c>
      <c r="P69" s="282">
        <v>1</v>
      </c>
      <c r="Q69" s="282">
        <v>0</v>
      </c>
      <c r="R69" s="282">
        <v>0</v>
      </c>
      <c r="S69" s="282">
        <v>1</v>
      </c>
      <c r="T69" s="282">
        <v>1</v>
      </c>
      <c r="U69" s="282">
        <v>1</v>
      </c>
      <c r="V69" s="282">
        <v>0</v>
      </c>
      <c r="W69" s="282">
        <v>0</v>
      </c>
      <c r="X69" s="282">
        <v>1</v>
      </c>
      <c r="Y69" s="282">
        <v>1</v>
      </c>
      <c r="Z69" s="282">
        <v>1</v>
      </c>
      <c r="AA69" s="282">
        <v>1</v>
      </c>
      <c r="AB69" s="282">
        <v>1</v>
      </c>
      <c r="AC69" s="282">
        <v>-1</v>
      </c>
      <c r="AD69" s="282">
        <v>0</v>
      </c>
      <c r="AE69" s="282">
        <v>-1</v>
      </c>
      <c r="AF69" s="282">
        <v>-1</v>
      </c>
      <c r="AG69" s="282">
        <v>-1</v>
      </c>
      <c r="AH69" s="282">
        <v>-1</v>
      </c>
      <c r="AI69" s="282">
        <v>0</v>
      </c>
      <c r="AJ69" s="282">
        <v>0</v>
      </c>
      <c r="AK69" s="282">
        <v>0</v>
      </c>
      <c r="AL69" s="282">
        <v>0</v>
      </c>
      <c r="AM69" s="282">
        <v>0</v>
      </c>
      <c r="AN69" s="282">
        <v>0</v>
      </c>
      <c r="AO69" s="282">
        <v>0</v>
      </c>
      <c r="AP69" s="282">
        <v>0</v>
      </c>
    </row>
    <row r="71" spans="5:44" x14ac:dyDescent="0.25">
      <c r="E71" s="32" t="s">
        <v>236</v>
      </c>
      <c r="I71" t="s">
        <v>190</v>
      </c>
      <c r="AR71" s="3" t="s">
        <v>237</v>
      </c>
    </row>
    <row r="72" spans="5:44" x14ac:dyDescent="0.25">
      <c r="E72" s="29" t="s">
        <v>238</v>
      </c>
    </row>
    <row r="73" spans="5:44" x14ac:dyDescent="0.25">
      <c r="E73" s="29"/>
      <c r="F73" s="23" t="s">
        <v>225</v>
      </c>
      <c r="G73" s="23" t="s">
        <v>226</v>
      </c>
      <c r="H73" s="23"/>
      <c r="I73" s="23"/>
      <c r="J73" s="281">
        <v>1</v>
      </c>
      <c r="K73" s="281">
        <v>1</v>
      </c>
      <c r="L73" s="281">
        <v>1</v>
      </c>
      <c r="M73" s="281">
        <v>1</v>
      </c>
      <c r="N73" s="281">
        <v>1</v>
      </c>
      <c r="O73" s="281">
        <v>1</v>
      </c>
      <c r="P73" s="281">
        <v>1</v>
      </c>
      <c r="Q73" s="281">
        <v>1</v>
      </c>
      <c r="R73" s="281">
        <v>1</v>
      </c>
      <c r="S73" s="281">
        <v>1</v>
      </c>
      <c r="T73" s="281">
        <v>1</v>
      </c>
      <c r="U73" s="281">
        <v>1</v>
      </c>
      <c r="V73" s="281">
        <v>1</v>
      </c>
      <c r="W73" s="281">
        <v>1</v>
      </c>
      <c r="X73" s="281">
        <v>1</v>
      </c>
      <c r="Y73" s="281">
        <v>1</v>
      </c>
      <c r="Z73" s="281">
        <v>1</v>
      </c>
      <c r="AA73" s="281">
        <v>1</v>
      </c>
      <c r="AB73" s="281">
        <v>1</v>
      </c>
      <c r="AC73" s="281">
        <v>-1</v>
      </c>
      <c r="AD73" s="281">
        <v>-1</v>
      </c>
      <c r="AE73" s="281">
        <v>-1</v>
      </c>
      <c r="AF73" s="281">
        <v>-1</v>
      </c>
      <c r="AG73" s="281">
        <v>-1</v>
      </c>
      <c r="AH73" s="281">
        <v>-1</v>
      </c>
      <c r="AI73" s="281">
        <v>-1</v>
      </c>
      <c r="AJ73" s="281">
        <v>-1</v>
      </c>
      <c r="AK73" s="281">
        <v>-1</v>
      </c>
      <c r="AL73" s="281">
        <v>-1</v>
      </c>
      <c r="AM73" s="281">
        <v>-1</v>
      </c>
      <c r="AN73" s="281">
        <v>-1</v>
      </c>
      <c r="AO73" s="281">
        <v>-1</v>
      </c>
      <c r="AP73" s="281">
        <v>-1</v>
      </c>
    </row>
    <row r="74" spans="5:44" x14ac:dyDescent="0.25">
      <c r="E74" s="29"/>
      <c r="F74" t="s">
        <v>227</v>
      </c>
      <c r="G74" t="s">
        <v>226</v>
      </c>
      <c r="J74" s="277">
        <v>1</v>
      </c>
      <c r="K74" s="277">
        <v>1</v>
      </c>
      <c r="L74" s="277">
        <v>1</v>
      </c>
      <c r="M74" s="277">
        <v>1</v>
      </c>
      <c r="N74" s="277">
        <v>1</v>
      </c>
      <c r="O74" s="277">
        <v>1</v>
      </c>
      <c r="P74" s="277">
        <v>1</v>
      </c>
      <c r="Q74" s="277">
        <v>1</v>
      </c>
      <c r="R74" s="277">
        <v>1</v>
      </c>
      <c r="S74" s="277">
        <v>1</v>
      </c>
      <c r="T74" s="277">
        <v>1</v>
      </c>
      <c r="U74" s="277">
        <v>1</v>
      </c>
      <c r="V74" s="277">
        <v>1</v>
      </c>
      <c r="W74" s="277">
        <v>1</v>
      </c>
      <c r="X74" s="277">
        <v>1</v>
      </c>
      <c r="Y74" s="277">
        <v>1</v>
      </c>
      <c r="Z74" s="277">
        <v>1</v>
      </c>
      <c r="AA74" s="277">
        <v>1</v>
      </c>
      <c r="AB74" s="277">
        <v>1</v>
      </c>
      <c r="AC74" s="277">
        <v>-1</v>
      </c>
      <c r="AD74" s="277">
        <v>-1</v>
      </c>
      <c r="AE74" s="277">
        <v>-1</v>
      </c>
      <c r="AF74" s="277">
        <v>-1</v>
      </c>
      <c r="AG74" s="277">
        <v>-1</v>
      </c>
      <c r="AH74" s="277">
        <v>-1</v>
      </c>
      <c r="AI74" s="277">
        <v>-1</v>
      </c>
      <c r="AJ74" s="277">
        <v>-1</v>
      </c>
      <c r="AK74" s="277">
        <v>-1</v>
      </c>
      <c r="AL74" s="277">
        <v>-1</v>
      </c>
      <c r="AM74" s="277">
        <v>-1</v>
      </c>
      <c r="AN74" s="277">
        <v>-1</v>
      </c>
      <c r="AO74" s="277">
        <v>-1</v>
      </c>
      <c r="AP74" s="277">
        <v>-1</v>
      </c>
    </row>
    <row r="75" spans="5:44" x14ac:dyDescent="0.25">
      <c r="E75" s="29"/>
      <c r="F75" t="s">
        <v>228</v>
      </c>
      <c r="G75" t="s">
        <v>226</v>
      </c>
      <c r="J75" s="277">
        <v>1</v>
      </c>
      <c r="K75" s="277">
        <v>1</v>
      </c>
      <c r="L75" s="277">
        <v>1</v>
      </c>
      <c r="M75" s="277">
        <v>1</v>
      </c>
      <c r="N75" s="277">
        <v>1</v>
      </c>
      <c r="O75" s="277">
        <v>1</v>
      </c>
      <c r="P75" s="277">
        <v>1</v>
      </c>
      <c r="Q75" s="277">
        <v>1</v>
      </c>
      <c r="R75" s="277">
        <v>1</v>
      </c>
      <c r="S75" s="277">
        <v>1</v>
      </c>
      <c r="T75" s="277">
        <v>1</v>
      </c>
      <c r="U75" s="277">
        <v>1</v>
      </c>
      <c r="V75" s="277">
        <v>1</v>
      </c>
      <c r="W75" s="277">
        <v>1</v>
      </c>
      <c r="X75" s="277">
        <v>1</v>
      </c>
      <c r="Y75" s="277">
        <v>1</v>
      </c>
      <c r="Z75" s="277">
        <v>1</v>
      </c>
      <c r="AA75" s="277">
        <v>1</v>
      </c>
      <c r="AB75" s="277">
        <v>1</v>
      </c>
      <c r="AC75" s="277">
        <v>-1</v>
      </c>
      <c r="AD75" s="277">
        <v>-1</v>
      </c>
      <c r="AE75" s="277">
        <v>-1</v>
      </c>
      <c r="AF75" s="277">
        <v>-1</v>
      </c>
      <c r="AG75" s="277">
        <v>-1</v>
      </c>
      <c r="AH75" s="277">
        <v>-1</v>
      </c>
      <c r="AI75" s="277">
        <v>-1</v>
      </c>
      <c r="AJ75" s="277">
        <v>-1</v>
      </c>
      <c r="AK75" s="277">
        <v>-1</v>
      </c>
      <c r="AL75" s="277">
        <v>-1</v>
      </c>
      <c r="AM75" s="277">
        <v>-1</v>
      </c>
      <c r="AN75" s="277">
        <v>-1</v>
      </c>
      <c r="AO75" s="277">
        <v>-1</v>
      </c>
      <c r="AP75" s="277">
        <v>-1</v>
      </c>
    </row>
    <row r="76" spans="5:44" x14ac:dyDescent="0.25">
      <c r="E76" s="29"/>
      <c r="F76" t="s">
        <v>229</v>
      </c>
      <c r="G76" t="s">
        <v>226</v>
      </c>
      <c r="J76" s="277">
        <v>1</v>
      </c>
      <c r="K76" s="277">
        <v>1</v>
      </c>
      <c r="L76" s="277">
        <v>1</v>
      </c>
      <c r="M76" s="277">
        <v>1</v>
      </c>
      <c r="N76" s="277">
        <v>1</v>
      </c>
      <c r="O76" s="277">
        <v>1</v>
      </c>
      <c r="P76" s="277">
        <v>1</v>
      </c>
      <c r="Q76" s="277">
        <v>1</v>
      </c>
      <c r="R76" s="277">
        <v>1</v>
      </c>
      <c r="S76" s="277">
        <v>1</v>
      </c>
      <c r="T76" s="277">
        <v>1</v>
      </c>
      <c r="U76" s="277">
        <v>1</v>
      </c>
      <c r="V76" s="277">
        <v>1</v>
      </c>
      <c r="W76" s="277">
        <v>1</v>
      </c>
      <c r="X76" s="277">
        <v>1</v>
      </c>
      <c r="Y76" s="277">
        <v>1</v>
      </c>
      <c r="Z76" s="277">
        <v>1</v>
      </c>
      <c r="AA76" s="277">
        <v>1</v>
      </c>
      <c r="AB76" s="277">
        <v>1</v>
      </c>
      <c r="AC76" s="277">
        <v>-1</v>
      </c>
      <c r="AD76" s="277">
        <v>-1</v>
      </c>
      <c r="AE76" s="277">
        <v>-1</v>
      </c>
      <c r="AF76" s="277">
        <v>-1</v>
      </c>
      <c r="AG76" s="277">
        <v>-1</v>
      </c>
      <c r="AH76" s="277">
        <v>-1</v>
      </c>
      <c r="AI76" s="277">
        <v>-1</v>
      </c>
      <c r="AJ76" s="277">
        <v>-1</v>
      </c>
      <c r="AK76" s="277">
        <v>-1</v>
      </c>
      <c r="AL76" s="277">
        <v>-1</v>
      </c>
      <c r="AM76" s="277">
        <v>-1</v>
      </c>
      <c r="AN76" s="277">
        <v>-1</v>
      </c>
      <c r="AO76" s="277">
        <v>-1</v>
      </c>
      <c r="AP76" s="277">
        <v>-1</v>
      </c>
    </row>
    <row r="77" spans="5:44" x14ac:dyDescent="0.25">
      <c r="E77" s="29"/>
      <c r="F77" t="s">
        <v>230</v>
      </c>
      <c r="G77" t="s">
        <v>226</v>
      </c>
      <c r="J77" s="277">
        <v>1</v>
      </c>
      <c r="K77" s="277">
        <v>1</v>
      </c>
      <c r="L77" s="277">
        <v>1</v>
      </c>
      <c r="M77" s="277">
        <v>1</v>
      </c>
      <c r="N77" s="277">
        <v>1</v>
      </c>
      <c r="O77" s="277">
        <v>1</v>
      </c>
      <c r="P77" s="277">
        <v>1</v>
      </c>
      <c r="Q77" s="277">
        <v>1</v>
      </c>
      <c r="R77" s="277">
        <v>1</v>
      </c>
      <c r="S77" s="277">
        <v>1</v>
      </c>
      <c r="T77" s="277">
        <v>1</v>
      </c>
      <c r="U77" s="277">
        <v>1</v>
      </c>
      <c r="V77" s="277">
        <v>1</v>
      </c>
      <c r="W77" s="277">
        <v>1</v>
      </c>
      <c r="X77" s="277">
        <v>1</v>
      </c>
      <c r="Y77" s="277">
        <v>1</v>
      </c>
      <c r="Z77" s="277">
        <v>1</v>
      </c>
      <c r="AA77" s="277">
        <v>1</v>
      </c>
      <c r="AB77" s="277">
        <v>1</v>
      </c>
      <c r="AC77" s="277">
        <v>-1</v>
      </c>
      <c r="AD77" s="277">
        <v>-1</v>
      </c>
      <c r="AE77" s="277">
        <v>-1</v>
      </c>
      <c r="AF77" s="277">
        <v>-1</v>
      </c>
      <c r="AG77" s="277">
        <v>-1</v>
      </c>
      <c r="AH77" s="277">
        <v>-1</v>
      </c>
      <c r="AI77" s="277">
        <v>-1</v>
      </c>
      <c r="AJ77" s="277">
        <v>-1</v>
      </c>
      <c r="AK77" s="277">
        <v>-1</v>
      </c>
      <c r="AL77" s="277">
        <v>-1</v>
      </c>
      <c r="AM77" s="277">
        <v>-1</v>
      </c>
      <c r="AN77" s="277">
        <v>-1</v>
      </c>
      <c r="AO77" s="277">
        <v>-1</v>
      </c>
      <c r="AP77" s="277">
        <v>-1</v>
      </c>
    </row>
    <row r="78" spans="5:44" x14ac:dyDescent="0.25">
      <c r="E78" s="29"/>
      <c r="F78" t="s">
        <v>231</v>
      </c>
      <c r="G78" t="s">
        <v>226</v>
      </c>
      <c r="J78" s="277">
        <v>1</v>
      </c>
      <c r="K78" s="277">
        <v>1</v>
      </c>
      <c r="L78" s="277">
        <v>1</v>
      </c>
      <c r="M78" s="277">
        <v>1</v>
      </c>
      <c r="N78" s="277">
        <v>1</v>
      </c>
      <c r="O78" s="277">
        <v>1</v>
      </c>
      <c r="P78" s="277">
        <v>1</v>
      </c>
      <c r="Q78" s="277">
        <v>1</v>
      </c>
      <c r="R78" s="277">
        <v>1</v>
      </c>
      <c r="S78" s="277">
        <v>1</v>
      </c>
      <c r="T78" s="277">
        <v>1</v>
      </c>
      <c r="U78" s="277">
        <v>1</v>
      </c>
      <c r="V78" s="277">
        <v>1</v>
      </c>
      <c r="W78" s="277">
        <v>1</v>
      </c>
      <c r="X78" s="277">
        <v>1</v>
      </c>
      <c r="Y78" s="277">
        <v>1</v>
      </c>
      <c r="Z78" s="277">
        <v>1</v>
      </c>
      <c r="AA78" s="277">
        <v>1</v>
      </c>
      <c r="AB78" s="277">
        <v>1</v>
      </c>
      <c r="AC78" s="277">
        <v>-1</v>
      </c>
      <c r="AD78" s="277">
        <v>-1</v>
      </c>
      <c r="AE78" s="277">
        <v>-1</v>
      </c>
      <c r="AF78" s="277">
        <v>-1</v>
      </c>
      <c r="AG78" s="277">
        <v>-1</v>
      </c>
      <c r="AH78" s="277">
        <v>-1</v>
      </c>
      <c r="AI78" s="277">
        <v>-1</v>
      </c>
      <c r="AJ78" s="277">
        <v>-1</v>
      </c>
      <c r="AK78" s="277">
        <v>-1</v>
      </c>
      <c r="AL78" s="277">
        <v>-1</v>
      </c>
      <c r="AM78" s="277">
        <v>-1</v>
      </c>
      <c r="AN78" s="277">
        <v>-1</v>
      </c>
      <c r="AO78" s="277">
        <v>-1</v>
      </c>
      <c r="AP78" s="277">
        <v>-1</v>
      </c>
    </row>
    <row r="79" spans="5:44" x14ac:dyDescent="0.25">
      <c r="E79" s="29"/>
      <c r="F79" t="s">
        <v>232</v>
      </c>
      <c r="G79" t="s">
        <v>226</v>
      </c>
      <c r="J79" s="277">
        <v>1</v>
      </c>
      <c r="K79" s="277">
        <v>1</v>
      </c>
      <c r="L79" s="277">
        <v>1</v>
      </c>
      <c r="M79" s="277">
        <v>1</v>
      </c>
      <c r="N79" s="277">
        <v>1</v>
      </c>
      <c r="O79" s="277">
        <v>1</v>
      </c>
      <c r="P79" s="277">
        <v>1</v>
      </c>
      <c r="Q79" s="277">
        <v>1</v>
      </c>
      <c r="R79" s="277">
        <v>1</v>
      </c>
      <c r="S79" s="277">
        <v>1</v>
      </c>
      <c r="T79" s="277">
        <v>1</v>
      </c>
      <c r="U79" s="277">
        <v>1</v>
      </c>
      <c r="V79" s="277">
        <v>1</v>
      </c>
      <c r="W79" s="277">
        <v>1</v>
      </c>
      <c r="X79" s="277">
        <v>1</v>
      </c>
      <c r="Y79" s="277">
        <v>1</v>
      </c>
      <c r="Z79" s="277">
        <v>1</v>
      </c>
      <c r="AA79" s="277">
        <v>1</v>
      </c>
      <c r="AB79" s="277">
        <v>1</v>
      </c>
      <c r="AC79" s="277">
        <v>-1</v>
      </c>
      <c r="AD79" s="277">
        <v>-1</v>
      </c>
      <c r="AE79" s="277">
        <v>-1</v>
      </c>
      <c r="AF79" s="277">
        <v>-1</v>
      </c>
      <c r="AG79" s="277">
        <v>-1</v>
      </c>
      <c r="AH79" s="277">
        <v>-1</v>
      </c>
      <c r="AI79" s="277">
        <v>-1</v>
      </c>
      <c r="AJ79" s="277">
        <v>-1</v>
      </c>
      <c r="AK79" s="277">
        <v>-1</v>
      </c>
      <c r="AL79" s="277">
        <v>-1</v>
      </c>
      <c r="AM79" s="277">
        <v>-1</v>
      </c>
      <c r="AN79" s="277">
        <v>-1</v>
      </c>
      <c r="AO79" s="277">
        <v>-1</v>
      </c>
      <c r="AP79" s="277">
        <v>-1</v>
      </c>
    </row>
    <row r="80" spans="5:44" x14ac:dyDescent="0.25">
      <c r="E80" s="29"/>
      <c r="F80" t="s">
        <v>233</v>
      </c>
      <c r="G80" t="s">
        <v>226</v>
      </c>
      <c r="J80" s="277">
        <v>1</v>
      </c>
      <c r="K80" s="277">
        <v>1</v>
      </c>
      <c r="L80" s="277">
        <v>1</v>
      </c>
      <c r="M80" s="277">
        <v>1</v>
      </c>
      <c r="N80" s="277">
        <v>1</v>
      </c>
      <c r="O80" s="277">
        <v>1</v>
      </c>
      <c r="P80" s="277">
        <v>1</v>
      </c>
      <c r="Q80" s="277">
        <v>1</v>
      </c>
      <c r="R80" s="277">
        <v>1</v>
      </c>
      <c r="S80" s="277">
        <v>1</v>
      </c>
      <c r="T80" s="277">
        <v>1</v>
      </c>
      <c r="U80" s="277">
        <v>1</v>
      </c>
      <c r="V80" s="277">
        <v>1</v>
      </c>
      <c r="W80" s="277">
        <v>1</v>
      </c>
      <c r="X80" s="277">
        <v>1</v>
      </c>
      <c r="Y80" s="277">
        <v>1</v>
      </c>
      <c r="Z80" s="277">
        <v>1</v>
      </c>
      <c r="AA80" s="277">
        <v>1</v>
      </c>
      <c r="AB80" s="277">
        <v>1</v>
      </c>
      <c r="AC80" s="277">
        <v>-1</v>
      </c>
      <c r="AD80" s="277">
        <v>-1</v>
      </c>
      <c r="AE80" s="277">
        <v>-1</v>
      </c>
      <c r="AF80" s="277">
        <v>-1</v>
      </c>
      <c r="AG80" s="277">
        <v>-1</v>
      </c>
      <c r="AH80" s="277">
        <v>-1</v>
      </c>
      <c r="AI80" s="277">
        <v>-1</v>
      </c>
      <c r="AJ80" s="277">
        <v>-1</v>
      </c>
      <c r="AK80" s="277">
        <v>-1</v>
      </c>
      <c r="AL80" s="277">
        <v>-1</v>
      </c>
      <c r="AM80" s="277">
        <v>0</v>
      </c>
      <c r="AN80" s="277">
        <v>0</v>
      </c>
      <c r="AO80" s="277">
        <v>0</v>
      </c>
      <c r="AP80" s="277">
        <v>0</v>
      </c>
    </row>
    <row r="81" spans="3:44" x14ac:dyDescent="0.25">
      <c r="E81" s="29"/>
      <c r="F81" t="s">
        <v>234</v>
      </c>
      <c r="G81" t="s">
        <v>226</v>
      </c>
      <c r="J81" s="277">
        <v>1</v>
      </c>
      <c r="K81" s="277">
        <v>1</v>
      </c>
      <c r="L81" s="277">
        <v>1</v>
      </c>
      <c r="M81" s="277">
        <v>1</v>
      </c>
      <c r="N81" s="277">
        <v>1</v>
      </c>
      <c r="O81" s="277">
        <v>1</v>
      </c>
      <c r="P81" s="277">
        <v>1</v>
      </c>
      <c r="Q81" s="277">
        <v>1</v>
      </c>
      <c r="R81" s="277">
        <v>0</v>
      </c>
      <c r="S81" s="277">
        <v>1</v>
      </c>
      <c r="T81" s="277">
        <v>1</v>
      </c>
      <c r="U81" s="277">
        <v>1</v>
      </c>
      <c r="V81" s="277">
        <v>1</v>
      </c>
      <c r="W81" s="277">
        <v>0</v>
      </c>
      <c r="X81" s="277">
        <v>1</v>
      </c>
      <c r="Y81" s="277">
        <v>1</v>
      </c>
      <c r="Z81" s="277">
        <v>1</v>
      </c>
      <c r="AA81" s="277">
        <v>1</v>
      </c>
      <c r="AB81" s="277">
        <v>1</v>
      </c>
      <c r="AC81" s="277">
        <v>-1</v>
      </c>
      <c r="AD81" s="277">
        <v>0</v>
      </c>
      <c r="AE81" s="277">
        <v>-1</v>
      </c>
      <c r="AF81" s="277">
        <v>-1</v>
      </c>
      <c r="AG81" s="277">
        <v>-1</v>
      </c>
      <c r="AH81" s="277">
        <v>-1</v>
      </c>
      <c r="AI81" s="277">
        <v>0</v>
      </c>
      <c r="AJ81" s="277">
        <v>0</v>
      </c>
      <c r="AK81" s="277">
        <v>0</v>
      </c>
      <c r="AL81" s="277">
        <v>0</v>
      </c>
      <c r="AM81" s="277">
        <v>0</v>
      </c>
      <c r="AN81" s="277">
        <v>0</v>
      </c>
      <c r="AO81" s="277">
        <v>0</v>
      </c>
      <c r="AP81" s="277">
        <v>0</v>
      </c>
    </row>
    <row r="82" spans="3:44" x14ac:dyDescent="0.25">
      <c r="E82" s="29"/>
      <c r="F82" s="37" t="s">
        <v>235</v>
      </c>
      <c r="G82" s="37" t="s">
        <v>226</v>
      </c>
      <c r="H82" s="37"/>
      <c r="I82" s="37"/>
      <c r="J82" s="282">
        <v>1</v>
      </c>
      <c r="K82" s="282">
        <v>1</v>
      </c>
      <c r="L82" s="282">
        <v>1</v>
      </c>
      <c r="M82" s="282">
        <v>1</v>
      </c>
      <c r="N82" s="282">
        <v>1</v>
      </c>
      <c r="O82" s="282">
        <v>1</v>
      </c>
      <c r="P82" s="282">
        <v>1</v>
      </c>
      <c r="Q82" s="282">
        <v>0</v>
      </c>
      <c r="R82" s="282">
        <v>0</v>
      </c>
      <c r="S82" s="282">
        <v>1</v>
      </c>
      <c r="T82" s="282">
        <v>1</v>
      </c>
      <c r="U82" s="282">
        <v>1</v>
      </c>
      <c r="V82" s="282">
        <v>0</v>
      </c>
      <c r="W82" s="282">
        <v>0</v>
      </c>
      <c r="X82" s="282">
        <v>1</v>
      </c>
      <c r="Y82" s="282">
        <v>1</v>
      </c>
      <c r="Z82" s="282">
        <v>1</v>
      </c>
      <c r="AA82" s="282">
        <v>1</v>
      </c>
      <c r="AB82" s="282">
        <v>1</v>
      </c>
      <c r="AC82" s="282">
        <v>0</v>
      </c>
      <c r="AD82" s="282">
        <v>0</v>
      </c>
      <c r="AE82" s="282">
        <v>0</v>
      </c>
      <c r="AF82" s="282">
        <v>0</v>
      </c>
      <c r="AG82" s="282">
        <v>0</v>
      </c>
      <c r="AH82" s="282">
        <v>0</v>
      </c>
      <c r="AI82" s="282">
        <v>0</v>
      </c>
      <c r="AJ82" s="282">
        <v>0</v>
      </c>
      <c r="AK82" s="282">
        <v>0</v>
      </c>
      <c r="AL82" s="282">
        <v>0</v>
      </c>
      <c r="AM82" s="282">
        <v>0</v>
      </c>
      <c r="AN82" s="282">
        <v>0</v>
      </c>
      <c r="AO82" s="282">
        <v>0</v>
      </c>
      <c r="AP82" s="282">
        <v>0</v>
      </c>
    </row>
    <row r="84" spans="3:44" x14ac:dyDescent="0.25">
      <c r="C84" s="31" t="str">
        <f ca="1">INDEX('Version control'!$H$34:$H$56,MATCH($A$1,'Version control'!$F$34:$F$56,0),1)&amp;"-E: Standing charge factors"</f>
        <v>Input 101-E: Standing charge factors</v>
      </c>
      <c r="D84" s="31"/>
      <c r="E84" s="31"/>
      <c r="F84" s="31"/>
      <c r="G84" s="31"/>
      <c r="H84" s="31"/>
      <c r="I84" s="31"/>
      <c r="J84" s="31"/>
      <c r="K84" s="3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row>
    <row r="86" spans="3:44" x14ac:dyDescent="0.25">
      <c r="E86" s="29" t="s">
        <v>238</v>
      </c>
      <c r="F86" s="29"/>
    </row>
    <row r="87" spans="3:44" x14ac:dyDescent="0.25">
      <c r="E87" s="29"/>
      <c r="F87" s="29"/>
    </row>
    <row r="88" spans="3:44" x14ac:dyDescent="0.25">
      <c r="E88" s="32" t="s">
        <v>121</v>
      </c>
      <c r="F88" s="32"/>
      <c r="I88" t="s">
        <v>190</v>
      </c>
      <c r="AR88" t="s">
        <v>239</v>
      </c>
    </row>
    <row r="89" spans="3:44" x14ac:dyDescent="0.25">
      <c r="E89" s="29"/>
      <c r="F89" s="23" t="s">
        <v>225</v>
      </c>
      <c r="G89" s="23" t="s">
        <v>203</v>
      </c>
      <c r="H89" s="23"/>
      <c r="I89" s="23"/>
      <c r="J89" s="65"/>
      <c r="K89" s="65"/>
      <c r="L89" s="65"/>
      <c r="M89" s="65"/>
      <c r="N89" s="65"/>
      <c r="O89" s="65"/>
      <c r="P89" s="65"/>
      <c r="Q89" s="65"/>
      <c r="R89" s="65"/>
      <c r="S89" s="65"/>
      <c r="T89" s="65"/>
      <c r="U89" s="65"/>
      <c r="V89" s="65"/>
      <c r="W89" s="65"/>
      <c r="X89" s="65"/>
      <c r="Y89" s="65"/>
      <c r="Z89" s="65"/>
      <c r="AA89" s="65"/>
      <c r="AB89" s="65"/>
      <c r="AC89" s="65"/>
      <c r="AD89" s="65"/>
      <c r="AE89" s="65"/>
      <c r="AF89" s="65"/>
      <c r="AG89" s="65"/>
      <c r="AH89" s="65"/>
      <c r="AI89" s="65"/>
      <c r="AJ89" s="65"/>
      <c r="AK89" s="65"/>
      <c r="AL89" s="65"/>
      <c r="AM89" s="65"/>
      <c r="AN89" s="65"/>
      <c r="AO89" s="65"/>
      <c r="AP89" s="65"/>
    </row>
    <row r="90" spans="3:44" x14ac:dyDescent="0.25">
      <c r="E90" s="29"/>
      <c r="F90" t="s">
        <v>227</v>
      </c>
      <c r="G90" t="s">
        <v>203</v>
      </c>
      <c r="J90" s="66"/>
      <c r="K90" s="66"/>
      <c r="L90" s="66"/>
      <c r="M90" s="66"/>
      <c r="N90" s="66"/>
      <c r="O90" s="66"/>
      <c r="P90" s="66"/>
      <c r="Q90" s="66"/>
      <c r="R90" s="66"/>
      <c r="S90" s="66"/>
      <c r="T90" s="66"/>
      <c r="U90" s="66"/>
      <c r="V90" s="66"/>
      <c r="W90" s="66"/>
      <c r="X90" s="66"/>
      <c r="Y90" s="66"/>
      <c r="Z90" s="66"/>
      <c r="AA90" s="66"/>
      <c r="AB90" s="66"/>
      <c r="AC90" s="66"/>
      <c r="AD90" s="66"/>
      <c r="AE90" s="66"/>
      <c r="AF90" s="66"/>
      <c r="AG90" s="66"/>
      <c r="AH90" s="66"/>
      <c r="AI90" s="66"/>
      <c r="AJ90" s="66"/>
      <c r="AK90" s="66"/>
      <c r="AL90" s="66"/>
      <c r="AM90" s="66"/>
      <c r="AN90" s="66"/>
      <c r="AO90" s="66"/>
      <c r="AP90" s="66"/>
    </row>
    <row r="91" spans="3:44" x14ac:dyDescent="0.25">
      <c r="E91" s="29"/>
      <c r="F91" t="s">
        <v>228</v>
      </c>
      <c r="G91" t="s">
        <v>203</v>
      </c>
      <c r="J91" s="70"/>
      <c r="K91" s="70"/>
      <c r="L91" s="70"/>
      <c r="M91" s="70"/>
      <c r="N91" s="70"/>
      <c r="O91" s="70"/>
      <c r="P91" s="70"/>
      <c r="Q91" s="70"/>
      <c r="R91" s="70"/>
      <c r="S91" s="70"/>
      <c r="T91" s="70"/>
      <c r="U91" s="70"/>
      <c r="V91" s="70"/>
      <c r="W91" s="70"/>
      <c r="X91" s="70"/>
      <c r="Y91" s="70"/>
      <c r="Z91" s="70"/>
      <c r="AA91" s="70"/>
      <c r="AB91" s="70"/>
      <c r="AC91" s="66"/>
      <c r="AD91" s="66"/>
      <c r="AE91" s="66"/>
      <c r="AF91" s="66"/>
      <c r="AG91" s="66"/>
      <c r="AH91" s="66"/>
      <c r="AI91" s="66"/>
      <c r="AJ91" s="66"/>
      <c r="AK91" s="66"/>
      <c r="AL91" s="66"/>
      <c r="AM91" s="66"/>
      <c r="AN91" s="66"/>
      <c r="AO91" s="66"/>
      <c r="AP91" s="66"/>
    </row>
    <row r="92" spans="3:44" x14ac:dyDescent="0.25">
      <c r="E92" s="29"/>
      <c r="F92" t="s">
        <v>229</v>
      </c>
      <c r="G92" t="s">
        <v>203</v>
      </c>
      <c r="J92" s="70"/>
      <c r="K92" s="70"/>
      <c r="L92" s="70"/>
      <c r="M92" s="70"/>
      <c r="N92" s="70"/>
      <c r="O92" s="70"/>
      <c r="P92" s="70"/>
      <c r="Q92" s="70"/>
      <c r="R92" s="70"/>
      <c r="S92" s="70"/>
      <c r="T92" s="70"/>
      <c r="U92" s="70"/>
      <c r="V92" s="70"/>
      <c r="W92" s="70"/>
      <c r="X92" s="70"/>
      <c r="Y92" s="70"/>
      <c r="Z92" s="70"/>
      <c r="AA92" s="70"/>
      <c r="AB92" s="70"/>
      <c r="AC92" s="66"/>
      <c r="AD92" s="66"/>
      <c r="AE92" s="66"/>
      <c r="AF92" s="66"/>
      <c r="AG92" s="66"/>
      <c r="AH92" s="66"/>
      <c r="AI92" s="66"/>
      <c r="AJ92" s="66"/>
      <c r="AK92" s="66"/>
      <c r="AL92" s="66"/>
      <c r="AM92" s="66"/>
      <c r="AN92" s="66"/>
      <c r="AO92" s="66"/>
      <c r="AP92" s="66"/>
    </row>
    <row r="93" spans="3:44" x14ac:dyDescent="0.25">
      <c r="E93" s="29"/>
      <c r="F93" t="s">
        <v>230</v>
      </c>
      <c r="G93" t="s">
        <v>203</v>
      </c>
      <c r="J93" s="70"/>
      <c r="K93" s="70"/>
      <c r="L93" s="70"/>
      <c r="M93" s="70"/>
      <c r="N93" s="70"/>
      <c r="O93" s="70"/>
      <c r="P93" s="70"/>
      <c r="Q93" s="70"/>
      <c r="R93" s="283">
        <v>0.2</v>
      </c>
      <c r="S93" s="70"/>
      <c r="T93" s="70"/>
      <c r="U93" s="70"/>
      <c r="V93" s="70"/>
      <c r="W93" s="283">
        <v>0.2</v>
      </c>
      <c r="X93" s="70"/>
      <c r="Y93" s="70"/>
      <c r="Z93" s="70"/>
      <c r="AA93" s="70"/>
      <c r="AB93" s="70"/>
      <c r="AC93" s="66"/>
      <c r="AD93" s="66"/>
      <c r="AE93" s="66"/>
      <c r="AF93" s="66"/>
      <c r="AG93" s="66"/>
      <c r="AH93" s="66"/>
      <c r="AI93" s="66"/>
      <c r="AJ93" s="66"/>
      <c r="AK93" s="66"/>
      <c r="AL93" s="66"/>
      <c r="AM93" s="66"/>
      <c r="AN93" s="66"/>
      <c r="AO93" s="66"/>
      <c r="AP93" s="66"/>
    </row>
    <row r="94" spans="3:44" x14ac:dyDescent="0.25">
      <c r="E94" s="29"/>
      <c r="F94" t="s">
        <v>231</v>
      </c>
      <c r="G94" t="s">
        <v>203</v>
      </c>
      <c r="J94" s="70"/>
      <c r="K94" s="70"/>
      <c r="L94" s="70"/>
      <c r="M94" s="70"/>
      <c r="N94" s="70"/>
      <c r="O94" s="70"/>
      <c r="P94" s="70"/>
      <c r="Q94" s="70"/>
      <c r="R94" s="283">
        <v>1</v>
      </c>
      <c r="S94" s="70"/>
      <c r="T94" s="70"/>
      <c r="U94" s="70"/>
      <c r="V94" s="70"/>
      <c r="W94" s="283">
        <v>1</v>
      </c>
      <c r="X94" s="70"/>
      <c r="Y94" s="70"/>
      <c r="Z94" s="70"/>
      <c r="AA94" s="70"/>
      <c r="AB94" s="70"/>
      <c r="AC94" s="66"/>
      <c r="AD94" s="66"/>
      <c r="AE94" s="66"/>
      <c r="AF94" s="66"/>
      <c r="AG94" s="66"/>
      <c r="AH94" s="66"/>
      <c r="AI94" s="66"/>
      <c r="AJ94" s="66"/>
      <c r="AK94" s="66"/>
      <c r="AL94" s="66"/>
      <c r="AM94" s="66"/>
      <c r="AN94" s="66"/>
      <c r="AO94" s="66"/>
      <c r="AP94" s="66"/>
    </row>
    <row r="95" spans="3:44" x14ac:dyDescent="0.25">
      <c r="E95" s="29"/>
      <c r="F95" t="s">
        <v>232</v>
      </c>
      <c r="G95" t="s">
        <v>203</v>
      </c>
      <c r="J95" s="70"/>
      <c r="K95" s="70"/>
      <c r="L95" s="70"/>
      <c r="M95" s="70"/>
      <c r="N95" s="70"/>
      <c r="O95" s="70"/>
      <c r="P95" s="70"/>
      <c r="Q95" s="70"/>
      <c r="R95" s="70"/>
      <c r="S95" s="70"/>
      <c r="T95" s="70"/>
      <c r="U95" s="70"/>
      <c r="V95" s="70"/>
      <c r="W95" s="70"/>
      <c r="X95" s="70"/>
      <c r="Y95" s="70"/>
      <c r="Z95" s="70"/>
      <c r="AA95" s="70"/>
      <c r="AB95" s="70"/>
      <c r="AC95" s="66"/>
      <c r="AD95" s="66"/>
      <c r="AE95" s="66"/>
      <c r="AF95" s="66"/>
      <c r="AG95" s="66"/>
      <c r="AH95" s="66"/>
      <c r="AI95" s="66"/>
      <c r="AJ95" s="66"/>
      <c r="AK95" s="66"/>
      <c r="AL95" s="66"/>
      <c r="AM95" s="66"/>
      <c r="AN95" s="66"/>
      <c r="AO95" s="66"/>
      <c r="AP95" s="66"/>
    </row>
    <row r="96" spans="3:44" x14ac:dyDescent="0.25">
      <c r="E96" s="29"/>
      <c r="F96" t="s">
        <v>233</v>
      </c>
      <c r="G96" t="s">
        <v>203</v>
      </c>
      <c r="J96" s="70"/>
      <c r="K96" s="70"/>
      <c r="L96" s="70"/>
      <c r="M96" s="70"/>
      <c r="N96" s="70"/>
      <c r="O96" s="70"/>
      <c r="P96" s="70"/>
      <c r="Q96" s="70"/>
      <c r="R96" s="283">
        <v>1</v>
      </c>
      <c r="S96" s="70"/>
      <c r="T96" s="70"/>
      <c r="U96" s="283">
        <v>0.2</v>
      </c>
      <c r="V96" s="283">
        <v>1</v>
      </c>
      <c r="W96" s="283">
        <v>1</v>
      </c>
      <c r="X96" s="70"/>
      <c r="Y96" s="70"/>
      <c r="Z96" s="70"/>
      <c r="AA96" s="70"/>
      <c r="AB96" s="70"/>
      <c r="AC96" s="66"/>
      <c r="AD96" s="66"/>
      <c r="AE96" s="66"/>
      <c r="AF96" s="66"/>
      <c r="AG96" s="66"/>
      <c r="AH96" s="66"/>
      <c r="AI96" s="66"/>
      <c r="AJ96" s="66"/>
      <c r="AK96" s="66"/>
      <c r="AL96" s="66"/>
      <c r="AM96" s="66"/>
      <c r="AN96" s="66"/>
      <c r="AO96" s="66"/>
      <c r="AP96" s="66"/>
    </row>
    <row r="97" spans="3:44" x14ac:dyDescent="0.25">
      <c r="E97" s="29"/>
      <c r="F97" t="s">
        <v>234</v>
      </c>
      <c r="G97" t="s">
        <v>203</v>
      </c>
      <c r="J97" s="70"/>
      <c r="K97" s="70"/>
      <c r="L97" s="70"/>
      <c r="M97" s="70"/>
      <c r="N97" s="70"/>
      <c r="O97" s="70"/>
      <c r="P97" s="70"/>
      <c r="Q97" s="283">
        <v>1</v>
      </c>
      <c r="R97" s="70"/>
      <c r="S97" s="70"/>
      <c r="T97" s="70"/>
      <c r="U97" s="283">
        <v>1</v>
      </c>
      <c r="V97" s="283">
        <v>1</v>
      </c>
      <c r="W97" s="70"/>
      <c r="X97" s="70"/>
      <c r="Y97" s="70"/>
      <c r="Z97" s="70"/>
      <c r="AA97" s="70"/>
      <c r="AB97" s="70"/>
      <c r="AC97" s="66"/>
      <c r="AD97" s="66"/>
      <c r="AE97" s="66"/>
      <c r="AF97" s="66"/>
      <c r="AG97" s="66"/>
      <c r="AH97" s="66"/>
      <c r="AI97" s="66"/>
      <c r="AJ97" s="66"/>
      <c r="AK97" s="66"/>
      <c r="AL97" s="66"/>
      <c r="AM97" s="66"/>
      <c r="AN97" s="66"/>
      <c r="AO97" s="66"/>
      <c r="AP97" s="66"/>
    </row>
    <row r="98" spans="3:44" x14ac:dyDescent="0.25">
      <c r="E98" s="29"/>
      <c r="F98" s="37" t="s">
        <v>235</v>
      </c>
      <c r="G98" s="37" t="s">
        <v>203</v>
      </c>
      <c r="H98" s="37"/>
      <c r="I98" s="37"/>
      <c r="J98" s="284">
        <v>1</v>
      </c>
      <c r="K98" s="284">
        <v>1</v>
      </c>
      <c r="L98" s="284">
        <v>1</v>
      </c>
      <c r="M98" s="284">
        <v>1</v>
      </c>
      <c r="N98" s="284">
        <v>1</v>
      </c>
      <c r="O98" s="284">
        <v>1</v>
      </c>
      <c r="P98" s="284">
        <v>1</v>
      </c>
      <c r="Q98" s="71"/>
      <c r="R98" s="71"/>
      <c r="S98" s="284">
        <v>1</v>
      </c>
      <c r="T98" s="284">
        <v>1</v>
      </c>
      <c r="U98" s="284">
        <v>1</v>
      </c>
      <c r="V98" s="71"/>
      <c r="W98" s="71"/>
      <c r="X98" s="284">
        <v>0</v>
      </c>
      <c r="Y98" s="284">
        <v>0</v>
      </c>
      <c r="Z98" s="284">
        <v>0</v>
      </c>
      <c r="AA98" s="284">
        <v>0</v>
      </c>
      <c r="AB98" s="284">
        <v>0</v>
      </c>
      <c r="AC98" s="68"/>
      <c r="AD98" s="68"/>
      <c r="AE98" s="68"/>
      <c r="AF98" s="68"/>
      <c r="AG98" s="68"/>
      <c r="AH98" s="68"/>
      <c r="AI98" s="68"/>
      <c r="AJ98" s="68"/>
      <c r="AK98" s="68"/>
      <c r="AL98" s="68"/>
      <c r="AM98" s="68"/>
      <c r="AN98" s="68"/>
      <c r="AO98" s="68"/>
      <c r="AP98" s="68"/>
    </row>
    <row r="100" spans="3:44" x14ac:dyDescent="0.25">
      <c r="C100" s="31" t="str">
        <f ca="1">INDEX('Version control'!$H$34:$H$56,MATCH($A$1,'Version control'!$F$34:$F$56,0),1)&amp;"-F: Flags"</f>
        <v>Input 101-F: Flags</v>
      </c>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row>
    <row r="102" spans="3:44" x14ac:dyDescent="0.25">
      <c r="D102" s="32" t="s">
        <v>240</v>
      </c>
      <c r="E102" s="32"/>
    </row>
    <row r="103" spans="3:44" x14ac:dyDescent="0.25">
      <c r="D103" s="29" t="s">
        <v>241</v>
      </c>
      <c r="E103" s="29"/>
    </row>
    <row r="104" spans="3:44" x14ac:dyDescent="0.25">
      <c r="D104" s="29" t="s">
        <v>242</v>
      </c>
      <c r="E104" s="29"/>
    </row>
    <row r="105" spans="3:44" x14ac:dyDescent="0.25">
      <c r="D105" s="29"/>
      <c r="E105" s="32" t="s">
        <v>243</v>
      </c>
    </row>
    <row r="106" spans="3:44" x14ac:dyDescent="0.25">
      <c r="D106" s="29"/>
      <c r="F106" s="28" t="s">
        <v>244</v>
      </c>
      <c r="G106" t="s">
        <v>245</v>
      </c>
      <c r="I106" t="s">
        <v>190</v>
      </c>
      <c r="J106" s="285" t="b">
        <v>0</v>
      </c>
      <c r="K106" s="285" t="b">
        <v>0</v>
      </c>
      <c r="L106" s="285" t="b">
        <v>0</v>
      </c>
      <c r="M106" s="285" t="b">
        <v>0</v>
      </c>
      <c r="N106" s="285" t="b">
        <v>0</v>
      </c>
      <c r="O106" s="285" t="b">
        <v>0</v>
      </c>
      <c r="P106" s="285" t="b">
        <v>0</v>
      </c>
      <c r="Q106" s="285" t="b">
        <v>0</v>
      </c>
      <c r="R106" s="285" t="b">
        <v>0</v>
      </c>
      <c r="S106" s="285" t="b">
        <v>0</v>
      </c>
      <c r="T106" s="285" t="b">
        <v>0</v>
      </c>
      <c r="U106" s="285" t="b">
        <v>0</v>
      </c>
      <c r="V106" s="285" t="b">
        <v>0</v>
      </c>
      <c r="W106" s="285" t="b">
        <v>0</v>
      </c>
      <c r="X106" s="285" t="b">
        <v>0</v>
      </c>
      <c r="Y106" s="285" t="b">
        <v>0</v>
      </c>
      <c r="Z106" s="285" t="b">
        <v>0</v>
      </c>
      <c r="AA106" s="285" t="b">
        <v>0</v>
      </c>
      <c r="AB106" s="285" t="b">
        <v>0</v>
      </c>
      <c r="AC106" s="285" t="b">
        <v>1</v>
      </c>
      <c r="AD106" s="285" t="b">
        <v>1</v>
      </c>
      <c r="AE106" s="285" t="b">
        <v>1</v>
      </c>
      <c r="AF106" s="285" t="b">
        <v>1</v>
      </c>
      <c r="AG106" s="285" t="b">
        <v>1</v>
      </c>
      <c r="AH106" s="285" t="b">
        <v>1</v>
      </c>
      <c r="AI106" s="285" t="b">
        <v>1</v>
      </c>
      <c r="AJ106" s="285" t="b">
        <v>1</v>
      </c>
      <c r="AK106" s="285" t="b">
        <v>1</v>
      </c>
      <c r="AL106" s="285" t="b">
        <v>1</v>
      </c>
      <c r="AM106" s="285" t="b">
        <v>1</v>
      </c>
      <c r="AN106" s="285" t="b">
        <v>1</v>
      </c>
      <c r="AO106" s="285" t="b">
        <v>1</v>
      </c>
      <c r="AP106" s="285" t="b">
        <v>1</v>
      </c>
      <c r="AR106" t="s">
        <v>246</v>
      </c>
    </row>
    <row r="107" spans="3:44" x14ac:dyDescent="0.25">
      <c r="D107" s="29"/>
      <c r="E107" s="28"/>
      <c r="F107" s="28" t="s">
        <v>247</v>
      </c>
      <c r="G107" t="s">
        <v>203</v>
      </c>
      <c r="J107" s="70"/>
      <c r="K107" s="70"/>
      <c r="L107" s="70"/>
      <c r="M107" s="70"/>
      <c r="N107" s="70"/>
      <c r="O107" s="70"/>
      <c r="P107" s="70"/>
      <c r="Q107" s="70"/>
      <c r="R107" s="70"/>
      <c r="S107" s="70"/>
      <c r="T107" s="70"/>
      <c r="U107" s="70"/>
      <c r="V107" s="70"/>
      <c r="W107" s="70"/>
      <c r="X107" s="70"/>
      <c r="Y107" s="70"/>
      <c r="Z107" s="70"/>
      <c r="AA107" s="70"/>
      <c r="AB107" s="70"/>
      <c r="AC107" s="286">
        <v>0</v>
      </c>
      <c r="AD107" s="286">
        <v>0</v>
      </c>
      <c r="AE107" s="286">
        <v>0</v>
      </c>
      <c r="AF107" s="286">
        <v>0</v>
      </c>
      <c r="AG107" s="286">
        <v>0</v>
      </c>
      <c r="AH107" s="286">
        <v>0</v>
      </c>
      <c r="AI107" s="286">
        <v>0</v>
      </c>
      <c r="AJ107" s="286">
        <v>0</v>
      </c>
      <c r="AK107" s="286">
        <v>0</v>
      </c>
      <c r="AL107" s="286">
        <v>0</v>
      </c>
      <c r="AM107" s="286">
        <v>0</v>
      </c>
      <c r="AN107" s="286">
        <v>0</v>
      </c>
      <c r="AO107" s="286">
        <v>0</v>
      </c>
      <c r="AP107" s="286">
        <v>0</v>
      </c>
    </row>
    <row r="108" spans="3:44" x14ac:dyDescent="0.25">
      <c r="D108" s="29"/>
      <c r="E108" s="28"/>
      <c r="F108" s="28"/>
      <c r="J108" s="14"/>
      <c r="K108" s="14"/>
      <c r="L108" s="14"/>
      <c r="M108" s="14"/>
      <c r="N108" s="14"/>
      <c r="O108" s="14"/>
      <c r="P108" s="14"/>
      <c r="Q108" s="14"/>
      <c r="R108" s="14"/>
      <c r="S108" s="14"/>
      <c r="T108" s="14"/>
      <c r="U108" s="14"/>
      <c r="V108" s="14"/>
      <c r="W108" s="14"/>
      <c r="X108" s="14"/>
      <c r="Y108" s="14"/>
      <c r="Z108" s="14"/>
      <c r="AA108" s="14"/>
      <c r="AB108" s="14"/>
      <c r="AC108" s="14"/>
      <c r="AD108" s="14"/>
      <c r="AE108" s="14"/>
      <c r="AF108" s="14"/>
      <c r="AG108" s="14"/>
      <c r="AH108" s="14"/>
      <c r="AI108" s="14"/>
      <c r="AJ108" s="14"/>
      <c r="AK108" s="14"/>
      <c r="AL108" s="14"/>
      <c r="AM108" s="14"/>
      <c r="AN108" s="14"/>
      <c r="AO108" s="14"/>
      <c r="AP108" s="14"/>
    </row>
    <row r="109" spans="3:44" x14ac:dyDescent="0.25">
      <c r="D109" s="29"/>
      <c r="E109" s="32" t="s">
        <v>248</v>
      </c>
      <c r="F109" s="28"/>
      <c r="J109" s="14"/>
      <c r="K109" s="14"/>
      <c r="L109" s="14"/>
      <c r="M109" s="14"/>
      <c r="N109" s="14"/>
      <c r="O109" s="14"/>
      <c r="P109" s="14"/>
      <c r="Q109" s="14"/>
      <c r="R109" s="14"/>
      <c r="S109" s="14"/>
      <c r="T109" s="14"/>
      <c r="U109" s="14"/>
      <c r="V109" s="14"/>
      <c r="W109" s="14"/>
      <c r="X109" s="14"/>
      <c r="Y109" s="14"/>
      <c r="Z109" s="14"/>
      <c r="AA109" s="14"/>
      <c r="AB109" s="14"/>
      <c r="AC109" s="14"/>
      <c r="AD109" s="14"/>
      <c r="AE109" s="14"/>
      <c r="AF109" s="14"/>
      <c r="AG109" s="14"/>
      <c r="AH109" s="14"/>
      <c r="AI109" s="14"/>
      <c r="AJ109" s="14"/>
      <c r="AK109" s="14"/>
      <c r="AL109" s="14"/>
      <c r="AM109" s="14"/>
      <c r="AN109" s="14"/>
      <c r="AO109" s="14"/>
      <c r="AP109" s="14"/>
    </row>
    <row r="110" spans="3:44" x14ac:dyDescent="0.25">
      <c r="D110" s="29"/>
      <c r="F110" s="28" t="s">
        <v>244</v>
      </c>
      <c r="G110" t="s">
        <v>245</v>
      </c>
      <c r="J110" s="285" t="b">
        <v>0</v>
      </c>
      <c r="K110" s="285" t="b">
        <v>0</v>
      </c>
      <c r="L110" s="285" t="b">
        <v>0</v>
      </c>
      <c r="M110" s="285" t="b">
        <v>0</v>
      </c>
      <c r="N110" s="285" t="b">
        <v>0</v>
      </c>
      <c r="O110" s="285" t="b">
        <v>0</v>
      </c>
      <c r="P110" s="285" t="b">
        <v>0</v>
      </c>
      <c r="Q110" s="285" t="b">
        <v>0</v>
      </c>
      <c r="R110" s="285" t="b">
        <v>0</v>
      </c>
      <c r="S110" s="285" t="b">
        <v>0</v>
      </c>
      <c r="T110" s="285" t="b">
        <v>0</v>
      </c>
      <c r="U110" s="285" t="b">
        <v>0</v>
      </c>
      <c r="V110" s="285" t="b">
        <v>0</v>
      </c>
      <c r="W110" s="285" t="b">
        <v>0</v>
      </c>
      <c r="X110" s="285" t="b">
        <v>0</v>
      </c>
      <c r="Y110" s="285" t="b">
        <v>0</v>
      </c>
      <c r="Z110" s="285" t="b">
        <v>0</v>
      </c>
      <c r="AA110" s="285" t="b">
        <v>0</v>
      </c>
      <c r="AB110" s="285" t="b">
        <v>0</v>
      </c>
      <c r="AC110" s="285" t="b">
        <v>1</v>
      </c>
      <c r="AD110" s="285" t="b">
        <v>1</v>
      </c>
      <c r="AE110" s="285" t="b">
        <v>1</v>
      </c>
      <c r="AF110" s="285" t="b">
        <v>1</v>
      </c>
      <c r="AG110" s="285" t="b">
        <v>1</v>
      </c>
      <c r="AH110" s="285" t="b">
        <v>1</v>
      </c>
      <c r="AI110" s="285" t="b">
        <v>1</v>
      </c>
      <c r="AJ110" s="285" t="b">
        <v>1</v>
      </c>
      <c r="AK110" s="285" t="b">
        <v>1</v>
      </c>
      <c r="AL110" s="285" t="b">
        <v>1</v>
      </c>
      <c r="AM110" s="285" t="b">
        <v>1</v>
      </c>
      <c r="AN110" s="285" t="b">
        <v>1</v>
      </c>
      <c r="AO110" s="285" t="b">
        <v>1</v>
      </c>
      <c r="AP110" s="285" t="b">
        <v>1</v>
      </c>
    </row>
    <row r="111" spans="3:44" x14ac:dyDescent="0.25">
      <c r="D111" s="29"/>
      <c r="E111" s="28"/>
      <c r="F111" s="28" t="s">
        <v>247</v>
      </c>
      <c r="G111" t="s">
        <v>203</v>
      </c>
      <c r="J111" s="70"/>
      <c r="K111" s="70"/>
      <c r="L111" s="70"/>
      <c r="M111" s="70"/>
      <c r="N111" s="70"/>
      <c r="O111" s="70"/>
      <c r="P111" s="70"/>
      <c r="Q111" s="70"/>
      <c r="R111" s="70"/>
      <c r="S111" s="70"/>
      <c r="T111" s="70"/>
      <c r="U111" s="70"/>
      <c r="V111" s="70"/>
      <c r="W111" s="70"/>
      <c r="X111" s="70"/>
      <c r="Y111" s="70"/>
      <c r="Z111" s="70"/>
      <c r="AA111" s="70"/>
      <c r="AB111" s="70"/>
      <c r="AC111" s="286">
        <v>1</v>
      </c>
      <c r="AD111" s="286">
        <v>1</v>
      </c>
      <c r="AE111" s="286">
        <v>1</v>
      </c>
      <c r="AF111" s="286">
        <v>1</v>
      </c>
      <c r="AG111" s="286">
        <v>1</v>
      </c>
      <c r="AH111" s="286">
        <v>1</v>
      </c>
      <c r="AI111" s="286">
        <v>1</v>
      </c>
      <c r="AJ111" s="286">
        <v>1</v>
      </c>
      <c r="AK111" s="286">
        <v>1</v>
      </c>
      <c r="AL111" s="286">
        <v>1</v>
      </c>
      <c r="AM111" s="286">
        <v>1</v>
      </c>
      <c r="AN111" s="286">
        <v>1</v>
      </c>
      <c r="AO111" s="286">
        <v>1</v>
      </c>
      <c r="AP111" s="286">
        <v>1</v>
      </c>
    </row>
    <row r="112" spans="3:44" x14ac:dyDescent="0.25">
      <c r="D112" s="29"/>
      <c r="E112" s="28"/>
      <c r="F112" s="28"/>
      <c r="J112" s="14"/>
      <c r="K112" s="14"/>
      <c r="L112" s="14"/>
      <c r="M112" s="14"/>
      <c r="N112" s="14"/>
      <c r="O112" s="14"/>
      <c r="P112" s="14"/>
      <c r="Q112" s="14"/>
      <c r="R112" s="14"/>
      <c r="S112" s="14"/>
      <c r="T112" s="14"/>
      <c r="U112" s="14"/>
      <c r="V112" s="14"/>
      <c r="W112" s="14"/>
      <c r="X112" s="14"/>
      <c r="Y112" s="14"/>
      <c r="Z112" s="14"/>
      <c r="AA112" s="14"/>
      <c r="AB112" s="14"/>
      <c r="AC112" s="14"/>
      <c r="AD112" s="14"/>
      <c r="AE112" s="14"/>
      <c r="AF112" s="14"/>
      <c r="AG112" s="14"/>
      <c r="AH112" s="14"/>
      <c r="AI112" s="14"/>
      <c r="AJ112" s="14"/>
      <c r="AK112" s="14"/>
      <c r="AL112" s="14"/>
      <c r="AM112" s="14"/>
      <c r="AN112" s="14"/>
      <c r="AO112" s="14"/>
      <c r="AP112" s="14"/>
    </row>
    <row r="113" spans="4:42" x14ac:dyDescent="0.25">
      <c r="D113" s="29"/>
      <c r="E113" s="32" t="s">
        <v>249</v>
      </c>
      <c r="F113" s="28"/>
      <c r="J113" s="14"/>
      <c r="K113" s="14"/>
      <c r="L113" s="14"/>
      <c r="M113" s="14"/>
      <c r="N113" s="14"/>
      <c r="O113" s="14"/>
      <c r="P113" s="14"/>
      <c r="Q113" s="14"/>
      <c r="R113" s="14"/>
      <c r="S113" s="14"/>
      <c r="T113" s="14"/>
      <c r="U113" s="14"/>
      <c r="V113" s="14"/>
      <c r="W113" s="14"/>
      <c r="X113" s="14"/>
      <c r="Y113" s="14"/>
      <c r="Z113" s="14"/>
      <c r="AA113" s="14"/>
      <c r="AB113" s="14"/>
      <c r="AC113" s="14"/>
      <c r="AD113" s="14"/>
      <c r="AE113" s="14"/>
      <c r="AF113" s="14"/>
      <c r="AG113" s="14"/>
      <c r="AH113" s="14"/>
      <c r="AI113" s="14"/>
      <c r="AJ113" s="14"/>
      <c r="AK113" s="14"/>
      <c r="AL113" s="14"/>
      <c r="AM113" s="14"/>
      <c r="AN113" s="14"/>
      <c r="AO113" s="14"/>
      <c r="AP113" s="14"/>
    </row>
    <row r="114" spans="4:42" x14ac:dyDescent="0.25">
      <c r="D114" s="29"/>
      <c r="F114" s="28" t="s">
        <v>244</v>
      </c>
      <c r="G114" t="s">
        <v>245</v>
      </c>
      <c r="J114" s="285" t="b">
        <v>0</v>
      </c>
      <c r="K114" s="285" t="b">
        <v>0</v>
      </c>
      <c r="L114" s="285" t="b">
        <v>0</v>
      </c>
      <c r="M114" s="285" t="b">
        <v>0</v>
      </c>
      <c r="N114" s="285" t="b">
        <v>0</v>
      </c>
      <c r="O114" s="285" t="b">
        <v>0</v>
      </c>
      <c r="P114" s="285" t="b">
        <v>0</v>
      </c>
      <c r="Q114" s="285" t="b">
        <v>0</v>
      </c>
      <c r="R114" s="285" t="b">
        <v>0</v>
      </c>
      <c r="S114" s="285" t="b">
        <v>0</v>
      </c>
      <c r="T114" s="285" t="b">
        <v>0</v>
      </c>
      <c r="U114" s="285" t="b">
        <v>0</v>
      </c>
      <c r="V114" s="285" t="b">
        <v>0</v>
      </c>
      <c r="W114" s="285" t="b">
        <v>0</v>
      </c>
      <c r="X114" s="285" t="b">
        <v>0</v>
      </c>
      <c r="Y114" s="285" t="b">
        <v>0</v>
      </c>
      <c r="Z114" s="285" t="b">
        <v>0</v>
      </c>
      <c r="AA114" s="285" t="b">
        <v>0</v>
      </c>
      <c r="AB114" s="285" t="b">
        <v>0</v>
      </c>
      <c r="AC114" s="285" t="b">
        <v>1</v>
      </c>
      <c r="AD114" s="285" t="b">
        <v>1</v>
      </c>
      <c r="AE114" s="285" t="b">
        <v>1</v>
      </c>
      <c r="AF114" s="285" t="b">
        <v>1</v>
      </c>
      <c r="AG114" s="285" t="b">
        <v>1</v>
      </c>
      <c r="AH114" s="285" t="b">
        <v>1</v>
      </c>
      <c r="AI114" s="285" t="b">
        <v>1</v>
      </c>
      <c r="AJ114" s="285" t="b">
        <v>1</v>
      </c>
      <c r="AK114" s="285" t="b">
        <v>1</v>
      </c>
      <c r="AL114" s="285" t="b">
        <v>1</v>
      </c>
      <c r="AM114" s="285" t="b">
        <v>1</v>
      </c>
      <c r="AN114" s="285" t="b">
        <v>1</v>
      </c>
      <c r="AO114" s="285" t="b">
        <v>1</v>
      </c>
      <c r="AP114" s="285" t="b">
        <v>1</v>
      </c>
    </row>
    <row r="115" spans="4:42" x14ac:dyDescent="0.25">
      <c r="D115" s="29"/>
      <c r="E115" s="28"/>
      <c r="F115" s="28" t="s">
        <v>247</v>
      </c>
      <c r="G115" t="s">
        <v>203</v>
      </c>
      <c r="J115" s="70"/>
      <c r="K115" s="70"/>
      <c r="L115" s="70"/>
      <c r="M115" s="70"/>
      <c r="N115" s="70"/>
      <c r="O115" s="70"/>
      <c r="P115" s="70"/>
      <c r="Q115" s="70"/>
      <c r="R115" s="70"/>
      <c r="S115" s="70"/>
      <c r="T115" s="70"/>
      <c r="U115" s="70"/>
      <c r="V115" s="70"/>
      <c r="W115" s="70"/>
      <c r="X115" s="70"/>
      <c r="Y115" s="70"/>
      <c r="Z115" s="70"/>
      <c r="AA115" s="70"/>
      <c r="AB115" s="70"/>
      <c r="AC115" s="286">
        <v>0</v>
      </c>
      <c r="AD115" s="286">
        <v>0</v>
      </c>
      <c r="AE115" s="286">
        <v>0</v>
      </c>
      <c r="AF115" s="286">
        <v>0</v>
      </c>
      <c r="AG115" s="286">
        <v>0</v>
      </c>
      <c r="AH115" s="286">
        <v>0</v>
      </c>
      <c r="AI115" s="286">
        <v>0</v>
      </c>
      <c r="AJ115" s="286">
        <v>0</v>
      </c>
      <c r="AK115" s="286">
        <v>0</v>
      </c>
      <c r="AL115" s="286">
        <v>0</v>
      </c>
      <c r="AM115" s="286">
        <v>0</v>
      </c>
      <c r="AN115" s="286">
        <v>0</v>
      </c>
      <c r="AO115" s="286">
        <v>0</v>
      </c>
      <c r="AP115" s="286">
        <v>0</v>
      </c>
    </row>
    <row r="116" spans="4:42" x14ac:dyDescent="0.25">
      <c r="D116" s="29"/>
      <c r="E116" s="28"/>
      <c r="F116" s="28"/>
      <c r="J116" s="14"/>
      <c r="K116" s="14"/>
      <c r="L116" s="14"/>
      <c r="M116" s="14"/>
      <c r="N116" s="14"/>
      <c r="O116" s="14"/>
      <c r="P116" s="14"/>
      <c r="Q116" s="14"/>
      <c r="R116" s="14"/>
      <c r="S116" s="14"/>
      <c r="T116" s="14"/>
      <c r="U116" s="14"/>
      <c r="V116" s="14"/>
      <c r="W116" s="14"/>
      <c r="X116" s="14"/>
      <c r="Y116" s="14"/>
      <c r="Z116" s="14"/>
      <c r="AA116" s="14"/>
      <c r="AB116" s="14"/>
      <c r="AC116" s="14"/>
      <c r="AD116" s="14"/>
      <c r="AE116" s="14"/>
      <c r="AF116" s="14"/>
      <c r="AG116" s="14"/>
      <c r="AH116" s="14"/>
      <c r="AI116" s="14"/>
      <c r="AJ116" s="14"/>
      <c r="AK116" s="14"/>
      <c r="AL116" s="14"/>
      <c r="AM116" s="14"/>
      <c r="AN116" s="14"/>
      <c r="AO116" s="14"/>
      <c r="AP116" s="14"/>
    </row>
    <row r="117" spans="4:42" x14ac:dyDescent="0.25">
      <c r="D117" s="29"/>
      <c r="E117" s="32" t="s">
        <v>250</v>
      </c>
      <c r="F117" s="28"/>
      <c r="J117" s="14"/>
      <c r="K117" s="14"/>
      <c r="L117" s="14"/>
      <c r="M117" s="14"/>
      <c r="N117" s="14"/>
      <c r="O117" s="14"/>
      <c r="P117" s="14"/>
      <c r="Q117" s="14"/>
      <c r="R117" s="14"/>
      <c r="S117" s="14"/>
      <c r="T117" s="14"/>
      <c r="U117" s="14"/>
      <c r="V117" s="14"/>
      <c r="W117" s="14"/>
      <c r="X117" s="14"/>
      <c r="Y117" s="14"/>
      <c r="Z117" s="14"/>
      <c r="AA117" s="14"/>
      <c r="AB117" s="14"/>
      <c r="AC117" s="14"/>
      <c r="AD117" s="14"/>
      <c r="AE117" s="14"/>
      <c r="AF117" s="14"/>
      <c r="AG117" s="14"/>
      <c r="AH117" s="14"/>
      <c r="AI117" s="14"/>
      <c r="AJ117" s="14"/>
      <c r="AK117" s="14"/>
      <c r="AL117" s="14"/>
      <c r="AM117" s="14"/>
      <c r="AN117" s="14"/>
      <c r="AO117" s="14"/>
      <c r="AP117" s="14"/>
    </row>
    <row r="118" spans="4:42" x14ac:dyDescent="0.25">
      <c r="D118" s="29"/>
      <c r="F118" s="28" t="s">
        <v>244</v>
      </c>
      <c r="G118" t="s">
        <v>245</v>
      </c>
      <c r="J118" s="285" t="b">
        <v>0</v>
      </c>
      <c r="K118" s="285" t="b">
        <v>0</v>
      </c>
      <c r="L118" s="285" t="b">
        <v>0</v>
      </c>
      <c r="M118" s="285" t="b">
        <v>0</v>
      </c>
      <c r="N118" s="285" t="b">
        <v>0</v>
      </c>
      <c r="O118" s="285" t="b">
        <v>0</v>
      </c>
      <c r="P118" s="285" t="b">
        <v>0</v>
      </c>
      <c r="Q118" s="285" t="b">
        <v>0</v>
      </c>
      <c r="R118" s="285" t="b">
        <v>0</v>
      </c>
      <c r="S118" s="285" t="b">
        <v>0</v>
      </c>
      <c r="T118" s="285" t="b">
        <v>0</v>
      </c>
      <c r="U118" s="285" t="b">
        <v>0</v>
      </c>
      <c r="V118" s="285" t="b">
        <v>0</v>
      </c>
      <c r="W118" s="285" t="b">
        <v>0</v>
      </c>
      <c r="X118" s="285" t="b">
        <v>0</v>
      </c>
      <c r="Y118" s="285" t="b">
        <v>0</v>
      </c>
      <c r="Z118" s="285" t="b">
        <v>0</v>
      </c>
      <c r="AA118" s="285" t="b">
        <v>0</v>
      </c>
      <c r="AB118" s="285" t="b">
        <v>0</v>
      </c>
      <c r="AC118" s="285" t="b">
        <v>1</v>
      </c>
      <c r="AD118" s="285" t="b">
        <v>1</v>
      </c>
      <c r="AE118" s="285" t="b">
        <v>1</v>
      </c>
      <c r="AF118" s="285" t="b">
        <v>1</v>
      </c>
      <c r="AG118" s="285" t="b">
        <v>1</v>
      </c>
      <c r="AH118" s="285" t="b">
        <v>1</v>
      </c>
      <c r="AI118" s="285" t="b">
        <v>1</v>
      </c>
      <c r="AJ118" s="285" t="b">
        <v>1</v>
      </c>
      <c r="AK118" s="285" t="b">
        <v>1</v>
      </c>
      <c r="AL118" s="285" t="b">
        <v>1</v>
      </c>
      <c r="AM118" s="285" t="b">
        <v>1</v>
      </c>
      <c r="AN118" s="285" t="b">
        <v>1</v>
      </c>
      <c r="AO118" s="285" t="b">
        <v>1</v>
      </c>
      <c r="AP118" s="285" t="b">
        <v>1</v>
      </c>
    </row>
    <row r="119" spans="4:42" x14ac:dyDescent="0.25">
      <c r="D119" s="29"/>
      <c r="E119" s="28"/>
      <c r="F119" s="28" t="s">
        <v>247</v>
      </c>
      <c r="G119" t="s">
        <v>203</v>
      </c>
      <c r="J119" s="70"/>
      <c r="K119" s="70"/>
      <c r="L119" s="70"/>
      <c r="M119" s="70"/>
      <c r="N119" s="70"/>
      <c r="O119" s="70"/>
      <c r="P119" s="70"/>
      <c r="Q119" s="70"/>
      <c r="R119" s="70"/>
      <c r="S119" s="70"/>
      <c r="T119" s="70"/>
      <c r="U119" s="70"/>
      <c r="V119" s="70"/>
      <c r="W119" s="70"/>
      <c r="X119" s="70"/>
      <c r="Y119" s="70"/>
      <c r="Z119" s="70"/>
      <c r="AA119" s="70"/>
      <c r="AB119" s="70"/>
      <c r="AC119" s="286">
        <v>0</v>
      </c>
      <c r="AD119" s="286">
        <v>0</v>
      </c>
      <c r="AE119" s="286">
        <v>0</v>
      </c>
      <c r="AF119" s="286">
        <v>0</v>
      </c>
      <c r="AG119" s="286">
        <v>0</v>
      </c>
      <c r="AH119" s="286">
        <v>0</v>
      </c>
      <c r="AI119" s="286">
        <v>0</v>
      </c>
      <c r="AJ119" s="286">
        <v>0</v>
      </c>
      <c r="AK119" s="286">
        <v>0</v>
      </c>
      <c r="AL119" s="286">
        <v>0</v>
      </c>
      <c r="AM119" s="286">
        <v>0</v>
      </c>
      <c r="AN119" s="286">
        <v>0</v>
      </c>
      <c r="AO119" s="286">
        <v>0</v>
      </c>
      <c r="AP119" s="286">
        <v>0</v>
      </c>
    </row>
    <row r="120" spans="4:42" x14ac:dyDescent="0.25">
      <c r="D120" s="29"/>
      <c r="E120" s="28"/>
      <c r="F120" s="28"/>
      <c r="J120" s="14"/>
      <c r="K120" s="14"/>
      <c r="L120" s="14"/>
      <c r="M120" s="14"/>
      <c r="N120" s="14"/>
      <c r="O120" s="14"/>
      <c r="P120" s="14"/>
      <c r="Q120" s="14"/>
      <c r="R120" s="14"/>
      <c r="S120" s="14"/>
      <c r="T120" s="14"/>
      <c r="U120" s="14"/>
      <c r="V120" s="14"/>
      <c r="W120" s="14"/>
      <c r="X120" s="14"/>
      <c r="Y120" s="14"/>
      <c r="Z120" s="14"/>
      <c r="AA120" s="14"/>
      <c r="AB120" s="14"/>
      <c r="AC120" s="14"/>
      <c r="AD120" s="14"/>
      <c r="AE120" s="14"/>
      <c r="AF120" s="14"/>
      <c r="AG120" s="14"/>
      <c r="AH120" s="14"/>
      <c r="AI120" s="14"/>
      <c r="AJ120" s="14"/>
      <c r="AK120" s="14"/>
      <c r="AL120" s="14"/>
      <c r="AM120" s="14"/>
      <c r="AN120" s="14"/>
      <c r="AO120" s="14"/>
      <c r="AP120" s="14"/>
    </row>
    <row r="121" spans="4:42" x14ac:dyDescent="0.25">
      <c r="D121" s="29"/>
      <c r="E121" s="32" t="s">
        <v>251</v>
      </c>
      <c r="F121" s="28"/>
      <c r="J121" s="14"/>
      <c r="K121" s="14"/>
      <c r="L121" s="14"/>
      <c r="M121" s="14"/>
      <c r="N121" s="14"/>
      <c r="O121" s="14"/>
      <c r="P121" s="14"/>
      <c r="Q121" s="14"/>
      <c r="R121" s="14"/>
      <c r="S121" s="14"/>
      <c r="T121" s="14"/>
      <c r="U121" s="14"/>
      <c r="V121" s="14"/>
      <c r="W121" s="14"/>
      <c r="X121" s="14"/>
      <c r="Y121" s="14"/>
      <c r="Z121" s="14"/>
      <c r="AA121" s="14"/>
      <c r="AB121" s="14"/>
      <c r="AC121" s="14"/>
      <c r="AD121" s="14"/>
      <c r="AE121" s="14"/>
      <c r="AF121" s="14"/>
      <c r="AG121" s="14"/>
      <c r="AH121" s="14"/>
      <c r="AI121" s="14"/>
      <c r="AJ121" s="14"/>
      <c r="AK121" s="14"/>
      <c r="AL121" s="14"/>
      <c r="AM121" s="14"/>
      <c r="AN121" s="14"/>
      <c r="AO121" s="14"/>
      <c r="AP121" s="14"/>
    </row>
    <row r="122" spans="4:42" x14ac:dyDescent="0.25">
      <c r="D122" s="29"/>
      <c r="F122" s="28" t="s">
        <v>244</v>
      </c>
      <c r="G122" t="s">
        <v>245</v>
      </c>
      <c r="J122" s="285" t="b">
        <v>0</v>
      </c>
      <c r="K122" s="285" t="b">
        <v>0</v>
      </c>
      <c r="L122" s="285" t="b">
        <v>0</v>
      </c>
      <c r="M122" s="285" t="b">
        <v>0</v>
      </c>
      <c r="N122" s="285" t="b">
        <v>0</v>
      </c>
      <c r="O122" s="285" t="b">
        <v>0</v>
      </c>
      <c r="P122" s="285" t="b">
        <v>0</v>
      </c>
      <c r="Q122" s="285" t="b">
        <v>0</v>
      </c>
      <c r="R122" s="285" t="b">
        <v>0</v>
      </c>
      <c r="S122" s="285" t="b">
        <v>0</v>
      </c>
      <c r="T122" s="285" t="b">
        <v>0</v>
      </c>
      <c r="U122" s="285" t="b">
        <v>0</v>
      </c>
      <c r="V122" s="285" t="b">
        <v>0</v>
      </c>
      <c r="W122" s="285" t="b">
        <v>0</v>
      </c>
      <c r="X122" s="285" t="b">
        <v>0</v>
      </c>
      <c r="Y122" s="285" t="b">
        <v>0</v>
      </c>
      <c r="Z122" s="285" t="b">
        <v>0</v>
      </c>
      <c r="AA122" s="285" t="b">
        <v>0</v>
      </c>
      <c r="AB122" s="285" t="b">
        <v>0</v>
      </c>
      <c r="AC122" s="285" t="b">
        <v>1</v>
      </c>
      <c r="AD122" s="285" t="b">
        <v>1</v>
      </c>
      <c r="AE122" s="285" t="b">
        <v>1</v>
      </c>
      <c r="AF122" s="285" t="b">
        <v>1</v>
      </c>
      <c r="AG122" s="285" t="b">
        <v>1</v>
      </c>
      <c r="AH122" s="285" t="b">
        <v>1</v>
      </c>
      <c r="AI122" s="285" t="b">
        <v>1</v>
      </c>
      <c r="AJ122" s="285" t="b">
        <v>1</v>
      </c>
      <c r="AK122" s="285" t="b">
        <v>1</v>
      </c>
      <c r="AL122" s="285" t="b">
        <v>1</v>
      </c>
      <c r="AM122" s="285" t="b">
        <v>1</v>
      </c>
      <c r="AN122" s="285" t="b">
        <v>1</v>
      </c>
      <c r="AO122" s="285" t="b">
        <v>1</v>
      </c>
      <c r="AP122" s="285" t="b">
        <v>1</v>
      </c>
    </row>
    <row r="123" spans="4:42" x14ac:dyDescent="0.25">
      <c r="D123" s="29"/>
      <c r="E123" s="28"/>
      <c r="F123" s="28" t="s">
        <v>247</v>
      </c>
      <c r="G123" t="s">
        <v>203</v>
      </c>
      <c r="J123" s="70"/>
      <c r="K123" s="70"/>
      <c r="L123" s="70"/>
      <c r="M123" s="70"/>
      <c r="N123" s="70"/>
      <c r="O123" s="70"/>
      <c r="P123" s="70"/>
      <c r="Q123" s="70"/>
      <c r="R123" s="70"/>
      <c r="S123" s="70"/>
      <c r="T123" s="70"/>
      <c r="U123" s="70"/>
      <c r="V123" s="70"/>
      <c r="W123" s="70"/>
      <c r="X123" s="70"/>
      <c r="Y123" s="70"/>
      <c r="Z123" s="70"/>
      <c r="AA123" s="70"/>
      <c r="AB123" s="70"/>
      <c r="AC123" s="286">
        <v>0</v>
      </c>
      <c r="AD123" s="286">
        <v>0</v>
      </c>
      <c r="AE123" s="286">
        <v>0</v>
      </c>
      <c r="AF123" s="286">
        <v>0</v>
      </c>
      <c r="AG123" s="286">
        <v>0</v>
      </c>
      <c r="AH123" s="286">
        <v>0</v>
      </c>
      <c r="AI123" s="286">
        <v>0</v>
      </c>
      <c r="AJ123" s="286">
        <v>0</v>
      </c>
      <c r="AK123" s="286">
        <v>0</v>
      </c>
      <c r="AL123" s="286">
        <v>0</v>
      </c>
      <c r="AM123" s="286">
        <v>0</v>
      </c>
      <c r="AN123" s="286">
        <v>0</v>
      </c>
      <c r="AO123" s="286">
        <v>0</v>
      </c>
      <c r="AP123" s="286">
        <v>0</v>
      </c>
    </row>
    <row r="124" spans="4:42" x14ac:dyDescent="0.25">
      <c r="D124" s="29"/>
      <c r="E124" s="29"/>
      <c r="J124" s="14"/>
      <c r="K124" s="14"/>
      <c r="L124" s="14"/>
      <c r="M124" s="14"/>
      <c r="N124" s="14"/>
      <c r="O124" s="14"/>
      <c r="P124" s="14"/>
      <c r="Q124" s="14"/>
      <c r="R124" s="14"/>
      <c r="S124" s="14"/>
      <c r="T124" s="14"/>
      <c r="U124" s="14"/>
      <c r="V124" s="14"/>
      <c r="W124" s="14"/>
      <c r="X124" s="14"/>
      <c r="Y124" s="14"/>
      <c r="Z124" s="14"/>
      <c r="AA124" s="14"/>
      <c r="AB124" s="14"/>
      <c r="AC124" s="14"/>
      <c r="AD124" s="14"/>
      <c r="AE124" s="14"/>
      <c r="AF124" s="14"/>
      <c r="AG124" s="14"/>
      <c r="AH124" s="14"/>
      <c r="AI124" s="14"/>
      <c r="AJ124" s="14"/>
      <c r="AK124" s="14"/>
      <c r="AL124" s="14"/>
      <c r="AM124" s="14"/>
      <c r="AN124" s="14"/>
      <c r="AO124" s="14"/>
      <c r="AP124" s="14"/>
    </row>
    <row r="125" spans="4:42" x14ac:dyDescent="0.25">
      <c r="E125" s="32" t="s">
        <v>252</v>
      </c>
      <c r="J125" s="14"/>
      <c r="K125" s="14"/>
      <c r="L125" s="14"/>
      <c r="M125" s="14"/>
      <c r="N125" s="14"/>
      <c r="O125" s="14"/>
      <c r="P125" s="14"/>
      <c r="Q125" s="14"/>
      <c r="R125" s="14"/>
      <c r="S125" s="14"/>
      <c r="T125" s="14"/>
      <c r="U125" s="14"/>
      <c r="V125" s="14"/>
      <c r="W125" s="14"/>
      <c r="X125" s="14"/>
      <c r="Y125" s="14"/>
      <c r="Z125" s="14"/>
      <c r="AA125" s="14"/>
      <c r="AB125" s="14"/>
      <c r="AC125" s="14"/>
      <c r="AD125" s="14"/>
      <c r="AE125" s="14"/>
      <c r="AF125" s="14"/>
      <c r="AG125" s="14"/>
      <c r="AH125" s="14"/>
      <c r="AI125" s="14"/>
      <c r="AJ125" s="14"/>
      <c r="AK125" s="14"/>
      <c r="AL125" s="14"/>
      <c r="AM125" s="14"/>
      <c r="AN125" s="14"/>
      <c r="AO125" s="14"/>
      <c r="AP125" s="14"/>
    </row>
    <row r="126" spans="4:42" x14ac:dyDescent="0.25">
      <c r="E126" s="29" t="s">
        <v>253</v>
      </c>
      <c r="J126" s="14"/>
      <c r="K126" s="14"/>
      <c r="L126" s="14"/>
      <c r="M126" s="14"/>
      <c r="N126" s="14"/>
      <c r="O126" s="14"/>
      <c r="P126" s="14"/>
      <c r="Q126" s="14"/>
      <c r="R126" s="14"/>
      <c r="S126" s="14"/>
      <c r="T126" s="14"/>
      <c r="U126" s="14"/>
      <c r="V126" s="14"/>
      <c r="W126" s="14"/>
      <c r="X126" s="14"/>
      <c r="Y126" s="14"/>
      <c r="Z126" s="14"/>
      <c r="AA126" s="14"/>
      <c r="AB126" s="14"/>
      <c r="AC126" s="14"/>
      <c r="AD126" s="14"/>
      <c r="AE126" s="14"/>
      <c r="AF126" s="14"/>
      <c r="AG126" s="14"/>
      <c r="AH126" s="14"/>
      <c r="AI126" s="14"/>
      <c r="AJ126" s="14"/>
      <c r="AK126" s="14"/>
      <c r="AL126" s="14"/>
      <c r="AM126" s="14"/>
      <c r="AN126" s="14"/>
      <c r="AO126" s="14"/>
      <c r="AP126" s="14"/>
    </row>
    <row r="127" spans="4:42" x14ac:dyDescent="0.25">
      <c r="E127" s="29"/>
      <c r="F127" t="s">
        <v>254</v>
      </c>
      <c r="G127" t="s">
        <v>245</v>
      </c>
      <c r="J127" s="285" t="b">
        <v>0</v>
      </c>
      <c r="K127" s="285" t="b">
        <v>0</v>
      </c>
      <c r="L127" s="285" t="b">
        <v>0</v>
      </c>
      <c r="M127" s="285" t="b">
        <v>0</v>
      </c>
      <c r="N127" s="285" t="b">
        <v>0</v>
      </c>
      <c r="O127" s="285" t="b">
        <v>0</v>
      </c>
      <c r="P127" s="285" t="b">
        <v>0</v>
      </c>
      <c r="Q127" s="285" t="b">
        <v>0</v>
      </c>
      <c r="R127" s="285" t="b">
        <v>0</v>
      </c>
      <c r="S127" s="285" t="b">
        <v>0</v>
      </c>
      <c r="T127" s="285" t="b">
        <v>0</v>
      </c>
      <c r="U127" s="285" t="b">
        <v>0</v>
      </c>
      <c r="V127" s="285" t="b">
        <v>0</v>
      </c>
      <c r="W127" s="285" t="b">
        <v>0</v>
      </c>
      <c r="X127" s="285" t="b">
        <v>0</v>
      </c>
      <c r="Y127" s="285" t="b">
        <v>0</v>
      </c>
      <c r="Z127" s="285" t="b">
        <v>0</v>
      </c>
      <c r="AA127" s="285" t="b">
        <v>0</v>
      </c>
      <c r="AB127" s="285" t="b">
        <v>0</v>
      </c>
      <c r="AC127" s="285" t="b">
        <v>1</v>
      </c>
      <c r="AD127" s="285" t="b">
        <v>1</v>
      </c>
      <c r="AE127" s="285" t="b">
        <v>1</v>
      </c>
      <c r="AF127" s="285" t="b">
        <v>1</v>
      </c>
      <c r="AG127" s="285" t="b">
        <v>0</v>
      </c>
      <c r="AH127" s="285" t="b">
        <v>0</v>
      </c>
      <c r="AI127" s="285" t="b">
        <v>1</v>
      </c>
      <c r="AJ127" s="285" t="b">
        <v>1</v>
      </c>
      <c r="AK127" s="285" t="b">
        <v>0</v>
      </c>
      <c r="AL127" s="285" t="b">
        <v>0</v>
      </c>
      <c r="AM127" s="285" t="b">
        <v>1</v>
      </c>
      <c r="AN127" s="285" t="b">
        <v>1</v>
      </c>
      <c r="AO127" s="285" t="b">
        <v>0</v>
      </c>
      <c r="AP127" s="285" t="b">
        <v>0</v>
      </c>
    </row>
    <row r="128" spans="4:42" x14ac:dyDescent="0.25">
      <c r="E128" s="29"/>
      <c r="J128" s="14"/>
      <c r="K128" s="14"/>
      <c r="L128" s="14"/>
      <c r="M128" s="14"/>
      <c r="N128" s="14"/>
      <c r="O128" s="14"/>
      <c r="P128" s="14"/>
      <c r="Q128" s="14"/>
      <c r="R128" s="14"/>
      <c r="S128" s="14"/>
      <c r="T128" s="14"/>
      <c r="U128" s="14"/>
      <c r="V128" s="14"/>
      <c r="W128" s="14"/>
      <c r="X128" s="14"/>
      <c r="Y128" s="14"/>
      <c r="Z128" s="14"/>
      <c r="AA128" s="14"/>
      <c r="AB128" s="14"/>
      <c r="AC128" s="14"/>
      <c r="AD128" s="14"/>
      <c r="AE128" s="14"/>
      <c r="AF128" s="14"/>
      <c r="AG128" s="14"/>
      <c r="AH128" s="14"/>
      <c r="AI128" s="14"/>
      <c r="AJ128" s="14"/>
      <c r="AK128" s="14"/>
      <c r="AL128" s="14"/>
      <c r="AM128" s="14"/>
      <c r="AN128" s="14"/>
      <c r="AO128" s="14"/>
      <c r="AP128" s="14"/>
    </row>
    <row r="129" spans="4:44" x14ac:dyDescent="0.25">
      <c r="E129" s="32" t="s">
        <v>255</v>
      </c>
      <c r="J129" s="14"/>
      <c r="K129" s="14"/>
      <c r="L129" s="14"/>
      <c r="M129" s="14"/>
      <c r="N129" s="14"/>
      <c r="O129" s="14"/>
      <c r="P129" s="14"/>
      <c r="Q129" s="14"/>
      <c r="R129" s="14"/>
      <c r="S129" s="14"/>
      <c r="T129" s="14"/>
      <c r="U129" s="14"/>
      <c r="V129" s="14"/>
      <c r="W129" s="14"/>
      <c r="X129" s="14"/>
      <c r="Y129" s="14"/>
      <c r="Z129" s="14"/>
      <c r="AA129" s="14"/>
      <c r="AB129" s="14"/>
      <c r="AC129" s="14"/>
      <c r="AD129" s="14"/>
      <c r="AE129" s="14"/>
      <c r="AF129" s="14"/>
      <c r="AG129" s="14"/>
      <c r="AH129" s="14"/>
      <c r="AI129" s="14"/>
      <c r="AJ129" s="14"/>
      <c r="AK129" s="14"/>
      <c r="AL129" s="14"/>
      <c r="AM129" s="14"/>
      <c r="AN129" s="14"/>
      <c r="AO129" s="14"/>
      <c r="AP129" s="14"/>
    </row>
    <row r="130" spans="4:44" x14ac:dyDescent="0.25">
      <c r="E130" s="29" t="s">
        <v>256</v>
      </c>
      <c r="J130" s="14"/>
      <c r="K130" s="14"/>
      <c r="L130" s="14"/>
      <c r="M130" s="14"/>
      <c r="N130" s="14"/>
      <c r="O130" s="14"/>
      <c r="P130" s="14"/>
      <c r="Q130" s="14"/>
      <c r="R130" s="14"/>
      <c r="S130" s="14"/>
      <c r="T130" s="14"/>
      <c r="U130" s="14"/>
      <c r="V130" s="14"/>
      <c r="W130" s="14"/>
      <c r="X130" s="14"/>
      <c r="Y130" s="14"/>
      <c r="Z130" s="14"/>
      <c r="AA130" s="14"/>
      <c r="AB130" s="14"/>
      <c r="AC130" s="14"/>
      <c r="AD130" s="14"/>
      <c r="AE130" s="14"/>
      <c r="AF130" s="14"/>
      <c r="AG130" s="14"/>
      <c r="AH130" s="14"/>
      <c r="AI130" s="14"/>
      <c r="AJ130" s="14"/>
      <c r="AK130" s="14"/>
      <c r="AL130" s="14"/>
      <c r="AM130" s="14"/>
      <c r="AN130" s="14"/>
      <c r="AO130" s="14"/>
      <c r="AP130" s="14"/>
    </row>
    <row r="131" spans="4:44" x14ac:dyDescent="0.25">
      <c r="E131" s="29" t="s">
        <v>257</v>
      </c>
      <c r="J131" s="14"/>
      <c r="K131" s="14"/>
      <c r="L131" s="14"/>
      <c r="M131" s="14"/>
      <c r="N131" s="14"/>
      <c r="O131" s="14"/>
      <c r="P131" s="14"/>
      <c r="Q131" s="14"/>
      <c r="R131" s="14"/>
      <c r="S131" s="14"/>
      <c r="T131" s="14"/>
      <c r="U131" s="14"/>
      <c r="V131" s="14"/>
      <c r="W131" s="14"/>
      <c r="X131" s="14"/>
      <c r="Y131" s="14"/>
      <c r="Z131" s="14"/>
      <c r="AA131" s="14"/>
      <c r="AB131" s="14"/>
      <c r="AC131" s="14"/>
      <c r="AD131" s="14"/>
      <c r="AE131" s="14"/>
      <c r="AF131" s="14"/>
      <c r="AG131" s="14"/>
      <c r="AH131" s="14"/>
      <c r="AI131" s="14"/>
      <c r="AJ131" s="14"/>
      <c r="AK131" s="14"/>
      <c r="AL131" s="14"/>
      <c r="AM131" s="14"/>
      <c r="AN131" s="14"/>
      <c r="AO131" s="14"/>
      <c r="AP131" s="14"/>
    </row>
    <row r="132" spans="4:44" x14ac:dyDescent="0.25">
      <c r="E132" s="29"/>
      <c r="F132" t="s">
        <v>255</v>
      </c>
      <c r="G132" t="s">
        <v>245</v>
      </c>
      <c r="J132" s="285" t="b">
        <v>0</v>
      </c>
      <c r="K132" s="285" t="b">
        <v>0</v>
      </c>
      <c r="L132" s="285" t="b">
        <v>0</v>
      </c>
      <c r="M132" s="285" t="b">
        <v>0</v>
      </c>
      <c r="N132" s="285" t="b">
        <v>0</v>
      </c>
      <c r="O132" s="285" t="b">
        <v>0</v>
      </c>
      <c r="P132" s="285" t="b">
        <v>0</v>
      </c>
      <c r="Q132" s="285" t="b">
        <v>0</v>
      </c>
      <c r="R132" s="285" t="b">
        <v>0</v>
      </c>
      <c r="S132" s="285" t="b">
        <v>0</v>
      </c>
      <c r="T132" s="285" t="b">
        <v>0</v>
      </c>
      <c r="U132" s="285" t="b">
        <v>0</v>
      </c>
      <c r="V132" s="285" t="b">
        <v>0</v>
      </c>
      <c r="W132" s="285" t="b">
        <v>0</v>
      </c>
      <c r="X132" s="285" t="b">
        <v>1</v>
      </c>
      <c r="Y132" s="285" t="b">
        <v>1</v>
      </c>
      <c r="Z132" s="285" t="b">
        <v>1</v>
      </c>
      <c r="AA132" s="285" t="b">
        <v>1</v>
      </c>
      <c r="AB132" s="285" t="b">
        <v>1</v>
      </c>
      <c r="AC132" s="285" t="b">
        <v>0</v>
      </c>
      <c r="AD132" s="285" t="b">
        <v>0</v>
      </c>
      <c r="AE132" s="285" t="b">
        <v>0</v>
      </c>
      <c r="AF132" s="285" t="b">
        <v>0</v>
      </c>
      <c r="AG132" s="285" t="b">
        <v>0</v>
      </c>
      <c r="AH132" s="285" t="b">
        <v>0</v>
      </c>
      <c r="AI132" s="285" t="b">
        <v>0</v>
      </c>
      <c r="AJ132" s="285" t="b">
        <v>0</v>
      </c>
      <c r="AK132" s="285" t="b">
        <v>0</v>
      </c>
      <c r="AL132" s="285" t="b">
        <v>0</v>
      </c>
      <c r="AM132" s="285" t="b">
        <v>0</v>
      </c>
      <c r="AN132" s="285" t="b">
        <v>0</v>
      </c>
      <c r="AO132" s="285" t="b">
        <v>0</v>
      </c>
      <c r="AP132" s="285" t="b">
        <v>0</v>
      </c>
    </row>
    <row r="133" spans="4:44" x14ac:dyDescent="0.25">
      <c r="E133" s="29"/>
      <c r="J133" s="14"/>
      <c r="K133" s="14"/>
      <c r="L133" s="14"/>
      <c r="M133" s="14"/>
      <c r="N133" s="14"/>
      <c r="O133" s="14"/>
      <c r="P133" s="14"/>
      <c r="Q133" s="14"/>
      <c r="R133" s="14"/>
      <c r="S133" s="14"/>
      <c r="T133" s="14"/>
      <c r="U133" s="14"/>
      <c r="V133" s="14"/>
      <c r="W133" s="14"/>
      <c r="X133" s="14"/>
      <c r="Y133" s="14"/>
      <c r="Z133" s="14"/>
      <c r="AA133" s="14"/>
      <c r="AB133" s="14"/>
      <c r="AC133" s="14"/>
      <c r="AD133" s="14"/>
      <c r="AE133" s="14"/>
      <c r="AF133" s="14"/>
      <c r="AG133" s="14"/>
      <c r="AH133" s="14"/>
      <c r="AI133" s="14"/>
      <c r="AJ133" s="14"/>
      <c r="AK133" s="14"/>
      <c r="AL133" s="14"/>
      <c r="AM133" s="14"/>
      <c r="AN133" s="14"/>
      <c r="AO133" s="14"/>
      <c r="AP133" s="14"/>
    </row>
    <row r="134" spans="4:44" x14ac:dyDescent="0.25">
      <c r="E134" s="32" t="s">
        <v>258</v>
      </c>
      <c r="J134" s="14"/>
      <c r="K134" s="14"/>
      <c r="L134" s="14"/>
      <c r="M134" s="14"/>
      <c r="N134" s="14"/>
      <c r="O134" s="14"/>
      <c r="P134" s="14"/>
      <c r="Q134" s="14"/>
      <c r="R134" s="14"/>
      <c r="S134" s="14"/>
      <c r="T134" s="14"/>
      <c r="U134" s="14"/>
      <c r="V134" s="14"/>
      <c r="W134" s="14"/>
      <c r="X134" s="14"/>
      <c r="Y134" s="14"/>
      <c r="Z134" s="14"/>
      <c r="AA134" s="14"/>
      <c r="AB134" s="14"/>
      <c r="AC134" s="14"/>
      <c r="AD134" s="14"/>
      <c r="AE134" s="14"/>
      <c r="AF134" s="14"/>
      <c r="AG134" s="14"/>
      <c r="AH134" s="14"/>
      <c r="AI134" s="14"/>
      <c r="AJ134" s="14"/>
      <c r="AK134" s="14"/>
      <c r="AL134" s="14"/>
      <c r="AM134" s="14"/>
      <c r="AN134" s="14"/>
      <c r="AO134" s="14"/>
      <c r="AP134" s="14"/>
    </row>
    <row r="135" spans="4:44" x14ac:dyDescent="0.25">
      <c r="E135" s="29" t="s">
        <v>259</v>
      </c>
      <c r="J135" s="14"/>
      <c r="K135" s="14"/>
      <c r="L135" s="14"/>
      <c r="M135" s="14"/>
      <c r="N135" s="14"/>
      <c r="O135" s="14"/>
      <c r="P135" s="14"/>
      <c r="Q135" s="14"/>
      <c r="R135" s="14"/>
      <c r="S135" s="14"/>
      <c r="T135" s="14"/>
      <c r="U135" s="14"/>
      <c r="V135" s="14"/>
      <c r="W135" s="14"/>
      <c r="X135" s="14"/>
      <c r="Y135" s="14"/>
      <c r="Z135" s="14"/>
      <c r="AA135" s="14"/>
      <c r="AB135" s="14"/>
      <c r="AC135" s="14"/>
      <c r="AD135" s="14"/>
      <c r="AE135" s="14"/>
      <c r="AF135" s="14"/>
      <c r="AG135" s="14"/>
      <c r="AH135" s="14"/>
      <c r="AI135" s="14"/>
      <c r="AJ135" s="14"/>
      <c r="AK135" s="14"/>
      <c r="AL135" s="14"/>
      <c r="AM135" s="14"/>
      <c r="AN135" s="14"/>
      <c r="AO135" s="14"/>
      <c r="AP135" s="14"/>
    </row>
    <row r="136" spans="4:44" x14ac:dyDescent="0.25">
      <c r="E136" s="29"/>
      <c r="F136" t="s">
        <v>260</v>
      </c>
      <c r="G136" t="s">
        <v>245</v>
      </c>
      <c r="J136" s="285" t="b">
        <v>1</v>
      </c>
      <c r="K136" s="285" t="b">
        <v>1</v>
      </c>
      <c r="L136" s="285" t="b">
        <v>0</v>
      </c>
      <c r="M136" s="285" t="b">
        <v>1</v>
      </c>
      <c r="N136" s="285" t="b">
        <v>1</v>
      </c>
      <c r="O136" s="285" t="b">
        <v>0</v>
      </c>
      <c r="P136" s="285" t="b">
        <v>1</v>
      </c>
      <c r="Q136" s="285" t="b">
        <v>1</v>
      </c>
      <c r="R136" s="285" t="b">
        <v>1</v>
      </c>
      <c r="S136" s="285" t="b">
        <v>1</v>
      </c>
      <c r="T136" s="285" t="b">
        <v>1</v>
      </c>
      <c r="U136" s="285" t="b">
        <v>1</v>
      </c>
      <c r="V136" s="285" t="b">
        <v>1</v>
      </c>
      <c r="W136" s="285" t="b">
        <v>1</v>
      </c>
      <c r="X136" s="285" t="b">
        <v>1</v>
      </c>
      <c r="Y136" s="285" t="b">
        <v>1</v>
      </c>
      <c r="Z136" s="285" t="b">
        <v>1</v>
      </c>
      <c r="AA136" s="285" t="b">
        <v>1</v>
      </c>
      <c r="AB136" s="285" t="b">
        <v>1</v>
      </c>
      <c r="AC136" s="285" t="b">
        <v>1</v>
      </c>
      <c r="AD136" s="285" t="b">
        <v>1</v>
      </c>
      <c r="AE136" s="285" t="b">
        <v>1</v>
      </c>
      <c r="AF136" s="285" t="b">
        <v>1</v>
      </c>
      <c r="AG136" s="285" t="b">
        <v>1</v>
      </c>
      <c r="AH136" s="285" t="b">
        <v>1</v>
      </c>
      <c r="AI136" s="285" t="b">
        <v>1</v>
      </c>
      <c r="AJ136" s="285" t="b">
        <v>1</v>
      </c>
      <c r="AK136" s="285" t="b">
        <v>1</v>
      </c>
      <c r="AL136" s="285" t="b">
        <v>1</v>
      </c>
      <c r="AM136" s="285" t="b">
        <v>1</v>
      </c>
      <c r="AN136" s="285" t="b">
        <v>1</v>
      </c>
      <c r="AO136" s="285" t="b">
        <v>1</v>
      </c>
      <c r="AP136" s="285" t="b">
        <v>1</v>
      </c>
    </row>
    <row r="137" spans="4:44" x14ac:dyDescent="0.25">
      <c r="D137" s="29"/>
      <c r="J137" s="14"/>
      <c r="K137" s="14"/>
      <c r="L137" s="14"/>
      <c r="M137" s="14"/>
      <c r="N137" s="14"/>
      <c r="O137" s="14"/>
      <c r="P137" s="14"/>
      <c r="Q137" s="14"/>
      <c r="R137" s="14"/>
      <c r="S137" s="14"/>
      <c r="T137" s="14"/>
      <c r="U137" s="14"/>
      <c r="V137" s="14"/>
      <c r="W137" s="14"/>
      <c r="X137" s="14"/>
      <c r="Y137" s="14"/>
      <c r="Z137" s="14"/>
      <c r="AA137" s="14"/>
      <c r="AB137" s="14"/>
      <c r="AC137" s="14"/>
      <c r="AD137" s="14"/>
      <c r="AE137" s="14"/>
      <c r="AF137" s="14"/>
      <c r="AG137" s="14"/>
      <c r="AH137" s="14"/>
      <c r="AI137" s="14"/>
      <c r="AJ137" s="14"/>
      <c r="AK137" s="14"/>
      <c r="AL137" s="14"/>
      <c r="AM137" s="14"/>
      <c r="AN137" s="14"/>
      <c r="AO137" s="14"/>
      <c r="AP137" s="14"/>
    </row>
    <row r="138" spans="4:44" x14ac:dyDescent="0.25">
      <c r="E138" s="32" t="s">
        <v>261</v>
      </c>
      <c r="I138" t="s">
        <v>190</v>
      </c>
      <c r="J138" s="14"/>
      <c r="K138" s="14"/>
      <c r="L138" s="14"/>
      <c r="M138" s="14"/>
      <c r="N138" s="14"/>
      <c r="O138" s="14"/>
      <c r="P138" s="14"/>
      <c r="Q138" s="14"/>
      <c r="R138" s="14"/>
      <c r="S138" s="14"/>
      <c r="T138" s="14"/>
      <c r="U138" s="14"/>
      <c r="V138" s="14"/>
      <c r="W138" s="14"/>
      <c r="X138" s="14"/>
      <c r="Y138" s="14"/>
      <c r="Z138" s="14"/>
      <c r="AA138" s="14"/>
      <c r="AB138" s="14"/>
      <c r="AC138" s="14"/>
      <c r="AD138" s="14"/>
      <c r="AE138" s="14"/>
      <c r="AF138" s="14"/>
      <c r="AG138" s="14"/>
      <c r="AH138" s="14"/>
      <c r="AI138" s="14"/>
      <c r="AJ138" s="14"/>
      <c r="AK138" s="14"/>
      <c r="AL138" s="14"/>
      <c r="AM138" s="14"/>
      <c r="AN138" s="14"/>
      <c r="AO138" s="14"/>
      <c r="AP138" s="14"/>
      <c r="AR138" t="s">
        <v>262</v>
      </c>
    </row>
    <row r="139" spans="4:44" x14ac:dyDescent="0.25">
      <c r="E139" s="29" t="s">
        <v>263</v>
      </c>
      <c r="J139" s="14"/>
      <c r="K139" s="14"/>
      <c r="L139" s="14"/>
      <c r="M139" s="14"/>
      <c r="N139" s="14"/>
      <c r="O139" s="14"/>
      <c r="P139" s="14"/>
      <c r="Q139" s="14"/>
      <c r="R139" s="14"/>
      <c r="S139" s="14"/>
      <c r="T139" s="14"/>
      <c r="U139" s="14"/>
      <c r="V139" s="14"/>
      <c r="W139" s="14"/>
      <c r="X139" s="14"/>
      <c r="Y139" s="14"/>
      <c r="Z139" s="14"/>
      <c r="AA139" s="14"/>
      <c r="AB139" s="14"/>
      <c r="AC139" s="14"/>
      <c r="AD139" s="14"/>
      <c r="AE139" s="14"/>
      <c r="AF139" s="14"/>
      <c r="AG139" s="14"/>
      <c r="AH139" s="14"/>
      <c r="AI139" s="14"/>
      <c r="AJ139" s="14"/>
      <c r="AK139" s="14"/>
      <c r="AL139" s="14"/>
      <c r="AM139" s="14"/>
      <c r="AN139" s="14"/>
      <c r="AO139" s="14"/>
      <c r="AP139" s="14"/>
    </row>
    <row r="140" spans="4:44" x14ac:dyDescent="0.25">
      <c r="E140" s="29" t="s">
        <v>264</v>
      </c>
      <c r="J140" s="14"/>
      <c r="K140" s="14"/>
      <c r="L140" s="14"/>
      <c r="M140" s="14"/>
      <c r="N140" s="14"/>
      <c r="O140" s="14"/>
      <c r="P140" s="14"/>
      <c r="Q140" s="14"/>
      <c r="R140" s="14"/>
      <c r="S140" s="14"/>
      <c r="T140" s="14"/>
      <c r="U140" s="14"/>
      <c r="V140" s="14"/>
      <c r="W140" s="14"/>
      <c r="X140" s="14"/>
      <c r="Y140" s="14"/>
      <c r="Z140" s="14"/>
      <c r="AA140" s="14"/>
      <c r="AB140" s="14"/>
      <c r="AC140" s="14"/>
      <c r="AD140" s="14"/>
      <c r="AE140" s="14"/>
      <c r="AF140" s="14"/>
      <c r="AG140" s="14"/>
      <c r="AH140" s="14"/>
      <c r="AI140" s="14"/>
      <c r="AJ140" s="14"/>
      <c r="AK140" s="14"/>
      <c r="AL140" s="14"/>
      <c r="AM140" s="14"/>
      <c r="AN140" s="14"/>
      <c r="AO140" s="14"/>
      <c r="AP140" s="14"/>
    </row>
    <row r="141" spans="4:44" x14ac:dyDescent="0.25">
      <c r="E141" s="29"/>
      <c r="F141" t="s">
        <v>196</v>
      </c>
      <c r="G141" t="s">
        <v>212</v>
      </c>
      <c r="J141" s="285">
        <v>0</v>
      </c>
      <c r="K141" s="285">
        <v>0</v>
      </c>
      <c r="L141" s="285">
        <v>0</v>
      </c>
      <c r="M141" s="285">
        <v>0</v>
      </c>
      <c r="N141" s="285">
        <v>0</v>
      </c>
      <c r="O141" s="285">
        <v>0</v>
      </c>
      <c r="P141" s="285">
        <v>0</v>
      </c>
      <c r="Q141" s="285">
        <v>0</v>
      </c>
      <c r="R141" s="285">
        <v>0</v>
      </c>
      <c r="S141" s="285">
        <v>0</v>
      </c>
      <c r="T141" s="285">
        <v>0</v>
      </c>
      <c r="U141" s="285">
        <v>1</v>
      </c>
      <c r="V141" s="285">
        <v>1</v>
      </c>
      <c r="W141" s="285">
        <v>1</v>
      </c>
      <c r="X141" s="285">
        <v>0</v>
      </c>
      <c r="Y141" s="285">
        <v>0</v>
      </c>
      <c r="Z141" s="285">
        <v>0</v>
      </c>
      <c r="AA141" s="285">
        <v>0</v>
      </c>
      <c r="AB141" s="285">
        <v>0</v>
      </c>
      <c r="AC141" s="285">
        <v>0</v>
      </c>
      <c r="AD141" s="285">
        <v>0</v>
      </c>
      <c r="AE141" s="285">
        <v>0</v>
      </c>
      <c r="AF141" s="285">
        <v>0</v>
      </c>
      <c r="AG141" s="285">
        <v>0</v>
      </c>
      <c r="AH141" s="285">
        <v>0</v>
      </c>
      <c r="AI141" s="285">
        <v>0</v>
      </c>
      <c r="AJ141" s="285">
        <v>0</v>
      </c>
      <c r="AK141" s="285">
        <v>0</v>
      </c>
      <c r="AL141" s="285">
        <v>0</v>
      </c>
      <c r="AM141" s="285">
        <v>0</v>
      </c>
      <c r="AN141" s="285">
        <v>0</v>
      </c>
      <c r="AO141" s="285">
        <v>0</v>
      </c>
      <c r="AP141" s="285">
        <v>0</v>
      </c>
    </row>
    <row r="142" spans="4:44" x14ac:dyDescent="0.25">
      <c r="E142" s="29"/>
      <c r="F142" t="s">
        <v>197</v>
      </c>
      <c r="G142" t="s">
        <v>212</v>
      </c>
      <c r="J142" s="285">
        <v>0</v>
      </c>
      <c r="K142" s="285">
        <v>0</v>
      </c>
      <c r="L142" s="285">
        <v>0</v>
      </c>
      <c r="M142" s="285">
        <v>0</v>
      </c>
      <c r="N142" s="285">
        <v>0</v>
      </c>
      <c r="O142" s="285">
        <v>0</v>
      </c>
      <c r="P142" s="285">
        <v>0</v>
      </c>
      <c r="Q142" s="285">
        <v>0</v>
      </c>
      <c r="R142" s="285">
        <v>0</v>
      </c>
      <c r="S142" s="285">
        <v>0</v>
      </c>
      <c r="T142" s="285">
        <v>0</v>
      </c>
      <c r="U142" s="285">
        <v>1</v>
      </c>
      <c r="V142" s="285">
        <v>1</v>
      </c>
      <c r="W142" s="285">
        <v>1</v>
      </c>
      <c r="X142" s="285">
        <v>0</v>
      </c>
      <c r="Y142" s="285">
        <v>0</v>
      </c>
      <c r="Z142" s="285">
        <v>0</v>
      </c>
      <c r="AA142" s="285">
        <v>0</v>
      </c>
      <c r="AB142" s="285">
        <v>0</v>
      </c>
      <c r="AC142" s="285">
        <v>0</v>
      </c>
      <c r="AD142" s="285">
        <v>0</v>
      </c>
      <c r="AE142" s="285">
        <v>0</v>
      </c>
      <c r="AF142" s="285">
        <v>0</v>
      </c>
      <c r="AG142" s="285">
        <v>0</v>
      </c>
      <c r="AH142" s="285">
        <v>0</v>
      </c>
      <c r="AI142" s="285">
        <v>0</v>
      </c>
      <c r="AJ142" s="285">
        <v>0</v>
      </c>
      <c r="AK142" s="285">
        <v>0</v>
      </c>
      <c r="AL142" s="285">
        <v>0</v>
      </c>
      <c r="AM142" s="285">
        <v>0</v>
      </c>
      <c r="AN142" s="285">
        <v>0</v>
      </c>
      <c r="AO142" s="285">
        <v>0</v>
      </c>
      <c r="AP142" s="285">
        <v>0</v>
      </c>
    </row>
    <row r="143" spans="4:44" x14ac:dyDescent="0.25">
      <c r="E143" s="29"/>
      <c r="F143" t="s">
        <v>265</v>
      </c>
      <c r="G143" t="s">
        <v>212</v>
      </c>
      <c r="J143" s="285">
        <v>0</v>
      </c>
      <c r="K143" s="285">
        <v>0</v>
      </c>
      <c r="L143" s="285">
        <v>0</v>
      </c>
      <c r="M143" s="285">
        <v>0</v>
      </c>
      <c r="N143" s="285">
        <v>0</v>
      </c>
      <c r="O143" s="285">
        <v>0</v>
      </c>
      <c r="P143" s="285">
        <v>0</v>
      </c>
      <c r="Q143" s="285">
        <v>0</v>
      </c>
      <c r="R143" s="285">
        <v>0</v>
      </c>
      <c r="S143" s="285">
        <v>0</v>
      </c>
      <c r="T143" s="285">
        <v>0</v>
      </c>
      <c r="U143" s="285">
        <v>1</v>
      </c>
      <c r="V143" s="285">
        <v>1</v>
      </c>
      <c r="W143" s="285">
        <v>1</v>
      </c>
      <c r="X143" s="285">
        <v>0</v>
      </c>
      <c r="Y143" s="285">
        <v>0</v>
      </c>
      <c r="Z143" s="285">
        <v>0</v>
      </c>
      <c r="AA143" s="285">
        <v>0</v>
      </c>
      <c r="AB143" s="285">
        <v>0</v>
      </c>
      <c r="AC143" s="285">
        <v>0</v>
      </c>
      <c r="AD143" s="285">
        <v>0</v>
      </c>
      <c r="AE143" s="285">
        <v>1</v>
      </c>
      <c r="AF143" s="285">
        <v>0</v>
      </c>
      <c r="AG143" s="285">
        <v>1</v>
      </c>
      <c r="AH143" s="285">
        <v>0</v>
      </c>
      <c r="AI143" s="285">
        <v>1</v>
      </c>
      <c r="AJ143" s="285">
        <v>0</v>
      </c>
      <c r="AK143" s="285">
        <v>1</v>
      </c>
      <c r="AL143" s="285">
        <v>0</v>
      </c>
      <c r="AM143" s="285">
        <v>1</v>
      </c>
      <c r="AN143" s="285">
        <v>0</v>
      </c>
      <c r="AO143" s="285">
        <v>1</v>
      </c>
      <c r="AP143" s="285">
        <v>0</v>
      </c>
    </row>
    <row r="144" spans="4:44" x14ac:dyDescent="0.25">
      <c r="E144" s="29"/>
      <c r="F144" t="s">
        <v>266</v>
      </c>
      <c r="G144" t="s">
        <v>212</v>
      </c>
      <c r="J144" s="285">
        <v>1</v>
      </c>
      <c r="K144" s="285">
        <v>1</v>
      </c>
      <c r="L144" s="285">
        <v>0</v>
      </c>
      <c r="M144" s="285">
        <v>1</v>
      </c>
      <c r="N144" s="285">
        <v>1</v>
      </c>
      <c r="O144" s="285">
        <v>0</v>
      </c>
      <c r="P144" s="285">
        <v>1</v>
      </c>
      <c r="Q144" s="285">
        <v>1</v>
      </c>
      <c r="R144" s="285">
        <v>1</v>
      </c>
      <c r="S144" s="285">
        <v>1</v>
      </c>
      <c r="T144" s="285">
        <v>1</v>
      </c>
      <c r="U144" s="285">
        <v>0</v>
      </c>
      <c r="V144" s="285">
        <v>0</v>
      </c>
      <c r="W144" s="285">
        <v>0</v>
      </c>
      <c r="X144" s="285">
        <v>0</v>
      </c>
      <c r="Y144" s="285">
        <v>0</v>
      </c>
      <c r="Z144" s="285">
        <v>0</v>
      </c>
      <c r="AA144" s="285">
        <v>0</v>
      </c>
      <c r="AB144" s="285">
        <v>0</v>
      </c>
      <c r="AC144" s="285">
        <v>0</v>
      </c>
      <c r="AD144" s="285">
        <v>0</v>
      </c>
      <c r="AE144" s="285">
        <v>0</v>
      </c>
      <c r="AF144" s="285">
        <v>0</v>
      </c>
      <c r="AG144" s="285">
        <v>0</v>
      </c>
      <c r="AH144" s="285">
        <v>0</v>
      </c>
      <c r="AI144" s="285">
        <v>0</v>
      </c>
      <c r="AJ144" s="285">
        <v>0</v>
      </c>
      <c r="AK144" s="285">
        <v>0</v>
      </c>
      <c r="AL144" s="285">
        <v>0</v>
      </c>
      <c r="AM144" s="285">
        <v>0</v>
      </c>
      <c r="AN144" s="285">
        <v>0</v>
      </c>
      <c r="AO144" s="285">
        <v>0</v>
      </c>
      <c r="AP144" s="285">
        <v>0</v>
      </c>
    </row>
    <row r="145" spans="3:44" x14ac:dyDescent="0.25">
      <c r="D145" s="29"/>
      <c r="J145" s="14"/>
      <c r="K145" s="14"/>
      <c r="L145" s="14"/>
      <c r="M145" s="14"/>
      <c r="N145" s="14"/>
      <c r="O145" s="14"/>
      <c r="P145" s="14"/>
      <c r="Q145" s="14"/>
      <c r="R145" s="14"/>
      <c r="S145" s="14"/>
      <c r="T145" s="14"/>
      <c r="U145" s="14"/>
      <c r="V145" s="14"/>
      <c r="W145" s="14"/>
      <c r="X145" s="14"/>
      <c r="Y145" s="14"/>
      <c r="Z145" s="14"/>
      <c r="AA145" s="14"/>
      <c r="AB145" s="14"/>
      <c r="AC145" s="14"/>
      <c r="AD145" s="14"/>
      <c r="AE145" s="14"/>
      <c r="AF145" s="14"/>
      <c r="AG145" s="14"/>
      <c r="AH145" s="14"/>
      <c r="AI145" s="14"/>
      <c r="AJ145" s="14"/>
      <c r="AK145" s="14"/>
      <c r="AL145" s="14"/>
      <c r="AM145" s="14"/>
      <c r="AN145" s="14"/>
      <c r="AO145" s="14"/>
      <c r="AP145" s="14"/>
    </row>
    <row r="146" spans="3:44" x14ac:dyDescent="0.25">
      <c r="C146" s="31" t="str">
        <f ca="1">INDEX('Version control'!$H$34:$H$56,MATCH($A$1,'Version control'!$F$34:$F$56,0),1)&amp;"-G: Identifiers for customer groupings"</f>
        <v>Input 101-G: Identifiers for customer groupings</v>
      </c>
      <c r="D146" s="31"/>
      <c r="E146" s="31"/>
      <c r="F146" s="31"/>
      <c r="G146" s="31"/>
      <c r="H146" s="31"/>
      <c r="I146" s="31"/>
      <c r="J146" s="31"/>
      <c r="K146" s="31"/>
      <c r="L146" s="31"/>
      <c r="M146" s="31"/>
      <c r="N146" s="31"/>
      <c r="O146" s="31"/>
      <c r="P146" s="31"/>
      <c r="Q146" s="31"/>
      <c r="R146" s="31"/>
      <c r="S146" s="31"/>
      <c r="T146" s="31"/>
      <c r="U146" s="31"/>
      <c r="V146" s="31"/>
      <c r="W146" s="31"/>
      <c r="X146" s="31"/>
      <c r="Y146" s="31"/>
      <c r="Z146" s="31"/>
      <c r="AA146" s="31"/>
      <c r="AB146" s="31"/>
      <c r="AC146" s="31"/>
      <c r="AD146" s="31"/>
      <c r="AE146" s="31"/>
      <c r="AF146" s="31"/>
      <c r="AG146" s="31"/>
      <c r="AH146" s="31"/>
      <c r="AI146" s="31"/>
      <c r="AJ146" s="31"/>
      <c r="AK146" s="31"/>
      <c r="AL146" s="31"/>
      <c r="AM146" s="31"/>
      <c r="AN146" s="31"/>
      <c r="AO146" s="31"/>
      <c r="AP146" s="31"/>
      <c r="AQ146" s="31"/>
      <c r="AR146" s="31"/>
    </row>
    <row r="148" spans="3:44" x14ac:dyDescent="0.25">
      <c r="E148" s="32" t="s">
        <v>267</v>
      </c>
      <c r="F148" s="32"/>
    </row>
    <row r="149" spans="3:44" x14ac:dyDescent="0.25">
      <c r="E149" s="29" t="s">
        <v>268</v>
      </c>
      <c r="F149" s="29"/>
    </row>
    <row r="150" spans="3:44" x14ac:dyDescent="0.25">
      <c r="E150" s="29"/>
      <c r="F150" s="28" t="s">
        <v>267</v>
      </c>
      <c r="G150" t="s">
        <v>185</v>
      </c>
      <c r="J150" s="277">
        <v>1</v>
      </c>
      <c r="K150" s="277">
        <v>1</v>
      </c>
      <c r="L150" s="70"/>
      <c r="M150" s="277">
        <v>1</v>
      </c>
      <c r="N150" s="277">
        <v>1</v>
      </c>
      <c r="O150" s="70"/>
      <c r="P150" s="277">
        <v>2</v>
      </c>
      <c r="Q150" s="277">
        <v>3</v>
      </c>
      <c r="R150" s="277">
        <v>4</v>
      </c>
      <c r="S150" s="277">
        <v>1</v>
      </c>
      <c r="T150" s="277">
        <v>1</v>
      </c>
      <c r="U150" s="70"/>
      <c r="V150" s="70"/>
      <c r="W150" s="70"/>
      <c r="X150" s="70"/>
      <c r="Y150" s="70"/>
      <c r="Z150" s="70"/>
      <c r="AA150" s="70"/>
      <c r="AB150" s="70"/>
      <c r="AC150" s="70"/>
      <c r="AD150" s="70"/>
      <c r="AE150" s="70"/>
      <c r="AF150" s="70"/>
      <c r="AG150" s="70"/>
      <c r="AH150" s="70"/>
      <c r="AI150" s="70"/>
      <c r="AJ150" s="70"/>
      <c r="AK150" s="70"/>
      <c r="AL150" s="70"/>
      <c r="AM150" s="70"/>
      <c r="AN150" s="70"/>
      <c r="AO150" s="70"/>
      <c r="AP150" s="70"/>
    </row>
    <row r="151" spans="3:44" x14ac:dyDescent="0.25">
      <c r="E151" s="29"/>
      <c r="F151" s="29"/>
    </row>
    <row r="152" spans="3:44" x14ac:dyDescent="0.25">
      <c r="E152" s="32" t="s">
        <v>269</v>
      </c>
    </row>
    <row r="153" spans="3:44" x14ac:dyDescent="0.25">
      <c r="E153" s="29" t="s">
        <v>270</v>
      </c>
    </row>
    <row r="154" spans="3:44" x14ac:dyDescent="0.25">
      <c r="E154" s="29"/>
      <c r="F154" s="72" t="s">
        <v>271</v>
      </c>
      <c r="G154" t="s">
        <v>272</v>
      </c>
      <c r="J154" s="285" t="s">
        <v>273</v>
      </c>
      <c r="K154" s="285" t="s">
        <v>273</v>
      </c>
      <c r="L154" s="285" t="s">
        <v>273</v>
      </c>
      <c r="M154" s="285" t="s">
        <v>274</v>
      </c>
      <c r="N154" s="285" t="s">
        <v>274</v>
      </c>
      <c r="O154" s="285" t="s">
        <v>274</v>
      </c>
      <c r="P154" s="70"/>
      <c r="Q154" s="70"/>
      <c r="R154" s="70"/>
      <c r="S154" s="285" t="s">
        <v>157</v>
      </c>
      <c r="T154" s="285" t="s">
        <v>275</v>
      </c>
      <c r="U154" s="70"/>
      <c r="V154" s="70"/>
      <c r="W154" s="70"/>
      <c r="X154" s="70"/>
      <c r="Y154" s="70"/>
      <c r="Z154" s="70"/>
      <c r="AA154" s="70"/>
      <c r="AB154" s="70"/>
      <c r="AC154" s="70"/>
      <c r="AD154" s="70"/>
      <c r="AE154" s="70"/>
      <c r="AF154" s="70"/>
      <c r="AG154" s="70"/>
      <c r="AH154" s="70"/>
      <c r="AI154" s="70"/>
      <c r="AJ154" s="70"/>
      <c r="AK154" s="70"/>
      <c r="AL154" s="70"/>
      <c r="AM154" s="70"/>
      <c r="AN154" s="70"/>
      <c r="AO154" s="70"/>
      <c r="AP154" s="70"/>
    </row>
    <row r="155" spans="3:44" x14ac:dyDescent="0.25">
      <c r="E155" s="29"/>
      <c r="F155" s="72" t="s">
        <v>276</v>
      </c>
      <c r="G155" t="s">
        <v>272</v>
      </c>
      <c r="J155" s="285" t="s">
        <v>277</v>
      </c>
      <c r="K155" s="285" t="s">
        <v>277</v>
      </c>
      <c r="L155" s="285" t="s">
        <v>277</v>
      </c>
      <c r="M155" s="285" t="s">
        <v>278</v>
      </c>
      <c r="N155" s="285" t="s">
        <v>278</v>
      </c>
      <c r="O155" s="285" t="s">
        <v>278</v>
      </c>
      <c r="P155" s="70"/>
      <c r="Q155" s="70"/>
      <c r="R155" s="70"/>
      <c r="S155" s="285" t="s">
        <v>277</v>
      </c>
      <c r="T155" s="285" t="s">
        <v>278</v>
      </c>
      <c r="U155" s="70"/>
      <c r="V155" s="70"/>
      <c r="W155" s="70"/>
      <c r="X155" s="70"/>
      <c r="Y155" s="70"/>
      <c r="Z155" s="70"/>
      <c r="AA155" s="70"/>
      <c r="AB155" s="70"/>
      <c r="AC155" s="70"/>
      <c r="AD155" s="70"/>
      <c r="AE155" s="70"/>
      <c r="AF155" s="70"/>
      <c r="AG155" s="70"/>
      <c r="AH155" s="70"/>
      <c r="AI155" s="70"/>
      <c r="AJ155" s="70"/>
      <c r="AK155" s="70"/>
      <c r="AL155" s="70"/>
      <c r="AM155" s="70"/>
      <c r="AN155" s="70"/>
      <c r="AO155" s="70"/>
      <c r="AP155" s="70"/>
    </row>
    <row r="156" spans="3:44" x14ac:dyDescent="0.25">
      <c r="D156" s="29"/>
    </row>
    <row r="157" spans="3:44" x14ac:dyDescent="0.25">
      <c r="C157" s="31" t="str">
        <f ca="1">INDEX('Version control'!$H$34:$H$56,MATCH($A$1,'Version control'!$F$34:$F$56,0),1)&amp;"-H: Decimal places for error checks"</f>
        <v>Input 101-H: Decimal places for error checks</v>
      </c>
      <c r="D157" s="31"/>
      <c r="E157" s="31"/>
      <c r="F157" s="31"/>
      <c r="G157" s="31"/>
      <c r="H157" s="31"/>
      <c r="I157" s="31"/>
      <c r="J157" s="31"/>
      <c r="K157" s="31"/>
      <c r="L157" s="31"/>
      <c r="M157" s="31"/>
      <c r="N157" s="31"/>
      <c r="O157" s="31"/>
      <c r="P157" s="31"/>
      <c r="Q157" s="31"/>
      <c r="R157" s="31"/>
      <c r="S157" s="31"/>
      <c r="T157" s="31"/>
      <c r="U157" s="31"/>
      <c r="V157" s="31"/>
      <c r="W157" s="31"/>
      <c r="X157" s="31"/>
      <c r="Y157" s="31"/>
      <c r="Z157" s="31"/>
      <c r="AA157" s="31"/>
      <c r="AB157" s="31"/>
      <c r="AC157" s="31"/>
      <c r="AD157" s="31"/>
      <c r="AE157" s="31"/>
      <c r="AF157" s="31"/>
      <c r="AG157" s="31"/>
      <c r="AH157" s="31"/>
      <c r="AI157" s="31"/>
      <c r="AJ157" s="31"/>
      <c r="AK157" s="31"/>
      <c r="AL157" s="31"/>
      <c r="AM157" s="31"/>
      <c r="AN157" s="31"/>
      <c r="AO157" s="31"/>
      <c r="AP157" s="31"/>
      <c r="AQ157" s="31"/>
      <c r="AR157" s="31"/>
    </row>
    <row r="159" spans="3:44" x14ac:dyDescent="0.25">
      <c r="E159" t="s">
        <v>279</v>
      </c>
      <c r="G159" t="s">
        <v>185</v>
      </c>
      <c r="H159" s="277">
        <v>5</v>
      </c>
    </row>
    <row r="161" spans="2:44" x14ac:dyDescent="0.25">
      <c r="B161" s="30" t="s">
        <v>280</v>
      </c>
      <c r="C161" s="30"/>
      <c r="D161" s="30"/>
      <c r="E161" s="30"/>
      <c r="F161" s="30"/>
      <c r="G161" s="30"/>
      <c r="H161" s="30"/>
      <c r="I161" s="30"/>
      <c r="J161" s="30"/>
      <c r="K161" s="30"/>
      <c r="L161" s="30"/>
      <c r="M161" s="30"/>
      <c r="N161" s="30"/>
      <c r="O161" s="30"/>
      <c r="P161" s="30"/>
      <c r="Q161" s="30"/>
      <c r="R161" s="30"/>
      <c r="S161" s="30"/>
      <c r="T161" s="30"/>
      <c r="U161" s="30"/>
      <c r="V161" s="30"/>
      <c r="W161" s="30"/>
      <c r="X161" s="30"/>
      <c r="Y161" s="30"/>
      <c r="Z161" s="30"/>
      <c r="AA161" s="30"/>
      <c r="AB161" s="30"/>
      <c r="AC161" s="30"/>
      <c r="AD161" s="30"/>
      <c r="AE161" s="30"/>
      <c r="AF161" s="30"/>
      <c r="AG161" s="30"/>
      <c r="AH161" s="30"/>
      <c r="AI161" s="30"/>
      <c r="AJ161" s="30"/>
      <c r="AK161" s="30"/>
      <c r="AL161" s="30"/>
      <c r="AM161" s="30"/>
      <c r="AN161" s="30"/>
      <c r="AO161" s="30"/>
      <c r="AP161" s="30"/>
      <c r="AQ161" s="30"/>
      <c r="AR161" s="30"/>
    </row>
    <row r="162" spans="2:44" x14ac:dyDescent="0.25">
      <c r="F162" s="3"/>
      <c r="G162" s="3"/>
      <c r="H162" s="3"/>
      <c r="I162" s="3"/>
    </row>
    <row r="163" spans="2:44" x14ac:dyDescent="0.25">
      <c r="E163" t="s">
        <v>281</v>
      </c>
      <c r="G163" s="6" t="s">
        <v>56</v>
      </c>
      <c r="H163" s="24">
        <f t="array" ref="H163">SUM(IF(ISERROR(H15:AP155), 1))</f>
        <v>0</v>
      </c>
      <c r="I163" s="3"/>
    </row>
    <row r="164" spans="2:44" x14ac:dyDescent="0.25">
      <c r="I164" s="3"/>
    </row>
    <row r="165" spans="2:44" x14ac:dyDescent="0.25">
      <c r="E165" t="s">
        <v>282</v>
      </c>
      <c r="G165" s="6" t="s">
        <v>56</v>
      </c>
      <c r="H165" s="24">
        <f>SUM(J165:AP165)</f>
        <v>0</v>
      </c>
      <c r="I165" s="3"/>
      <c r="J165" s="24">
        <f t="shared" ref="J165:AP165" si="0">IF(J132, IF(FIND("UMS", J5) &gt; 0, 0, 1), 0)</f>
        <v>0</v>
      </c>
      <c r="K165" s="24">
        <f t="shared" si="0"/>
        <v>0</v>
      </c>
      <c r="L165" s="24">
        <f t="shared" si="0"/>
        <v>0</v>
      </c>
      <c r="M165" s="24">
        <f t="shared" si="0"/>
        <v>0</v>
      </c>
      <c r="N165" s="24">
        <f t="shared" si="0"/>
        <v>0</v>
      </c>
      <c r="O165" s="24">
        <f t="shared" si="0"/>
        <v>0</v>
      </c>
      <c r="P165" s="24">
        <f t="shared" si="0"/>
        <v>0</v>
      </c>
      <c r="Q165" s="24">
        <f t="shared" si="0"/>
        <v>0</v>
      </c>
      <c r="R165" s="24">
        <f t="shared" si="0"/>
        <v>0</v>
      </c>
      <c r="S165" s="24">
        <f t="shared" si="0"/>
        <v>0</v>
      </c>
      <c r="T165" s="24">
        <f t="shared" si="0"/>
        <v>0</v>
      </c>
      <c r="U165" s="24">
        <f t="shared" si="0"/>
        <v>0</v>
      </c>
      <c r="V165" s="24">
        <f t="shared" si="0"/>
        <v>0</v>
      </c>
      <c r="W165" s="24">
        <f t="shared" si="0"/>
        <v>0</v>
      </c>
      <c r="X165" s="24">
        <f t="shared" si="0"/>
        <v>0</v>
      </c>
      <c r="Y165" s="24">
        <f t="shared" si="0"/>
        <v>0</v>
      </c>
      <c r="Z165" s="24">
        <f t="shared" si="0"/>
        <v>0</v>
      </c>
      <c r="AA165" s="24">
        <f t="shared" si="0"/>
        <v>0</v>
      </c>
      <c r="AB165" s="24">
        <f t="shared" si="0"/>
        <v>0</v>
      </c>
      <c r="AC165" s="24">
        <f t="shared" si="0"/>
        <v>0</v>
      </c>
      <c r="AD165" s="24">
        <f t="shared" si="0"/>
        <v>0</v>
      </c>
      <c r="AE165" s="24">
        <f t="shared" si="0"/>
        <v>0</v>
      </c>
      <c r="AF165" s="24">
        <f t="shared" si="0"/>
        <v>0</v>
      </c>
      <c r="AG165" s="24">
        <f t="shared" si="0"/>
        <v>0</v>
      </c>
      <c r="AH165" s="24">
        <f t="shared" si="0"/>
        <v>0</v>
      </c>
      <c r="AI165" s="24">
        <f t="shared" si="0"/>
        <v>0</v>
      </c>
      <c r="AJ165" s="24">
        <f t="shared" si="0"/>
        <v>0</v>
      </c>
      <c r="AK165" s="24">
        <f t="shared" si="0"/>
        <v>0</v>
      </c>
      <c r="AL165" s="24">
        <f t="shared" si="0"/>
        <v>0</v>
      </c>
      <c r="AM165" s="24">
        <f t="shared" si="0"/>
        <v>0</v>
      </c>
      <c r="AN165" s="24">
        <f t="shared" si="0"/>
        <v>0</v>
      </c>
      <c r="AO165" s="24">
        <f t="shared" si="0"/>
        <v>0</v>
      </c>
      <c r="AP165" s="24">
        <f t="shared" si="0"/>
        <v>0</v>
      </c>
    </row>
    <row r="166" spans="2:44" x14ac:dyDescent="0.25">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row>
    <row r="167" spans="2:44" x14ac:dyDescent="0.25">
      <c r="E167" s="32" t="s">
        <v>283</v>
      </c>
      <c r="I167" s="3"/>
    </row>
    <row r="168" spans="2:44" x14ac:dyDescent="0.25">
      <c r="F168" s="23" t="s">
        <v>284</v>
      </c>
      <c r="G168" s="73" t="s">
        <v>56</v>
      </c>
      <c r="H168" s="74">
        <f>SUM(J168:AP168)</f>
        <v>0</v>
      </c>
      <c r="I168" s="69"/>
      <c r="J168" s="74">
        <f>IF( OR( AND(J106 = TRUE, NOT(ISBLANK(J107))), AND(J106 = FALSE, J107 = 0)), 0, 1)</f>
        <v>0</v>
      </c>
      <c r="K168" s="74">
        <f t="shared" ref="K168:AP168" si="1">IF( OR( AND(K106 = TRUE, NOT(ISBLANK(K107))), AND(K106 = FALSE, K107 = 0)), 0, 1)</f>
        <v>0</v>
      </c>
      <c r="L168" s="74">
        <f t="shared" si="1"/>
        <v>0</v>
      </c>
      <c r="M168" s="74">
        <f t="shared" si="1"/>
        <v>0</v>
      </c>
      <c r="N168" s="74">
        <f t="shared" si="1"/>
        <v>0</v>
      </c>
      <c r="O168" s="74">
        <f t="shared" si="1"/>
        <v>0</v>
      </c>
      <c r="P168" s="74">
        <f t="shared" si="1"/>
        <v>0</v>
      </c>
      <c r="Q168" s="74">
        <f t="shared" si="1"/>
        <v>0</v>
      </c>
      <c r="R168" s="74">
        <f t="shared" si="1"/>
        <v>0</v>
      </c>
      <c r="S168" s="74">
        <f t="shared" si="1"/>
        <v>0</v>
      </c>
      <c r="T168" s="74">
        <f t="shared" si="1"/>
        <v>0</v>
      </c>
      <c r="U168" s="74">
        <f t="shared" si="1"/>
        <v>0</v>
      </c>
      <c r="V168" s="74">
        <f t="shared" si="1"/>
        <v>0</v>
      </c>
      <c r="W168" s="74">
        <f t="shared" si="1"/>
        <v>0</v>
      </c>
      <c r="X168" s="74">
        <f t="shared" si="1"/>
        <v>0</v>
      </c>
      <c r="Y168" s="74">
        <f t="shared" si="1"/>
        <v>0</v>
      </c>
      <c r="Z168" s="74">
        <f t="shared" si="1"/>
        <v>0</v>
      </c>
      <c r="AA168" s="74">
        <f t="shared" si="1"/>
        <v>0</v>
      </c>
      <c r="AB168" s="74">
        <f t="shared" si="1"/>
        <v>0</v>
      </c>
      <c r="AC168" s="74">
        <f t="shared" si="1"/>
        <v>0</v>
      </c>
      <c r="AD168" s="74">
        <f t="shared" si="1"/>
        <v>0</v>
      </c>
      <c r="AE168" s="74">
        <f t="shared" si="1"/>
        <v>0</v>
      </c>
      <c r="AF168" s="74">
        <f t="shared" si="1"/>
        <v>0</v>
      </c>
      <c r="AG168" s="74">
        <f t="shared" si="1"/>
        <v>0</v>
      </c>
      <c r="AH168" s="74">
        <f t="shared" si="1"/>
        <v>0</v>
      </c>
      <c r="AI168" s="74">
        <f t="shared" si="1"/>
        <v>0</v>
      </c>
      <c r="AJ168" s="74">
        <f t="shared" si="1"/>
        <v>0</v>
      </c>
      <c r="AK168" s="74">
        <f t="shared" si="1"/>
        <v>0</v>
      </c>
      <c r="AL168" s="74">
        <f t="shared" si="1"/>
        <v>0</v>
      </c>
      <c r="AM168" s="74">
        <f t="shared" si="1"/>
        <v>0</v>
      </c>
      <c r="AN168" s="74">
        <f t="shared" si="1"/>
        <v>0</v>
      </c>
      <c r="AO168" s="74">
        <f t="shared" si="1"/>
        <v>0</v>
      </c>
      <c r="AP168" s="74">
        <f t="shared" si="1"/>
        <v>0</v>
      </c>
    </row>
    <row r="169" spans="2:44" x14ac:dyDescent="0.25">
      <c r="F169" t="s">
        <v>285</v>
      </c>
      <c r="G169" s="6" t="s">
        <v>56</v>
      </c>
      <c r="H169" s="24">
        <f>SUM(J169:AP169)</f>
        <v>0</v>
      </c>
      <c r="I169" s="3"/>
      <c r="J169" s="24">
        <f>IF( OR( AND(J110 = TRUE, NOT(ISBLANK(J111))), AND(J110 = FALSE, J111 = 0)), 0, 1)</f>
        <v>0</v>
      </c>
      <c r="K169" s="24">
        <f t="shared" ref="K169:AP169" si="2">IF( OR( AND(K110 = TRUE, NOT(ISBLANK(K111))), AND(K110 = FALSE, K111 = 0)), 0, 1)</f>
        <v>0</v>
      </c>
      <c r="L169" s="24">
        <f t="shared" si="2"/>
        <v>0</v>
      </c>
      <c r="M169" s="24">
        <f t="shared" si="2"/>
        <v>0</v>
      </c>
      <c r="N169" s="24">
        <f t="shared" si="2"/>
        <v>0</v>
      </c>
      <c r="O169" s="24">
        <f t="shared" si="2"/>
        <v>0</v>
      </c>
      <c r="P169" s="24">
        <f t="shared" si="2"/>
        <v>0</v>
      </c>
      <c r="Q169" s="24">
        <f t="shared" si="2"/>
        <v>0</v>
      </c>
      <c r="R169" s="24">
        <f t="shared" si="2"/>
        <v>0</v>
      </c>
      <c r="S169" s="24">
        <f t="shared" si="2"/>
        <v>0</v>
      </c>
      <c r="T169" s="24">
        <f t="shared" si="2"/>
        <v>0</v>
      </c>
      <c r="U169" s="24">
        <f t="shared" si="2"/>
        <v>0</v>
      </c>
      <c r="V169" s="24">
        <f t="shared" si="2"/>
        <v>0</v>
      </c>
      <c r="W169" s="24">
        <f t="shared" si="2"/>
        <v>0</v>
      </c>
      <c r="X169" s="24">
        <f t="shared" si="2"/>
        <v>0</v>
      </c>
      <c r="Y169" s="24">
        <f t="shared" si="2"/>
        <v>0</v>
      </c>
      <c r="Z169" s="24">
        <f t="shared" si="2"/>
        <v>0</v>
      </c>
      <c r="AA169" s="24">
        <f t="shared" si="2"/>
        <v>0</v>
      </c>
      <c r="AB169" s="24">
        <f t="shared" si="2"/>
        <v>0</v>
      </c>
      <c r="AC169" s="24">
        <f t="shared" si="2"/>
        <v>0</v>
      </c>
      <c r="AD169" s="24">
        <f t="shared" si="2"/>
        <v>0</v>
      </c>
      <c r="AE169" s="24">
        <f t="shared" si="2"/>
        <v>0</v>
      </c>
      <c r="AF169" s="24">
        <f t="shared" si="2"/>
        <v>0</v>
      </c>
      <c r="AG169" s="24">
        <f t="shared" si="2"/>
        <v>0</v>
      </c>
      <c r="AH169" s="24">
        <f t="shared" si="2"/>
        <v>0</v>
      </c>
      <c r="AI169" s="24">
        <f t="shared" si="2"/>
        <v>0</v>
      </c>
      <c r="AJ169" s="24">
        <f t="shared" si="2"/>
        <v>0</v>
      </c>
      <c r="AK169" s="24">
        <f t="shared" si="2"/>
        <v>0</v>
      </c>
      <c r="AL169" s="24">
        <f t="shared" si="2"/>
        <v>0</v>
      </c>
      <c r="AM169" s="24">
        <f t="shared" si="2"/>
        <v>0</v>
      </c>
      <c r="AN169" s="24">
        <f t="shared" si="2"/>
        <v>0</v>
      </c>
      <c r="AO169" s="24">
        <f t="shared" si="2"/>
        <v>0</v>
      </c>
      <c r="AP169" s="24">
        <f t="shared" si="2"/>
        <v>0</v>
      </c>
    </row>
    <row r="170" spans="2:44" x14ac:dyDescent="0.25">
      <c r="F170" t="s">
        <v>286</v>
      </c>
      <c r="G170" s="6" t="s">
        <v>56</v>
      </c>
      <c r="H170" s="24">
        <f>SUM(J170:AP170)</f>
        <v>0</v>
      </c>
      <c r="I170" s="3"/>
      <c r="J170" s="24">
        <f>IF( OR( AND(J114 = TRUE, NOT(ISBLANK(J115))), AND(J114 = FALSE, J115 = 0)), 0, 1)</f>
        <v>0</v>
      </c>
      <c r="K170" s="24">
        <f t="shared" ref="K170:AP170" si="3">IF( OR( AND(K114 = TRUE, NOT(ISBLANK(K115))), AND(K114 = FALSE, K115 = 0)), 0, 1)</f>
        <v>0</v>
      </c>
      <c r="L170" s="24">
        <f t="shared" si="3"/>
        <v>0</v>
      </c>
      <c r="M170" s="24">
        <f t="shared" si="3"/>
        <v>0</v>
      </c>
      <c r="N170" s="24">
        <f t="shared" si="3"/>
        <v>0</v>
      </c>
      <c r="O170" s="24">
        <f t="shared" si="3"/>
        <v>0</v>
      </c>
      <c r="P170" s="24">
        <f t="shared" si="3"/>
        <v>0</v>
      </c>
      <c r="Q170" s="24">
        <f t="shared" si="3"/>
        <v>0</v>
      </c>
      <c r="R170" s="24">
        <f t="shared" si="3"/>
        <v>0</v>
      </c>
      <c r="S170" s="24">
        <f t="shared" si="3"/>
        <v>0</v>
      </c>
      <c r="T170" s="24">
        <f t="shared" si="3"/>
        <v>0</v>
      </c>
      <c r="U170" s="24">
        <f t="shared" si="3"/>
        <v>0</v>
      </c>
      <c r="V170" s="24">
        <f t="shared" si="3"/>
        <v>0</v>
      </c>
      <c r="W170" s="24">
        <f t="shared" si="3"/>
        <v>0</v>
      </c>
      <c r="X170" s="24">
        <f t="shared" si="3"/>
        <v>0</v>
      </c>
      <c r="Y170" s="24">
        <f t="shared" si="3"/>
        <v>0</v>
      </c>
      <c r="Z170" s="24">
        <f t="shared" si="3"/>
        <v>0</v>
      </c>
      <c r="AA170" s="24">
        <f t="shared" si="3"/>
        <v>0</v>
      </c>
      <c r="AB170" s="24">
        <f t="shared" si="3"/>
        <v>0</v>
      </c>
      <c r="AC170" s="24">
        <f t="shared" si="3"/>
        <v>0</v>
      </c>
      <c r="AD170" s="24">
        <f t="shared" si="3"/>
        <v>0</v>
      </c>
      <c r="AE170" s="24">
        <f t="shared" si="3"/>
        <v>0</v>
      </c>
      <c r="AF170" s="24">
        <f t="shared" si="3"/>
        <v>0</v>
      </c>
      <c r="AG170" s="24">
        <f t="shared" si="3"/>
        <v>0</v>
      </c>
      <c r="AH170" s="24">
        <f t="shared" si="3"/>
        <v>0</v>
      </c>
      <c r="AI170" s="24">
        <f t="shared" si="3"/>
        <v>0</v>
      </c>
      <c r="AJ170" s="24">
        <f t="shared" si="3"/>
        <v>0</v>
      </c>
      <c r="AK170" s="24">
        <f t="shared" si="3"/>
        <v>0</v>
      </c>
      <c r="AL170" s="24">
        <f t="shared" si="3"/>
        <v>0</v>
      </c>
      <c r="AM170" s="24">
        <f t="shared" si="3"/>
        <v>0</v>
      </c>
      <c r="AN170" s="24">
        <f t="shared" si="3"/>
        <v>0</v>
      </c>
      <c r="AO170" s="24">
        <f t="shared" si="3"/>
        <v>0</v>
      </c>
      <c r="AP170" s="24">
        <f t="shared" si="3"/>
        <v>0</v>
      </c>
    </row>
    <row r="171" spans="2:44" x14ac:dyDescent="0.25">
      <c r="F171" t="s">
        <v>287</v>
      </c>
      <c r="G171" s="6" t="s">
        <v>56</v>
      </c>
      <c r="H171" s="24">
        <f>SUM(J171:AP171)</f>
        <v>0</v>
      </c>
      <c r="I171" s="3"/>
      <c r="J171" s="24">
        <f>IF( OR( AND(J118 = TRUE, NOT(ISBLANK(J119))), AND(J118 = FALSE, J119 = 0)), 0, 1)</f>
        <v>0</v>
      </c>
      <c r="K171" s="24">
        <f t="shared" ref="K171:AP171" si="4">IF( OR( AND(K118 = TRUE, NOT(ISBLANK(K119))), AND(K118 = FALSE, K119 = 0)), 0, 1)</f>
        <v>0</v>
      </c>
      <c r="L171" s="24">
        <f t="shared" si="4"/>
        <v>0</v>
      </c>
      <c r="M171" s="24">
        <f t="shared" si="4"/>
        <v>0</v>
      </c>
      <c r="N171" s="24">
        <f t="shared" si="4"/>
        <v>0</v>
      </c>
      <c r="O171" s="24">
        <f t="shared" si="4"/>
        <v>0</v>
      </c>
      <c r="P171" s="24">
        <f t="shared" si="4"/>
        <v>0</v>
      </c>
      <c r="Q171" s="24">
        <f t="shared" si="4"/>
        <v>0</v>
      </c>
      <c r="R171" s="24">
        <f t="shared" si="4"/>
        <v>0</v>
      </c>
      <c r="S171" s="24">
        <f t="shared" si="4"/>
        <v>0</v>
      </c>
      <c r="T171" s="24">
        <f t="shared" si="4"/>
        <v>0</v>
      </c>
      <c r="U171" s="24">
        <f t="shared" si="4"/>
        <v>0</v>
      </c>
      <c r="V171" s="24">
        <f t="shared" si="4"/>
        <v>0</v>
      </c>
      <c r="W171" s="24">
        <f t="shared" si="4"/>
        <v>0</v>
      </c>
      <c r="X171" s="24">
        <f t="shared" si="4"/>
        <v>0</v>
      </c>
      <c r="Y171" s="24">
        <f t="shared" si="4"/>
        <v>0</v>
      </c>
      <c r="Z171" s="24">
        <f t="shared" si="4"/>
        <v>0</v>
      </c>
      <c r="AA171" s="24">
        <f t="shared" si="4"/>
        <v>0</v>
      </c>
      <c r="AB171" s="24">
        <f t="shared" si="4"/>
        <v>0</v>
      </c>
      <c r="AC171" s="24">
        <f t="shared" si="4"/>
        <v>0</v>
      </c>
      <c r="AD171" s="24">
        <f t="shared" si="4"/>
        <v>0</v>
      </c>
      <c r="AE171" s="24">
        <f t="shared" si="4"/>
        <v>0</v>
      </c>
      <c r="AF171" s="24">
        <f t="shared" si="4"/>
        <v>0</v>
      </c>
      <c r="AG171" s="24">
        <f t="shared" si="4"/>
        <v>0</v>
      </c>
      <c r="AH171" s="24">
        <f t="shared" si="4"/>
        <v>0</v>
      </c>
      <c r="AI171" s="24">
        <f t="shared" si="4"/>
        <v>0</v>
      </c>
      <c r="AJ171" s="24">
        <f t="shared" si="4"/>
        <v>0</v>
      </c>
      <c r="AK171" s="24">
        <f t="shared" si="4"/>
        <v>0</v>
      </c>
      <c r="AL171" s="24">
        <f t="shared" si="4"/>
        <v>0</v>
      </c>
      <c r="AM171" s="24">
        <f t="shared" si="4"/>
        <v>0</v>
      </c>
      <c r="AN171" s="24">
        <f t="shared" si="4"/>
        <v>0</v>
      </c>
      <c r="AO171" s="24">
        <f t="shared" si="4"/>
        <v>0</v>
      </c>
      <c r="AP171" s="24">
        <f t="shared" si="4"/>
        <v>0</v>
      </c>
    </row>
    <row r="172" spans="2:44" x14ac:dyDescent="0.25">
      <c r="F172" s="37" t="s">
        <v>288</v>
      </c>
      <c r="G172" s="50" t="s">
        <v>56</v>
      </c>
      <c r="H172" s="75">
        <f>SUM(J172:AP172)</f>
        <v>0</v>
      </c>
      <c r="I172" s="76"/>
      <c r="J172" s="75">
        <f>IF( OR( AND(J122 = TRUE, NOT(ISBLANK(J123))), AND(J122 = FALSE, J123 = 0)), 0, 1)</f>
        <v>0</v>
      </c>
      <c r="K172" s="75">
        <f t="shared" ref="K172:AP172" si="5">IF( OR( AND(K122 = TRUE, NOT(ISBLANK(K123))), AND(K122 = FALSE, K123 = 0)), 0, 1)</f>
        <v>0</v>
      </c>
      <c r="L172" s="75">
        <f t="shared" si="5"/>
        <v>0</v>
      </c>
      <c r="M172" s="75">
        <f t="shared" si="5"/>
        <v>0</v>
      </c>
      <c r="N172" s="75">
        <f t="shared" si="5"/>
        <v>0</v>
      </c>
      <c r="O172" s="75">
        <f t="shared" si="5"/>
        <v>0</v>
      </c>
      <c r="P172" s="75">
        <f t="shared" si="5"/>
        <v>0</v>
      </c>
      <c r="Q172" s="75">
        <f t="shared" si="5"/>
        <v>0</v>
      </c>
      <c r="R172" s="75">
        <f t="shared" si="5"/>
        <v>0</v>
      </c>
      <c r="S172" s="75">
        <f t="shared" si="5"/>
        <v>0</v>
      </c>
      <c r="T172" s="75">
        <f t="shared" si="5"/>
        <v>0</v>
      </c>
      <c r="U172" s="75">
        <f t="shared" si="5"/>
        <v>0</v>
      </c>
      <c r="V172" s="75">
        <f t="shared" si="5"/>
        <v>0</v>
      </c>
      <c r="W172" s="75">
        <f t="shared" si="5"/>
        <v>0</v>
      </c>
      <c r="X172" s="75">
        <f t="shared" si="5"/>
        <v>0</v>
      </c>
      <c r="Y172" s="75">
        <f t="shared" si="5"/>
        <v>0</v>
      </c>
      <c r="Z172" s="75">
        <f t="shared" si="5"/>
        <v>0</v>
      </c>
      <c r="AA172" s="75">
        <f t="shared" si="5"/>
        <v>0</v>
      </c>
      <c r="AB172" s="75">
        <f t="shared" si="5"/>
        <v>0</v>
      </c>
      <c r="AC172" s="75">
        <f t="shared" si="5"/>
        <v>0</v>
      </c>
      <c r="AD172" s="75">
        <f t="shared" si="5"/>
        <v>0</v>
      </c>
      <c r="AE172" s="75">
        <f t="shared" si="5"/>
        <v>0</v>
      </c>
      <c r="AF172" s="75">
        <f t="shared" si="5"/>
        <v>0</v>
      </c>
      <c r="AG172" s="75">
        <f t="shared" si="5"/>
        <v>0</v>
      </c>
      <c r="AH172" s="75">
        <f t="shared" si="5"/>
        <v>0</v>
      </c>
      <c r="AI172" s="75">
        <f t="shared" si="5"/>
        <v>0</v>
      </c>
      <c r="AJ172" s="75">
        <f t="shared" si="5"/>
        <v>0</v>
      </c>
      <c r="AK172" s="75">
        <f t="shared" si="5"/>
        <v>0</v>
      </c>
      <c r="AL172" s="75">
        <f t="shared" si="5"/>
        <v>0</v>
      </c>
      <c r="AM172" s="75">
        <f t="shared" si="5"/>
        <v>0</v>
      </c>
      <c r="AN172" s="75">
        <f t="shared" si="5"/>
        <v>0</v>
      </c>
      <c r="AO172" s="75">
        <f t="shared" si="5"/>
        <v>0</v>
      </c>
      <c r="AP172" s="75">
        <f t="shared" si="5"/>
        <v>0</v>
      </c>
    </row>
    <row r="173" spans="2:44" x14ac:dyDescent="0.25">
      <c r="F173" s="3"/>
      <c r="G173" s="3"/>
      <c r="H173" s="3"/>
      <c r="I173" s="3"/>
    </row>
    <row r="174" spans="2:44" x14ac:dyDescent="0.25">
      <c r="E174" t="s">
        <v>289</v>
      </c>
      <c r="G174" s="6" t="s">
        <v>56</v>
      </c>
      <c r="H174" s="26">
        <f>H163 + H165 + SUM(H168:H172)</f>
        <v>0</v>
      </c>
      <c r="I174" s="3"/>
    </row>
    <row r="175" spans="2:44" x14ac:dyDescent="0.25">
      <c r="I175" s="3"/>
    </row>
    <row r="176" spans="2:44" x14ac:dyDescent="0.25">
      <c r="B176" s="30" t="s">
        <v>107</v>
      </c>
      <c r="C176" s="30"/>
      <c r="D176" s="30"/>
      <c r="E176" s="30"/>
      <c r="F176" s="30"/>
      <c r="G176" s="30"/>
      <c r="H176" s="30"/>
      <c r="I176" s="30"/>
      <c r="J176" s="30"/>
      <c r="K176" s="30"/>
      <c r="L176" s="30"/>
      <c r="M176" s="30"/>
      <c r="N176" s="30"/>
      <c r="O176" s="30"/>
      <c r="P176" s="30"/>
      <c r="Q176" s="30"/>
      <c r="R176" s="30"/>
      <c r="S176" s="30"/>
      <c r="T176" s="30"/>
      <c r="U176" s="30"/>
      <c r="V176" s="30"/>
      <c r="W176" s="30"/>
      <c r="X176" s="30"/>
      <c r="Y176" s="30"/>
      <c r="Z176" s="30"/>
      <c r="AA176" s="30"/>
      <c r="AB176" s="30"/>
      <c r="AC176" s="30"/>
      <c r="AD176" s="30"/>
      <c r="AE176" s="30"/>
      <c r="AF176" s="30"/>
      <c r="AG176" s="30"/>
      <c r="AH176" s="30"/>
      <c r="AI176" s="30"/>
      <c r="AJ176" s="30"/>
      <c r="AK176" s="30"/>
      <c r="AL176" s="30"/>
      <c r="AM176" s="30"/>
      <c r="AN176" s="30"/>
      <c r="AO176" s="30"/>
      <c r="AP176" s="30"/>
      <c r="AQ176" s="30"/>
      <c r="AR176" s="30"/>
    </row>
    <row r="177" spans="6:9" x14ac:dyDescent="0.25">
      <c r="F177" s="3"/>
      <c r="G177" s="3"/>
      <c r="H177" s="3"/>
      <c r="I177" s="3"/>
    </row>
    <row r="178" spans="6:9" x14ac:dyDescent="0.25">
      <c r="F178" s="3"/>
      <c r="G178" s="3"/>
      <c r="H178" s="3"/>
      <c r="I178" s="3"/>
    </row>
  </sheetData>
  <sheetProtection sheet="1" objects="1" formatCells="0" formatColumns="0" formatRows="0" sort="0" autoFilter="0"/>
  <conditionalFormatting sqref="H163">
    <cfRule type="cellIs" dxfId="97" priority="7" operator="greaterThan">
      <formula>0</formula>
    </cfRule>
  </conditionalFormatting>
  <conditionalFormatting sqref="H165">
    <cfRule type="cellIs" dxfId="96" priority="6" operator="greaterThan">
      <formula>0</formula>
    </cfRule>
  </conditionalFormatting>
  <conditionalFormatting sqref="H168:H172">
    <cfRule type="cellIs" dxfId="95" priority="5" operator="greaterThan">
      <formula>0</formula>
    </cfRule>
  </conditionalFormatting>
  <conditionalFormatting sqref="J165:AP165">
    <cfRule type="cellIs" dxfId="94" priority="4" operator="greaterThan">
      <formula>0</formula>
    </cfRule>
  </conditionalFormatting>
  <conditionalFormatting sqref="J168:AP172">
    <cfRule type="cellIs" dxfId="93" priority="3" operator="greaterThan">
      <formula>0</formula>
    </cfRule>
  </conditionalFormatting>
  <conditionalFormatting sqref="H174">
    <cfRule type="cellIs" dxfId="92" priority="2" operator="greaterThan">
      <formula>0</formula>
    </cfRule>
  </conditionalFormatting>
  <conditionalFormatting sqref="A4:XFD4">
    <cfRule type="expression" dxfId="91" priority="1">
      <formula>LEFT($A$4,1) &lt;&gt; "0"</formula>
    </cfRule>
  </conditionalFormatting>
  <dataValidations count="10">
    <dataValidation type="whole" allowBlank="1" showInputMessage="1" showErrorMessage="1" sqref="H25:H31">
      <formula1>0</formula1>
      <formula2>3</formula2>
    </dataValidation>
    <dataValidation type="whole" allowBlank="1" showInputMessage="1" showErrorMessage="1" sqref="J46:AP49 J53:AP56">
      <formula1>0</formula1>
      <formula2>1</formula2>
    </dataValidation>
    <dataValidation type="whole" allowBlank="1" showInputMessage="1" showErrorMessage="1" sqref="J60:AP69 J73:AP82">
      <formula1>-1</formula1>
      <formula2>1</formula2>
    </dataValidation>
    <dataValidation type="decimal" allowBlank="1" showInputMessage="1" showErrorMessage="1" sqref="J89:AP98 J107:AP107 H39 J111:AP111 J115:AP115 J119:AP119 J123:AP123 U150:AP150 L150 O150 P154:R155 U154:AP155">
      <formula1>0</formula1>
      <formula2>1</formula2>
    </dataValidation>
    <dataValidation type="list" allowBlank="1" showInputMessage="1" showErrorMessage="1" sqref="J106:AP106 J110:AP110 J114:AP114 J118:AP118 J122:AP122 J127:AP127 J132:AP132 J136:AP136">
      <formula1>"TRUE, FALSE"</formula1>
    </dataValidation>
    <dataValidation type="whole" allowBlank="1" showInputMessage="1" showErrorMessage="1" sqref="J150:K150 M150:N150 P150:T150">
      <formula1>0</formula1>
      <formula2>33</formula2>
    </dataValidation>
    <dataValidation type="decimal" allowBlank="1" showInputMessage="1" showErrorMessage="1" sqref="H35">
      <formula1>0</formula1>
      <formula2>999999</formula2>
    </dataValidation>
    <dataValidation type="decimal" allowBlank="1" showInputMessage="1" showErrorMessage="1" sqref="H37">
      <formula1>0.001</formula1>
      <formula2>1</formula2>
    </dataValidation>
    <dataValidation type="decimal" allowBlank="1" showInputMessage="1" showErrorMessage="1" sqref="H41">
      <formula1>0.001</formula1>
      <formula2>999999.999</formula2>
    </dataValidation>
    <dataValidation type="whole" allowBlank="1" showInputMessage="1" showErrorMessage="1" sqref="H15:H18">
      <formula1>0</formula1>
      <formula2>9999</formula2>
    </dataValidation>
  </dataValidations>
  <hyperlinks>
    <hyperlink ref="B5:F5" location="'Model map'!A1" display="Click here to return to model map"/>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8">
    <tabColor theme="5" tint="0.59999389629810485"/>
    <pageSetUpPr fitToPage="1"/>
  </sheetPr>
  <dimension ref="A1:IV10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9" sqref="J9"/>
    </sheetView>
  </sheetViews>
  <sheetFormatPr defaultColWidth="0" defaultRowHeight="15" x14ac:dyDescent="0.25"/>
  <cols>
    <col min="1" max="5" width="2.5703125" customWidth="1"/>
    <col min="6" max="6" width="59.5703125" customWidth="1"/>
    <col min="7" max="8" width="20.5703125" customWidth="1"/>
    <col min="9" max="9" width="2.42578125" customWidth="1"/>
    <col min="10" max="42" width="17" customWidth="1"/>
    <col min="43" max="43" width="2.42578125" customWidth="1"/>
    <col min="44" max="44" width="50.5703125" customWidth="1"/>
    <col min="45" max="45" width="2.42578125" customWidth="1"/>
    <col min="46" max="256" width="20.5703125" hidden="1" customWidth="1"/>
    <col min="257" max="16384" width="9.140625" hidden="1"/>
  </cols>
  <sheetData>
    <row r="1" spans="1:44" s="1" customFormat="1" x14ac:dyDescent="0.25">
      <c r="A1" s="1" t="str">
        <f ca="1">MID(CELL("filename",A1),FIND("]",CELL("filename",A1))+1,255)</f>
        <v>Inputs by customer type</v>
      </c>
    </row>
    <row r="2" spans="1:44" s="1" customFormat="1" x14ac:dyDescent="0.25">
      <c r="A2" s="1" t="str">
        <f>Cover!D21&amp;" - "&amp;Cover!D23</f>
        <v>SHEPD  - Final</v>
      </c>
    </row>
    <row r="3" spans="1:44" s="5" customFormat="1" x14ac:dyDescent="0.25">
      <c r="A3" s="5" t="str">
        <f>Cover!D2&amp;" - "&amp;Cover!D8&amp;" v"&amp;Cover!D10&amp;" - "&amp;Cover!D19</f>
        <v>CDCM charging model - Release for charge setting v3 - 2020/21</v>
      </c>
    </row>
    <row r="4" spans="1:44" x14ac:dyDescent="0.25">
      <c r="A4" s="12" t="str">
        <f>H107 &amp; IF(H107 = 1, " issue", " issues") &amp;" identified in checks on this sheet"</f>
        <v>0 issues identified in checks on this sheet</v>
      </c>
      <c r="B4" s="13"/>
      <c r="C4" s="13"/>
      <c r="D4" s="13"/>
      <c r="E4" s="13"/>
      <c r="F4" s="13"/>
      <c r="G4" s="13"/>
      <c r="H4" s="14"/>
      <c r="I4" s="14"/>
      <c r="J4" s="13"/>
    </row>
    <row r="5" spans="1:44" ht="60" x14ac:dyDescent="0.25">
      <c r="B5" s="59" t="s">
        <v>145</v>
      </c>
      <c r="C5" s="60"/>
      <c r="D5" s="60"/>
      <c r="E5" s="60"/>
      <c r="F5" s="60"/>
      <c r="G5" s="61" t="s">
        <v>146</v>
      </c>
      <c r="H5" s="62" t="s">
        <v>147</v>
      </c>
      <c r="I5" s="14"/>
      <c r="J5" s="62" t="s">
        <v>148</v>
      </c>
      <c r="K5" s="62" t="s">
        <v>149</v>
      </c>
      <c r="L5" s="62" t="s">
        <v>150</v>
      </c>
      <c r="M5" s="62" t="s">
        <v>151</v>
      </c>
      <c r="N5" s="62" t="s">
        <v>152</v>
      </c>
      <c r="O5" s="62" t="s">
        <v>153</v>
      </c>
      <c r="P5" s="62" t="s">
        <v>154</v>
      </c>
      <c r="Q5" s="62" t="s">
        <v>155</v>
      </c>
      <c r="R5" s="62" t="s">
        <v>156</v>
      </c>
      <c r="S5" s="62" t="s">
        <v>157</v>
      </c>
      <c r="T5" s="62" t="s">
        <v>158</v>
      </c>
      <c r="U5" s="62" t="s">
        <v>159</v>
      </c>
      <c r="V5" s="62" t="s">
        <v>160</v>
      </c>
      <c r="W5" s="62" t="s">
        <v>161</v>
      </c>
      <c r="X5" s="62" t="s">
        <v>162</v>
      </c>
      <c r="Y5" s="62" t="s">
        <v>163</v>
      </c>
      <c r="Z5" s="62" t="s">
        <v>164</v>
      </c>
      <c r="AA5" s="62" t="s">
        <v>165</v>
      </c>
      <c r="AB5" s="62" t="s">
        <v>166</v>
      </c>
      <c r="AC5" s="62" t="s">
        <v>167</v>
      </c>
      <c r="AD5" s="62" t="s">
        <v>168</v>
      </c>
      <c r="AE5" s="62" t="s">
        <v>169</v>
      </c>
      <c r="AF5" s="62" t="s">
        <v>170</v>
      </c>
      <c r="AG5" s="62" t="s">
        <v>171</v>
      </c>
      <c r="AH5" s="62" t="s">
        <v>172</v>
      </c>
      <c r="AI5" s="62" t="s">
        <v>173</v>
      </c>
      <c r="AJ5" s="62" t="s">
        <v>174</v>
      </c>
      <c r="AK5" s="62" t="s">
        <v>175</v>
      </c>
      <c r="AL5" s="62" t="s">
        <v>176</v>
      </c>
      <c r="AM5" s="62" t="s">
        <v>177</v>
      </c>
      <c r="AN5" s="62" t="s">
        <v>178</v>
      </c>
      <c r="AO5" s="62" t="s">
        <v>179</v>
      </c>
      <c r="AP5" s="62" t="s">
        <v>180</v>
      </c>
      <c r="AR5" s="61" t="s">
        <v>181</v>
      </c>
    </row>
    <row r="7" spans="1:44" x14ac:dyDescent="0.25">
      <c r="B7" s="30" t="s">
        <v>11</v>
      </c>
      <c r="C7" s="30"/>
      <c r="D7" s="30"/>
      <c r="E7" s="30"/>
      <c r="F7" s="30"/>
      <c r="G7" s="30"/>
      <c r="H7" s="30"/>
      <c r="I7" s="30"/>
      <c r="J7" s="30"/>
      <c r="K7" s="30"/>
      <c r="L7" s="30"/>
      <c r="M7" s="30"/>
      <c r="N7" s="30"/>
      <c r="O7" s="30"/>
      <c r="P7" s="30"/>
      <c r="Q7" s="30"/>
      <c r="R7" s="30"/>
      <c r="S7" s="30"/>
      <c r="T7" s="30"/>
      <c r="U7" s="30"/>
      <c r="V7" s="30"/>
      <c r="W7" s="30"/>
      <c r="X7" s="30"/>
      <c r="Y7" s="30"/>
      <c r="Z7" s="30"/>
      <c r="AA7" s="30"/>
      <c r="AB7" s="30"/>
      <c r="AC7" s="30"/>
      <c r="AD7" s="30"/>
      <c r="AE7" s="30"/>
      <c r="AF7" s="30"/>
      <c r="AG7" s="30"/>
      <c r="AH7" s="30"/>
      <c r="AI7" s="30"/>
      <c r="AJ7" s="30"/>
      <c r="AK7" s="30"/>
      <c r="AL7" s="30"/>
      <c r="AM7" s="30"/>
      <c r="AN7" s="30"/>
      <c r="AO7" s="30"/>
      <c r="AP7" s="30"/>
      <c r="AQ7" s="30"/>
      <c r="AR7" s="30"/>
    </row>
    <row r="9" spans="1:44" x14ac:dyDescent="0.25">
      <c r="C9" s="29" t="s">
        <v>290</v>
      </c>
    </row>
    <row r="11" spans="1:44" x14ac:dyDescent="0.25">
      <c r="B11" s="30" t="s">
        <v>57</v>
      </c>
      <c r="C11" s="30"/>
      <c r="D11" s="30"/>
      <c r="E11" s="30"/>
      <c r="F11" s="30"/>
      <c r="G11" s="30"/>
      <c r="H11" s="30"/>
      <c r="I11" s="30"/>
      <c r="J11" s="30"/>
      <c r="K11" s="30"/>
      <c r="L11" s="30"/>
      <c r="M11" s="30"/>
      <c r="N11" s="30"/>
      <c r="O11" s="30"/>
      <c r="P11" s="30"/>
      <c r="Q11" s="30"/>
      <c r="R11" s="30"/>
      <c r="S11" s="30"/>
      <c r="T11" s="30"/>
      <c r="U11" s="30"/>
      <c r="V11" s="30"/>
      <c r="W11" s="30"/>
      <c r="X11" s="30"/>
      <c r="Y11" s="30"/>
      <c r="Z11" s="30"/>
      <c r="AA11" s="30"/>
      <c r="AB11" s="30"/>
      <c r="AC11" s="30"/>
      <c r="AD11" s="30"/>
      <c r="AE11" s="30"/>
      <c r="AF11" s="30"/>
      <c r="AG11" s="30"/>
      <c r="AH11" s="30"/>
      <c r="AI11" s="30"/>
      <c r="AJ11" s="30"/>
      <c r="AK11" s="30"/>
      <c r="AL11" s="30"/>
      <c r="AM11" s="30"/>
      <c r="AN11" s="30"/>
      <c r="AO11" s="30"/>
      <c r="AP11" s="30"/>
      <c r="AQ11" s="30"/>
      <c r="AR11" s="30"/>
    </row>
    <row r="12" spans="1:44" x14ac:dyDescent="0.25">
      <c r="D12" s="28"/>
    </row>
    <row r="13" spans="1:44" x14ac:dyDescent="0.25">
      <c r="C13" s="31" t="str">
        <f ca="1">INDEX('Version control'!$H$34:$H$56,MATCH($A$1,'Version control'!$F$34:$F$56,0),1)&amp;"-A: Load characteristics"</f>
        <v>Input 102-A: Load characteristics</v>
      </c>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row>
    <row r="15" spans="1:44" x14ac:dyDescent="0.25">
      <c r="E15" s="28" t="s">
        <v>291</v>
      </c>
      <c r="G15" s="13" t="s">
        <v>203</v>
      </c>
      <c r="I15" t="s">
        <v>190</v>
      </c>
      <c r="J15" s="287">
        <v>0.41513083337616513</v>
      </c>
      <c r="K15" s="287">
        <v>0.3365366574618312</v>
      </c>
      <c r="L15" s="287">
        <v>0.19077597540606928</v>
      </c>
      <c r="M15" s="287">
        <v>0.36980626395990096</v>
      </c>
      <c r="N15" s="287">
        <v>0.44000120058311348</v>
      </c>
      <c r="O15" s="287">
        <v>0.22297477154780784</v>
      </c>
      <c r="P15" s="287">
        <v>0.4402585628289879</v>
      </c>
      <c r="Q15" s="287">
        <v>0.4402585628289879</v>
      </c>
      <c r="R15" s="287">
        <v>0.46788168826041193</v>
      </c>
      <c r="S15" s="287">
        <v>0.29235643550598994</v>
      </c>
      <c r="T15" s="287">
        <v>0.40048565973182121</v>
      </c>
      <c r="U15" s="287">
        <v>0.57517174301567875</v>
      </c>
      <c r="V15" s="287">
        <v>0.66801982892855427</v>
      </c>
      <c r="W15" s="287">
        <v>0.68905293243143573</v>
      </c>
      <c r="X15" s="287">
        <v>0.99988594871538961</v>
      </c>
      <c r="Y15" s="287">
        <v>0.47125024662940507</v>
      </c>
      <c r="Z15" s="287">
        <v>0.25865510178323398</v>
      </c>
      <c r="AA15" s="287">
        <v>0.52793311440061208</v>
      </c>
      <c r="AB15" s="287">
        <v>0.45798443944159511</v>
      </c>
      <c r="AC15" s="70"/>
      <c r="AD15" s="70"/>
      <c r="AE15" s="70"/>
      <c r="AF15" s="70"/>
      <c r="AG15" s="70"/>
      <c r="AH15" s="70"/>
      <c r="AI15" s="70"/>
      <c r="AJ15" s="70"/>
      <c r="AK15" s="70"/>
      <c r="AL15" s="70"/>
      <c r="AM15" s="70"/>
      <c r="AN15" s="70"/>
      <c r="AO15" s="70"/>
      <c r="AP15" s="70"/>
      <c r="AR15" t="s">
        <v>292</v>
      </c>
    </row>
    <row r="16" spans="1:44" x14ac:dyDescent="0.25">
      <c r="E16" s="28" t="s">
        <v>293</v>
      </c>
      <c r="G16" s="13" t="s">
        <v>203</v>
      </c>
      <c r="I16" t="s">
        <v>190</v>
      </c>
      <c r="J16" s="287">
        <v>0.82225520916742567</v>
      </c>
      <c r="K16" s="287">
        <v>0.48731687569170906</v>
      </c>
      <c r="L16" s="77"/>
      <c r="M16" s="287">
        <v>0.66907672631050519</v>
      </c>
      <c r="N16" s="287">
        <v>0.63445074896160036</v>
      </c>
      <c r="O16" s="77"/>
      <c r="P16" s="287">
        <v>0.63110962163099227</v>
      </c>
      <c r="Q16" s="287">
        <v>0.63110962163099227</v>
      </c>
      <c r="R16" s="287">
        <v>0.67558616010602257</v>
      </c>
      <c r="S16" s="287">
        <v>0.57452054216962278</v>
      </c>
      <c r="T16" s="287">
        <v>0.63817541775509679</v>
      </c>
      <c r="U16" s="287">
        <v>0.80508465681436192</v>
      </c>
      <c r="V16" s="287">
        <v>0.80677881930909268</v>
      </c>
      <c r="W16" s="287">
        <v>0.8317819189340927</v>
      </c>
      <c r="X16" s="287">
        <v>1</v>
      </c>
      <c r="Y16" s="287">
        <v>0.88389166666666663</v>
      </c>
      <c r="Z16" s="287">
        <v>0.8977750000000001</v>
      </c>
      <c r="AA16" s="287">
        <v>0.15130833333333335</v>
      </c>
      <c r="AB16" s="287">
        <v>0.82310766239666089</v>
      </c>
      <c r="AC16" s="70"/>
      <c r="AD16" s="70"/>
      <c r="AE16" s="70"/>
      <c r="AF16" s="70"/>
      <c r="AG16" s="70"/>
      <c r="AH16" s="70"/>
      <c r="AI16" s="70"/>
      <c r="AJ16" s="70"/>
      <c r="AK16" s="70"/>
      <c r="AL16" s="70"/>
      <c r="AM16" s="70"/>
      <c r="AN16" s="70"/>
      <c r="AO16" s="70"/>
      <c r="AP16" s="70"/>
      <c r="AR16" t="s">
        <v>294</v>
      </c>
    </row>
    <row r="17" spans="3:44" x14ac:dyDescent="0.25">
      <c r="G17" s="13"/>
    </row>
    <row r="18" spans="3:44" x14ac:dyDescent="0.25">
      <c r="C18" s="31" t="str">
        <f ca="1">INDEX('Version control'!$H$34:$H$56,MATCH($A$1,'Version control'!$F$34:$F$56,0),1)&amp;"-B: Volume forecasts for the charging year"</f>
        <v>Input 102-B: Volume forecasts for the charging year</v>
      </c>
      <c r="D18" s="31"/>
      <c r="E18" s="31"/>
      <c r="F18" s="31"/>
      <c r="G18" s="31"/>
      <c r="H18" s="31"/>
      <c r="I18" s="31"/>
      <c r="J18" s="31"/>
      <c r="K18" s="31"/>
      <c r="L18" s="31"/>
      <c r="M18" s="31"/>
      <c r="N18" s="31"/>
      <c r="O18" s="31"/>
      <c r="P18" s="31"/>
      <c r="Q18" s="31"/>
      <c r="R18" s="31"/>
      <c r="S18" s="31"/>
      <c r="T18" s="31"/>
      <c r="U18" s="31"/>
      <c r="V18" s="31"/>
      <c r="W18" s="31"/>
      <c r="X18" s="31"/>
      <c r="Y18" s="31"/>
      <c r="Z18" s="31"/>
      <c r="AA18" s="31"/>
      <c r="AB18" s="31"/>
      <c r="AC18" s="31"/>
      <c r="AD18" s="31"/>
      <c r="AE18" s="31"/>
      <c r="AF18" s="31"/>
      <c r="AG18" s="31"/>
      <c r="AH18" s="31"/>
      <c r="AI18" s="31"/>
      <c r="AJ18" s="31"/>
      <c r="AK18" s="31"/>
      <c r="AL18" s="31"/>
      <c r="AM18" s="31"/>
      <c r="AN18" s="31"/>
      <c r="AO18" s="31"/>
      <c r="AP18" s="31"/>
      <c r="AQ18" s="31"/>
      <c r="AR18" s="31"/>
    </row>
    <row r="19" spans="3:44" x14ac:dyDescent="0.25">
      <c r="G19" s="13"/>
    </row>
    <row r="20" spans="3:44" x14ac:dyDescent="0.25">
      <c r="E20" s="32" t="s">
        <v>295</v>
      </c>
      <c r="G20" s="13"/>
      <c r="I20" t="s">
        <v>190</v>
      </c>
      <c r="AR20" t="s">
        <v>296</v>
      </c>
    </row>
    <row r="21" spans="3:44" x14ac:dyDescent="0.25">
      <c r="E21" s="32"/>
      <c r="F21" s="78" t="s">
        <v>297</v>
      </c>
      <c r="G21" s="78" t="s">
        <v>243</v>
      </c>
      <c r="H21" s="23"/>
      <c r="I21" s="23"/>
      <c r="J21" s="288">
        <v>2349262.6932613654</v>
      </c>
      <c r="K21" s="288">
        <v>241249.49660951272</v>
      </c>
      <c r="L21" s="288">
        <v>423055.87757845432</v>
      </c>
      <c r="M21" s="288">
        <v>836959.28982839268</v>
      </c>
      <c r="N21" s="288">
        <v>152179.51963638922</v>
      </c>
      <c r="O21" s="288">
        <v>28141.504302703608</v>
      </c>
      <c r="P21" s="288">
        <v>29913.305426474391</v>
      </c>
      <c r="Q21" s="288">
        <v>0</v>
      </c>
      <c r="R21" s="288">
        <v>548.35018676020832</v>
      </c>
      <c r="S21" s="288">
        <v>54.029994132566102</v>
      </c>
      <c r="T21" s="288">
        <v>7839.6449077915986</v>
      </c>
      <c r="U21" s="288">
        <v>168073.62358307646</v>
      </c>
      <c r="V21" s="288">
        <v>11310.842475894939</v>
      </c>
      <c r="W21" s="288">
        <v>88351.013324953004</v>
      </c>
      <c r="X21" s="288">
        <v>14143.024463568723</v>
      </c>
      <c r="Y21" s="288">
        <v>17279.078681801653</v>
      </c>
      <c r="Z21" s="288">
        <v>3520.726250029109</v>
      </c>
      <c r="AA21" s="288">
        <v>44.247535426088803</v>
      </c>
      <c r="AB21" s="288">
        <v>4621.3412299929805</v>
      </c>
      <c r="AC21" s="288">
        <v>6412.5597704205047</v>
      </c>
      <c r="AD21" s="288">
        <v>0</v>
      </c>
      <c r="AE21" s="288">
        <v>359281.93051380559</v>
      </c>
      <c r="AF21" s="288">
        <v>0</v>
      </c>
      <c r="AG21" s="288">
        <v>5139.8693554110105</v>
      </c>
      <c r="AH21" s="288">
        <v>0</v>
      </c>
      <c r="AI21" s="288">
        <v>3513.2890000000002</v>
      </c>
      <c r="AJ21" s="288">
        <v>0</v>
      </c>
      <c r="AK21" s="288">
        <v>0</v>
      </c>
      <c r="AL21" s="288">
        <v>0</v>
      </c>
      <c r="AM21" s="288">
        <v>652626.70721495803</v>
      </c>
      <c r="AN21" s="288">
        <v>0</v>
      </c>
      <c r="AO21" s="288">
        <v>92924.847805563244</v>
      </c>
      <c r="AP21" s="288">
        <v>0</v>
      </c>
    </row>
    <row r="22" spans="3:44" x14ac:dyDescent="0.25">
      <c r="E22" s="32"/>
      <c r="F22" s="72" t="s">
        <v>298</v>
      </c>
      <c r="G22" s="72" t="s">
        <v>243</v>
      </c>
      <c r="J22" s="79"/>
      <c r="K22" s="289">
        <v>204221.84737614822</v>
      </c>
      <c r="L22" s="79"/>
      <c r="M22" s="79"/>
      <c r="N22" s="289">
        <v>82289.749092955753</v>
      </c>
      <c r="O22" s="79"/>
      <c r="P22" s="289">
        <v>10042.285925586189</v>
      </c>
      <c r="Q22" s="289">
        <v>0</v>
      </c>
      <c r="R22" s="289">
        <v>269.81773904335392</v>
      </c>
      <c r="S22" s="289">
        <v>136.73224650179375</v>
      </c>
      <c r="T22" s="289">
        <v>39067.558275099967</v>
      </c>
      <c r="U22" s="289">
        <v>813210.32764091226</v>
      </c>
      <c r="V22" s="289">
        <v>55543.411198687601</v>
      </c>
      <c r="W22" s="289">
        <v>428873.62609942525</v>
      </c>
      <c r="X22" s="79"/>
      <c r="Y22" s="79"/>
      <c r="Z22" s="79"/>
      <c r="AA22" s="79"/>
      <c r="AB22" s="290">
        <v>15832.064594910415</v>
      </c>
      <c r="AC22" s="79"/>
      <c r="AD22" s="79"/>
      <c r="AE22" s="79"/>
      <c r="AF22" s="79"/>
      <c r="AG22" s="289">
        <v>22429.580480403067</v>
      </c>
      <c r="AH22" s="289">
        <v>0</v>
      </c>
      <c r="AI22" s="79"/>
      <c r="AJ22" s="79"/>
      <c r="AK22" s="289">
        <v>0</v>
      </c>
      <c r="AL22" s="289">
        <v>0</v>
      </c>
      <c r="AM22" s="79"/>
      <c r="AN22" s="79"/>
      <c r="AO22" s="289">
        <v>385063.70152251818</v>
      </c>
      <c r="AP22" s="289">
        <v>0</v>
      </c>
    </row>
    <row r="23" spans="3:44" x14ac:dyDescent="0.25">
      <c r="E23" s="32"/>
      <c r="F23" s="72" t="s">
        <v>299</v>
      </c>
      <c r="G23" s="72" t="s">
        <v>243</v>
      </c>
      <c r="J23" s="79"/>
      <c r="K23" s="79"/>
      <c r="L23" s="79"/>
      <c r="M23" s="79"/>
      <c r="N23" s="79"/>
      <c r="O23" s="79"/>
      <c r="P23" s="79"/>
      <c r="Q23" s="79"/>
      <c r="R23" s="79"/>
      <c r="S23" s="289">
        <v>165.30614809900308</v>
      </c>
      <c r="T23" s="289">
        <v>27199.510570379593</v>
      </c>
      <c r="U23" s="289">
        <v>617575.92856148328</v>
      </c>
      <c r="V23" s="289">
        <v>56991.393995636892</v>
      </c>
      <c r="W23" s="289">
        <v>401128.44876738428</v>
      </c>
      <c r="X23" s="79"/>
      <c r="Y23" s="79"/>
      <c r="Z23" s="79"/>
      <c r="AA23" s="79"/>
      <c r="AB23" s="290">
        <v>62407.524160774294</v>
      </c>
      <c r="AC23" s="79"/>
      <c r="AD23" s="79"/>
      <c r="AE23" s="79"/>
      <c r="AF23" s="79"/>
      <c r="AG23" s="289">
        <v>25751.216289277676</v>
      </c>
      <c r="AH23" s="289">
        <v>0</v>
      </c>
      <c r="AI23" s="79"/>
      <c r="AJ23" s="79"/>
      <c r="AK23" s="289">
        <v>0</v>
      </c>
      <c r="AL23" s="289">
        <v>0</v>
      </c>
      <c r="AM23" s="79"/>
      <c r="AN23" s="79"/>
      <c r="AO23" s="289">
        <v>361762.50157246564</v>
      </c>
      <c r="AP23" s="289">
        <v>0</v>
      </c>
    </row>
    <row r="24" spans="3:44" x14ac:dyDescent="0.25">
      <c r="E24" s="32"/>
      <c r="F24" s="72" t="s">
        <v>248</v>
      </c>
      <c r="G24" s="72" t="s">
        <v>248</v>
      </c>
      <c r="J24" s="289">
        <v>644589.33333333326</v>
      </c>
      <c r="K24" s="289">
        <v>62320.756400064245</v>
      </c>
      <c r="L24" s="289">
        <v>74712.24696844838</v>
      </c>
      <c r="M24" s="289">
        <v>61993.405337657059</v>
      </c>
      <c r="N24" s="289">
        <v>10120.901457473723</v>
      </c>
      <c r="O24" s="289">
        <v>2439.6302539687426</v>
      </c>
      <c r="P24" s="289">
        <v>408.11128582133045</v>
      </c>
      <c r="Q24" s="289">
        <v>0</v>
      </c>
      <c r="R24" s="289">
        <v>1</v>
      </c>
      <c r="S24" s="289">
        <v>72.364170019668492</v>
      </c>
      <c r="T24" s="289">
        <v>972.04369291698447</v>
      </c>
      <c r="U24" s="289">
        <v>6687.6539205867348</v>
      </c>
      <c r="V24" s="289">
        <v>89.749543719368091</v>
      </c>
      <c r="W24" s="289">
        <v>723.15193655095402</v>
      </c>
      <c r="X24" s="289">
        <v>261</v>
      </c>
      <c r="Y24" s="289">
        <v>2329.333333333333</v>
      </c>
      <c r="Z24" s="289">
        <v>1406</v>
      </c>
      <c r="AA24" s="289">
        <v>6</v>
      </c>
      <c r="AB24" s="289">
        <v>14</v>
      </c>
      <c r="AC24" s="289">
        <v>404.27777777777777</v>
      </c>
      <c r="AD24" s="289">
        <v>0</v>
      </c>
      <c r="AE24" s="289">
        <v>779.57731074699097</v>
      </c>
      <c r="AF24" s="289">
        <v>0</v>
      </c>
      <c r="AG24" s="289">
        <v>44.041666727513075</v>
      </c>
      <c r="AH24" s="289">
        <v>0</v>
      </c>
      <c r="AI24" s="289">
        <v>2</v>
      </c>
      <c r="AJ24" s="289">
        <v>0</v>
      </c>
      <c r="AK24" s="289">
        <v>0</v>
      </c>
      <c r="AL24" s="289">
        <v>0</v>
      </c>
      <c r="AM24" s="289">
        <v>293</v>
      </c>
      <c r="AN24" s="289">
        <v>0</v>
      </c>
      <c r="AO24" s="289">
        <v>100</v>
      </c>
      <c r="AP24" s="289">
        <v>0</v>
      </c>
    </row>
    <row r="25" spans="3:44" x14ac:dyDescent="0.25">
      <c r="E25" s="32"/>
      <c r="F25" s="72" t="s">
        <v>300</v>
      </c>
      <c r="G25" s="72" t="s">
        <v>301</v>
      </c>
      <c r="J25" s="79"/>
      <c r="K25" s="79"/>
      <c r="L25" s="79"/>
      <c r="M25" s="79"/>
      <c r="N25" s="79"/>
      <c r="O25" s="79"/>
      <c r="P25" s="79"/>
      <c r="Q25" s="79"/>
      <c r="R25" s="79"/>
      <c r="S25" s="79"/>
      <c r="T25" s="79"/>
      <c r="U25" s="289">
        <v>864032.64025708009</v>
      </c>
      <c r="V25" s="289">
        <v>31725.680154948222</v>
      </c>
      <c r="W25" s="289">
        <v>417431.11194524198</v>
      </c>
      <c r="X25" s="79"/>
      <c r="Y25" s="79"/>
      <c r="Z25" s="79"/>
      <c r="AA25" s="79"/>
      <c r="AB25" s="79"/>
      <c r="AC25" s="79"/>
      <c r="AD25" s="79"/>
      <c r="AE25" s="79"/>
      <c r="AF25" s="79"/>
      <c r="AG25" s="79"/>
      <c r="AH25" s="79"/>
      <c r="AI25" s="79"/>
      <c r="AJ25" s="79"/>
      <c r="AK25" s="79"/>
      <c r="AL25" s="79"/>
      <c r="AM25" s="79"/>
      <c r="AN25" s="79"/>
      <c r="AO25" s="79"/>
      <c r="AP25" s="79"/>
    </row>
    <row r="26" spans="3:44" x14ac:dyDescent="0.25">
      <c r="E26" s="32"/>
      <c r="F26" s="72" t="s">
        <v>302</v>
      </c>
      <c r="G26" s="72" t="s">
        <v>301</v>
      </c>
      <c r="J26" s="79"/>
      <c r="K26" s="79"/>
      <c r="L26" s="79"/>
      <c r="M26" s="79"/>
      <c r="N26" s="79"/>
      <c r="O26" s="79"/>
      <c r="P26" s="79"/>
      <c r="Q26" s="79"/>
      <c r="R26" s="79"/>
      <c r="S26" s="79"/>
      <c r="T26" s="79"/>
      <c r="U26" s="289">
        <v>19860.688270861865</v>
      </c>
      <c r="V26" s="289">
        <v>1241.120857125464</v>
      </c>
      <c r="W26" s="289">
        <v>11113.625162499586</v>
      </c>
      <c r="X26" s="79"/>
      <c r="Y26" s="79"/>
      <c r="Z26" s="79"/>
      <c r="AA26" s="79"/>
      <c r="AB26" s="79"/>
      <c r="AC26" s="79"/>
      <c r="AD26" s="79"/>
      <c r="AE26" s="79"/>
      <c r="AF26" s="79"/>
      <c r="AG26" s="79"/>
      <c r="AH26" s="79"/>
      <c r="AI26" s="79"/>
      <c r="AJ26" s="79"/>
      <c r="AK26" s="79"/>
      <c r="AL26" s="79"/>
      <c r="AM26" s="79"/>
      <c r="AN26" s="79"/>
      <c r="AO26" s="79"/>
      <c r="AP26" s="79"/>
    </row>
    <row r="27" spans="3:44" x14ac:dyDescent="0.25">
      <c r="E27" s="32"/>
      <c r="F27" s="80" t="s">
        <v>303</v>
      </c>
      <c r="G27" s="80" t="s">
        <v>304</v>
      </c>
      <c r="H27" s="37"/>
      <c r="I27" s="37"/>
      <c r="J27" s="81"/>
      <c r="K27" s="81"/>
      <c r="L27" s="81"/>
      <c r="M27" s="81"/>
      <c r="N27" s="81"/>
      <c r="O27" s="81"/>
      <c r="P27" s="81"/>
      <c r="Q27" s="81"/>
      <c r="R27" s="81"/>
      <c r="S27" s="81"/>
      <c r="T27" s="81"/>
      <c r="U27" s="291">
        <v>135320.58640173872</v>
      </c>
      <c r="V27" s="291">
        <v>8352.9120220057539</v>
      </c>
      <c r="W27" s="291">
        <v>159557.90273842067</v>
      </c>
      <c r="X27" s="81"/>
      <c r="Y27" s="81"/>
      <c r="Z27" s="81"/>
      <c r="AA27" s="81"/>
      <c r="AB27" s="81"/>
      <c r="AC27" s="81"/>
      <c r="AD27" s="81"/>
      <c r="AE27" s="291">
        <v>12047.748992658477</v>
      </c>
      <c r="AF27" s="81"/>
      <c r="AG27" s="291">
        <v>1323.8326474736825</v>
      </c>
      <c r="AH27" s="81"/>
      <c r="AI27" s="291">
        <v>0</v>
      </c>
      <c r="AJ27" s="81"/>
      <c r="AK27" s="291">
        <v>0</v>
      </c>
      <c r="AL27" s="81"/>
      <c r="AM27" s="291">
        <v>25810.491778498552</v>
      </c>
      <c r="AN27" s="81"/>
      <c r="AO27" s="291">
        <v>6845.2281192707514</v>
      </c>
      <c r="AP27" s="81"/>
    </row>
    <row r="28" spans="3:44" s="296" customFormat="1" x14ac:dyDescent="0.25">
      <c r="E28" s="297"/>
      <c r="F28" s="267"/>
      <c r="G28" s="267"/>
      <c r="J28" s="298"/>
      <c r="K28" s="298"/>
      <c r="L28" s="298"/>
      <c r="M28" s="298"/>
      <c r="N28" s="298"/>
      <c r="O28" s="298"/>
      <c r="P28" s="298"/>
      <c r="Q28" s="298"/>
      <c r="R28" s="298"/>
      <c r="S28" s="298"/>
      <c r="T28" s="298"/>
      <c r="U28" s="299"/>
      <c r="V28" s="299"/>
      <c r="W28" s="299"/>
      <c r="X28" s="298"/>
      <c r="Y28" s="298"/>
      <c r="Z28" s="298"/>
      <c r="AA28" s="298"/>
      <c r="AB28" s="298"/>
      <c r="AC28" s="298"/>
      <c r="AD28" s="298"/>
      <c r="AE28" s="299"/>
      <c r="AF28" s="298"/>
      <c r="AG28" s="299"/>
      <c r="AH28" s="298"/>
      <c r="AI28" s="299"/>
      <c r="AJ28" s="298"/>
      <c r="AK28" s="299"/>
      <c r="AL28" s="298"/>
      <c r="AM28" s="299"/>
      <c r="AN28" s="298"/>
      <c r="AO28" s="299"/>
      <c r="AP28" s="298"/>
    </row>
    <row r="29" spans="3:44" x14ac:dyDescent="0.25">
      <c r="E29" s="32" t="s">
        <v>305</v>
      </c>
      <c r="G29" s="80"/>
      <c r="H29" s="37"/>
      <c r="I29" t="s">
        <v>190</v>
      </c>
      <c r="J29" s="82"/>
      <c r="K29" s="82"/>
      <c r="L29" s="82"/>
      <c r="M29" s="82"/>
      <c r="N29" s="82"/>
      <c r="O29" s="82"/>
      <c r="P29" s="82"/>
      <c r="Q29" s="82"/>
      <c r="R29" s="82"/>
      <c r="S29" s="82"/>
      <c r="T29" s="82"/>
      <c r="U29" s="82"/>
      <c r="V29" s="82"/>
      <c r="W29" s="82"/>
      <c r="X29" s="82"/>
      <c r="Y29" s="82"/>
      <c r="Z29" s="82"/>
      <c r="AA29" s="82"/>
      <c r="AB29" s="82"/>
      <c r="AC29" s="82"/>
      <c r="AD29" s="82"/>
      <c r="AE29" s="82"/>
      <c r="AF29" s="82"/>
      <c r="AG29" s="82"/>
      <c r="AH29" s="82"/>
      <c r="AI29" s="82"/>
      <c r="AJ29" s="82"/>
      <c r="AK29" s="82"/>
      <c r="AL29" s="82"/>
      <c r="AM29" s="82"/>
      <c r="AN29" s="82"/>
      <c r="AO29" s="82"/>
      <c r="AP29" s="82"/>
      <c r="AR29" t="s">
        <v>296</v>
      </c>
    </row>
    <row r="30" spans="3:44" x14ac:dyDescent="0.25">
      <c r="E30" s="32"/>
      <c r="F30" s="78" t="s">
        <v>297</v>
      </c>
      <c r="G30" s="72" t="s">
        <v>243</v>
      </c>
      <c r="I30" s="23"/>
      <c r="J30" s="288">
        <v>7181.1549550215541</v>
      </c>
      <c r="K30" s="288">
        <v>32.004623830279179</v>
      </c>
      <c r="L30" s="288">
        <v>0</v>
      </c>
      <c r="M30" s="288">
        <v>75.020659613542549</v>
      </c>
      <c r="N30" s="288">
        <v>0</v>
      </c>
      <c r="O30" s="288">
        <v>0</v>
      </c>
      <c r="P30" s="288">
        <v>0</v>
      </c>
      <c r="Q30" s="83"/>
      <c r="R30" s="83"/>
      <c r="S30" s="288">
        <v>0</v>
      </c>
      <c r="T30" s="288">
        <v>0</v>
      </c>
      <c r="U30" s="288">
        <v>138.73525438149889</v>
      </c>
      <c r="V30" s="83"/>
      <c r="W30" s="83"/>
      <c r="X30" s="288">
        <v>0</v>
      </c>
      <c r="Y30" s="288">
        <v>0</v>
      </c>
      <c r="Z30" s="288">
        <v>0</v>
      </c>
      <c r="AA30" s="288">
        <v>0</v>
      </c>
      <c r="AB30" s="288">
        <v>0</v>
      </c>
      <c r="AC30" s="288">
        <v>0</v>
      </c>
      <c r="AD30" s="83"/>
      <c r="AE30" s="288">
        <v>0</v>
      </c>
      <c r="AF30" s="83"/>
      <c r="AG30" s="288">
        <v>0</v>
      </c>
      <c r="AH30" s="83"/>
      <c r="AI30" s="83"/>
      <c r="AJ30" s="83"/>
      <c r="AK30" s="83"/>
      <c r="AL30" s="83"/>
      <c r="AM30" s="83"/>
      <c r="AN30" s="83"/>
      <c r="AO30" s="83"/>
      <c r="AP30" s="83"/>
    </row>
    <row r="31" spans="3:44" x14ac:dyDescent="0.25">
      <c r="E31" s="32"/>
      <c r="F31" s="72" t="s">
        <v>298</v>
      </c>
      <c r="G31" s="72" t="s">
        <v>243</v>
      </c>
      <c r="J31" s="79"/>
      <c r="K31" s="289">
        <v>31.703541954711785</v>
      </c>
      <c r="L31" s="79"/>
      <c r="M31" s="79"/>
      <c r="N31" s="289">
        <v>0</v>
      </c>
      <c r="O31" s="79"/>
      <c r="P31" s="289">
        <v>0</v>
      </c>
      <c r="Q31" s="79"/>
      <c r="R31" s="79"/>
      <c r="S31" s="289">
        <v>0</v>
      </c>
      <c r="T31" s="289">
        <v>0</v>
      </c>
      <c r="U31" s="289">
        <v>631.64847703906742</v>
      </c>
      <c r="V31" s="79"/>
      <c r="W31" s="79"/>
      <c r="X31" s="79"/>
      <c r="Y31" s="79"/>
      <c r="Z31" s="79"/>
      <c r="AA31" s="79"/>
      <c r="AB31" s="290">
        <v>0</v>
      </c>
      <c r="AC31" s="79"/>
      <c r="AD31" s="79"/>
      <c r="AE31" s="79"/>
      <c r="AF31" s="79"/>
      <c r="AG31" s="289">
        <v>0</v>
      </c>
      <c r="AH31" s="79"/>
      <c r="AI31" s="79"/>
      <c r="AJ31" s="79"/>
      <c r="AK31" s="79"/>
      <c r="AL31" s="79"/>
      <c r="AM31" s="79"/>
      <c r="AN31" s="79"/>
      <c r="AO31" s="79"/>
      <c r="AP31" s="79"/>
    </row>
    <row r="32" spans="3:44" x14ac:dyDescent="0.25">
      <c r="E32" s="32"/>
      <c r="F32" s="72" t="s">
        <v>299</v>
      </c>
      <c r="G32" s="72" t="s">
        <v>243</v>
      </c>
      <c r="J32" s="79"/>
      <c r="K32" s="79"/>
      <c r="L32" s="79"/>
      <c r="M32" s="79"/>
      <c r="N32" s="79"/>
      <c r="O32" s="79"/>
      <c r="P32" s="79"/>
      <c r="Q32" s="79"/>
      <c r="R32" s="79"/>
      <c r="S32" s="289">
        <v>0</v>
      </c>
      <c r="T32" s="289">
        <v>0</v>
      </c>
      <c r="U32" s="289">
        <v>303.74096809783396</v>
      </c>
      <c r="V32" s="79"/>
      <c r="W32" s="79"/>
      <c r="X32" s="79"/>
      <c r="Y32" s="79"/>
      <c r="Z32" s="79"/>
      <c r="AA32" s="79"/>
      <c r="AB32" s="290">
        <v>0</v>
      </c>
      <c r="AC32" s="79"/>
      <c r="AD32" s="79"/>
      <c r="AE32" s="79"/>
      <c r="AF32" s="79"/>
      <c r="AG32" s="289">
        <v>0</v>
      </c>
      <c r="AH32" s="79"/>
      <c r="AI32" s="79"/>
      <c r="AJ32" s="79"/>
      <c r="AK32" s="79"/>
      <c r="AL32" s="79"/>
      <c r="AM32" s="79"/>
      <c r="AN32" s="79"/>
      <c r="AO32" s="79"/>
      <c r="AP32" s="79"/>
    </row>
    <row r="33" spans="3:44" x14ac:dyDescent="0.25">
      <c r="E33" s="32"/>
      <c r="F33" s="72" t="s">
        <v>248</v>
      </c>
      <c r="G33" s="72" t="s">
        <v>248</v>
      </c>
      <c r="J33" s="289">
        <v>2391.1231469765908</v>
      </c>
      <c r="K33" s="289">
        <v>7</v>
      </c>
      <c r="L33" s="289">
        <v>0</v>
      </c>
      <c r="M33" s="289">
        <v>17</v>
      </c>
      <c r="N33" s="289">
        <v>0</v>
      </c>
      <c r="O33" s="289">
        <v>0</v>
      </c>
      <c r="P33" s="289">
        <v>0</v>
      </c>
      <c r="Q33" s="79"/>
      <c r="R33" s="79"/>
      <c r="S33" s="289">
        <v>0</v>
      </c>
      <c r="T33" s="289">
        <v>0</v>
      </c>
      <c r="U33" s="289">
        <v>4.3333333333333339</v>
      </c>
      <c r="V33" s="79"/>
      <c r="W33" s="79"/>
      <c r="X33" s="289">
        <v>0</v>
      </c>
      <c r="Y33" s="289">
        <v>0</v>
      </c>
      <c r="Z33" s="289">
        <v>0</v>
      </c>
      <c r="AA33" s="289">
        <v>0</v>
      </c>
      <c r="AB33" s="289">
        <v>0</v>
      </c>
      <c r="AC33" s="289">
        <v>0</v>
      </c>
      <c r="AD33" s="79"/>
      <c r="AE33" s="289">
        <v>0</v>
      </c>
      <c r="AF33" s="79"/>
      <c r="AG33" s="289">
        <v>0</v>
      </c>
      <c r="AH33" s="79"/>
      <c r="AI33" s="79"/>
      <c r="AJ33" s="79"/>
      <c r="AK33" s="79"/>
      <c r="AL33" s="79"/>
      <c r="AM33" s="79"/>
      <c r="AN33" s="79"/>
      <c r="AO33" s="79"/>
      <c r="AP33" s="79"/>
    </row>
    <row r="34" spans="3:44" x14ac:dyDescent="0.25">
      <c r="E34" s="32"/>
      <c r="F34" s="72" t="s">
        <v>300</v>
      </c>
      <c r="G34" s="72" t="s">
        <v>301</v>
      </c>
      <c r="J34" s="79"/>
      <c r="K34" s="79"/>
      <c r="L34" s="79"/>
      <c r="M34" s="79"/>
      <c r="N34" s="79"/>
      <c r="O34" s="79"/>
      <c r="P34" s="79"/>
      <c r="Q34" s="79"/>
      <c r="R34" s="79"/>
      <c r="S34" s="79"/>
      <c r="T34" s="79"/>
      <c r="U34" s="289">
        <v>716.73333333333312</v>
      </c>
      <c r="V34" s="79"/>
      <c r="W34" s="79"/>
      <c r="X34" s="79"/>
      <c r="Y34" s="79"/>
      <c r="Z34" s="79"/>
      <c r="AA34" s="79"/>
      <c r="AB34" s="79"/>
      <c r="AC34" s="79"/>
      <c r="AD34" s="79"/>
      <c r="AE34" s="79"/>
      <c r="AF34" s="79"/>
      <c r="AG34" s="79"/>
      <c r="AH34" s="79"/>
      <c r="AI34" s="79"/>
      <c r="AJ34" s="79"/>
      <c r="AK34" s="79"/>
      <c r="AL34" s="79"/>
      <c r="AM34" s="79"/>
      <c r="AN34" s="79"/>
      <c r="AO34" s="79"/>
      <c r="AP34" s="79"/>
    </row>
    <row r="35" spans="3:44" x14ac:dyDescent="0.25">
      <c r="E35" s="32"/>
      <c r="F35" s="72" t="s">
        <v>302</v>
      </c>
      <c r="G35" s="72" t="s">
        <v>301</v>
      </c>
      <c r="J35" s="79"/>
      <c r="K35" s="79"/>
      <c r="L35" s="79"/>
      <c r="M35" s="79"/>
      <c r="N35" s="79"/>
      <c r="O35" s="79"/>
      <c r="P35" s="79"/>
      <c r="Q35" s="79"/>
      <c r="R35" s="79"/>
      <c r="S35" s="79"/>
      <c r="T35" s="79"/>
      <c r="U35" s="289">
        <v>0</v>
      </c>
      <c r="V35" s="79"/>
      <c r="W35" s="79"/>
      <c r="X35" s="79"/>
      <c r="Y35" s="79"/>
      <c r="Z35" s="79"/>
      <c r="AA35" s="79"/>
      <c r="AB35" s="79"/>
      <c r="AC35" s="79"/>
      <c r="AD35" s="79"/>
      <c r="AE35" s="79"/>
      <c r="AF35" s="79"/>
      <c r="AG35" s="79"/>
      <c r="AH35" s="79"/>
      <c r="AI35" s="79"/>
      <c r="AJ35" s="79"/>
      <c r="AK35" s="79"/>
      <c r="AL35" s="79"/>
      <c r="AM35" s="79"/>
      <c r="AN35" s="79"/>
      <c r="AO35" s="79"/>
      <c r="AP35" s="79"/>
    </row>
    <row r="36" spans="3:44" x14ac:dyDescent="0.25">
      <c r="E36" s="32"/>
      <c r="F36" s="80" t="s">
        <v>303</v>
      </c>
      <c r="G36" s="80" t="s">
        <v>304</v>
      </c>
      <c r="H36" s="37"/>
      <c r="I36" s="37"/>
      <c r="J36" s="81"/>
      <c r="K36" s="81"/>
      <c r="L36" s="81"/>
      <c r="M36" s="81"/>
      <c r="N36" s="81"/>
      <c r="O36" s="81"/>
      <c r="P36" s="81"/>
      <c r="Q36" s="81"/>
      <c r="R36" s="81"/>
      <c r="S36" s="81"/>
      <c r="T36" s="81"/>
      <c r="U36" s="291">
        <v>22.668209269518417</v>
      </c>
      <c r="V36" s="81"/>
      <c r="W36" s="81"/>
      <c r="X36" s="81"/>
      <c r="Y36" s="81"/>
      <c r="Z36" s="81"/>
      <c r="AA36" s="81"/>
      <c r="AB36" s="81"/>
      <c r="AC36" s="81"/>
      <c r="AD36" s="81"/>
      <c r="AE36" s="291">
        <v>0</v>
      </c>
      <c r="AF36" s="81"/>
      <c r="AG36" s="291">
        <v>0</v>
      </c>
      <c r="AH36" s="81"/>
      <c r="AI36" s="81"/>
      <c r="AJ36" s="81"/>
      <c r="AK36" s="81"/>
      <c r="AL36" s="81"/>
      <c r="AM36" s="81"/>
      <c r="AN36" s="81"/>
      <c r="AO36" s="81"/>
      <c r="AP36" s="81"/>
    </row>
    <row r="37" spans="3:44" s="296" customFormat="1" x14ac:dyDescent="0.25">
      <c r="E37" s="297"/>
      <c r="F37" s="267"/>
      <c r="G37" s="267"/>
      <c r="J37" s="298"/>
      <c r="K37" s="298"/>
      <c r="L37" s="298"/>
      <c r="M37" s="298"/>
      <c r="N37" s="298"/>
      <c r="O37" s="298"/>
      <c r="P37" s="298"/>
      <c r="Q37" s="298"/>
      <c r="R37" s="298"/>
      <c r="S37" s="298"/>
      <c r="T37" s="298"/>
      <c r="U37" s="299"/>
      <c r="V37" s="298"/>
      <c r="W37" s="298"/>
      <c r="X37" s="298"/>
      <c r="Y37" s="298"/>
      <c r="Z37" s="298"/>
      <c r="AA37" s="298"/>
      <c r="AB37" s="298"/>
      <c r="AC37" s="298"/>
      <c r="AD37" s="298"/>
      <c r="AE37" s="299"/>
      <c r="AF37" s="298"/>
      <c r="AG37" s="299"/>
      <c r="AH37" s="298"/>
      <c r="AI37" s="298"/>
      <c r="AJ37" s="298"/>
      <c r="AK37" s="298"/>
      <c r="AL37" s="298"/>
      <c r="AM37" s="298"/>
      <c r="AN37" s="298"/>
      <c r="AO37" s="298"/>
      <c r="AP37" s="298"/>
    </row>
    <row r="38" spans="3:44" x14ac:dyDescent="0.25">
      <c r="E38" s="32" t="s">
        <v>306</v>
      </c>
      <c r="G38" s="80"/>
      <c r="H38" s="37"/>
      <c r="I38" t="s">
        <v>190</v>
      </c>
      <c r="J38" s="82"/>
      <c r="K38" s="82"/>
      <c r="L38" s="82"/>
      <c r="M38" s="82"/>
      <c r="N38" s="82"/>
      <c r="O38" s="82"/>
      <c r="P38" s="82"/>
      <c r="Q38" s="82"/>
      <c r="R38" s="82"/>
      <c r="S38" s="82"/>
      <c r="T38" s="82"/>
      <c r="U38" s="82"/>
      <c r="V38" s="82"/>
      <c r="W38" s="82"/>
      <c r="X38" s="82"/>
      <c r="Y38" s="82"/>
      <c r="Z38" s="82"/>
      <c r="AA38" s="82"/>
      <c r="AB38" s="82"/>
      <c r="AC38" s="82"/>
      <c r="AD38" s="82"/>
      <c r="AE38" s="82"/>
      <c r="AF38" s="82"/>
      <c r="AG38" s="82"/>
      <c r="AH38" s="82"/>
      <c r="AI38" s="82"/>
      <c r="AJ38" s="82"/>
      <c r="AK38" s="82"/>
      <c r="AL38" s="82"/>
      <c r="AM38" s="82"/>
      <c r="AN38" s="82"/>
      <c r="AO38" s="82"/>
      <c r="AP38" s="82"/>
      <c r="AR38" t="s">
        <v>296</v>
      </c>
    </row>
    <row r="39" spans="3:44" x14ac:dyDescent="0.25">
      <c r="F39" s="78" t="s">
        <v>297</v>
      </c>
      <c r="G39" s="72" t="s">
        <v>243</v>
      </c>
      <c r="I39" s="23"/>
      <c r="J39" s="288">
        <v>12017.139323785283</v>
      </c>
      <c r="K39" s="288">
        <v>147.71628354770948</v>
      </c>
      <c r="L39" s="288">
        <v>0</v>
      </c>
      <c r="M39" s="288">
        <v>709.65343522263936</v>
      </c>
      <c r="N39" s="288">
        <v>0</v>
      </c>
      <c r="O39" s="288">
        <v>0</v>
      </c>
      <c r="P39" s="288">
        <v>0</v>
      </c>
      <c r="Q39" s="83"/>
      <c r="R39" s="83"/>
      <c r="S39" s="288">
        <v>0</v>
      </c>
      <c r="T39" s="288">
        <v>0</v>
      </c>
      <c r="U39" s="288">
        <v>140.52099220025406</v>
      </c>
      <c r="V39" s="288">
        <v>62.247221699127103</v>
      </c>
      <c r="W39" s="288">
        <v>0</v>
      </c>
      <c r="X39" s="288">
        <v>0</v>
      </c>
      <c r="Y39" s="288">
        <v>3.7270000000000003</v>
      </c>
      <c r="Z39" s="288">
        <v>0</v>
      </c>
      <c r="AA39" s="288">
        <v>0</v>
      </c>
      <c r="AB39" s="288">
        <v>0</v>
      </c>
      <c r="AC39" s="288">
        <v>0</v>
      </c>
      <c r="AD39" s="288">
        <v>0</v>
      </c>
      <c r="AE39" s="288">
        <v>0</v>
      </c>
      <c r="AF39" s="83"/>
      <c r="AG39" s="288">
        <v>0</v>
      </c>
      <c r="AH39" s="83"/>
      <c r="AI39" s="288">
        <v>0</v>
      </c>
      <c r="AJ39" s="83"/>
      <c r="AK39" s="288">
        <v>0</v>
      </c>
      <c r="AL39" s="83"/>
      <c r="AM39" s="288">
        <v>0</v>
      </c>
      <c r="AN39" s="83"/>
      <c r="AO39" s="288">
        <v>0</v>
      </c>
      <c r="AP39" s="83"/>
    </row>
    <row r="40" spans="3:44" x14ac:dyDescent="0.25">
      <c r="F40" s="72" t="s">
        <v>298</v>
      </c>
      <c r="G40" s="72" t="s">
        <v>243</v>
      </c>
      <c r="J40" s="79"/>
      <c r="K40" s="289">
        <v>109.38469506525284</v>
      </c>
      <c r="L40" s="79"/>
      <c r="M40" s="79"/>
      <c r="N40" s="289">
        <v>0</v>
      </c>
      <c r="O40" s="79"/>
      <c r="P40" s="289">
        <v>0</v>
      </c>
      <c r="Q40" s="79"/>
      <c r="R40" s="79"/>
      <c r="S40" s="289">
        <v>0</v>
      </c>
      <c r="T40" s="289">
        <v>0</v>
      </c>
      <c r="U40" s="289">
        <v>720.12355589035235</v>
      </c>
      <c r="V40" s="289">
        <v>246.29606869044625</v>
      </c>
      <c r="W40" s="289">
        <v>0</v>
      </c>
      <c r="X40" s="79"/>
      <c r="Y40" s="79"/>
      <c r="Z40" s="79"/>
      <c r="AA40" s="79"/>
      <c r="AB40" s="290">
        <v>0</v>
      </c>
      <c r="AC40" s="79"/>
      <c r="AD40" s="79"/>
      <c r="AE40" s="79"/>
      <c r="AF40" s="79"/>
      <c r="AG40" s="289">
        <v>0</v>
      </c>
      <c r="AH40" s="79"/>
      <c r="AI40" s="79"/>
      <c r="AJ40" s="79"/>
      <c r="AK40" s="289">
        <v>0</v>
      </c>
      <c r="AL40" s="79"/>
      <c r="AM40" s="79"/>
      <c r="AN40" s="79"/>
      <c r="AO40" s="289">
        <v>0</v>
      </c>
      <c r="AP40" s="79"/>
    </row>
    <row r="41" spans="3:44" x14ac:dyDescent="0.25">
      <c r="F41" s="72" t="s">
        <v>299</v>
      </c>
      <c r="G41" s="72" t="s">
        <v>243</v>
      </c>
      <c r="J41" s="79"/>
      <c r="K41" s="79"/>
      <c r="L41" s="79"/>
      <c r="M41" s="79"/>
      <c r="N41" s="79"/>
      <c r="O41" s="79"/>
      <c r="P41" s="79"/>
      <c r="Q41" s="79"/>
      <c r="R41" s="79"/>
      <c r="S41" s="289">
        <v>0</v>
      </c>
      <c r="T41" s="289">
        <v>0</v>
      </c>
      <c r="U41" s="289">
        <v>516.84316448880031</v>
      </c>
      <c r="V41" s="289">
        <v>266.38424524969162</v>
      </c>
      <c r="W41" s="289">
        <v>0</v>
      </c>
      <c r="X41" s="79"/>
      <c r="Y41" s="79"/>
      <c r="Z41" s="79"/>
      <c r="AA41" s="79"/>
      <c r="AB41" s="290">
        <v>0</v>
      </c>
      <c r="AC41" s="79"/>
      <c r="AD41" s="79"/>
      <c r="AE41" s="79"/>
      <c r="AF41" s="79"/>
      <c r="AG41" s="289">
        <v>0</v>
      </c>
      <c r="AH41" s="79"/>
      <c r="AI41" s="79"/>
      <c r="AJ41" s="79"/>
      <c r="AK41" s="289">
        <v>0</v>
      </c>
      <c r="AL41" s="79"/>
      <c r="AM41" s="79"/>
      <c r="AN41" s="79"/>
      <c r="AO41" s="289">
        <v>0</v>
      </c>
      <c r="AP41" s="79"/>
    </row>
    <row r="42" spans="3:44" x14ac:dyDescent="0.25">
      <c r="F42" s="72" t="s">
        <v>248</v>
      </c>
      <c r="G42" s="72" t="s">
        <v>248</v>
      </c>
      <c r="J42" s="289">
        <v>4183.7256135925154</v>
      </c>
      <c r="K42" s="289">
        <v>54</v>
      </c>
      <c r="L42" s="289">
        <v>0</v>
      </c>
      <c r="M42" s="289">
        <v>48.315233102239723</v>
      </c>
      <c r="N42" s="289">
        <v>0</v>
      </c>
      <c r="O42" s="289">
        <v>0</v>
      </c>
      <c r="P42" s="289">
        <v>0</v>
      </c>
      <c r="Q42" s="79"/>
      <c r="R42" s="79"/>
      <c r="S42" s="289">
        <v>0</v>
      </c>
      <c r="T42" s="289">
        <v>0</v>
      </c>
      <c r="U42" s="289">
        <v>6.0370370370370372</v>
      </c>
      <c r="V42" s="289">
        <v>1</v>
      </c>
      <c r="W42" s="289">
        <v>0</v>
      </c>
      <c r="X42" s="289">
        <v>0</v>
      </c>
      <c r="Y42" s="289">
        <v>2</v>
      </c>
      <c r="Z42" s="289">
        <v>0</v>
      </c>
      <c r="AA42" s="289">
        <v>0</v>
      </c>
      <c r="AB42" s="289">
        <v>0</v>
      </c>
      <c r="AC42" s="289">
        <v>0</v>
      </c>
      <c r="AD42" s="289">
        <v>0</v>
      </c>
      <c r="AE42" s="289">
        <v>0</v>
      </c>
      <c r="AF42" s="79"/>
      <c r="AG42" s="289">
        <v>0</v>
      </c>
      <c r="AH42" s="79"/>
      <c r="AI42" s="289">
        <v>0</v>
      </c>
      <c r="AJ42" s="79"/>
      <c r="AK42" s="289">
        <v>0</v>
      </c>
      <c r="AL42" s="79"/>
      <c r="AM42" s="289">
        <v>0</v>
      </c>
      <c r="AN42" s="79"/>
      <c r="AO42" s="289">
        <v>0</v>
      </c>
      <c r="AP42" s="79"/>
    </row>
    <row r="43" spans="3:44" x14ac:dyDescent="0.25">
      <c r="F43" s="72" t="s">
        <v>300</v>
      </c>
      <c r="G43" s="72" t="s">
        <v>301</v>
      </c>
      <c r="J43" s="79"/>
      <c r="K43" s="79"/>
      <c r="L43" s="79"/>
      <c r="M43" s="79"/>
      <c r="N43" s="79"/>
      <c r="O43" s="79"/>
      <c r="P43" s="79"/>
      <c r="Q43" s="79"/>
      <c r="R43" s="79"/>
      <c r="S43" s="79"/>
      <c r="T43" s="79"/>
      <c r="U43" s="289">
        <v>1598.0899470899474</v>
      </c>
      <c r="V43" s="289">
        <v>228.00000000000003</v>
      </c>
      <c r="W43" s="289">
        <v>0</v>
      </c>
      <c r="X43" s="79"/>
      <c r="Y43" s="79"/>
      <c r="Z43" s="79"/>
      <c r="AA43" s="79"/>
      <c r="AB43" s="79"/>
      <c r="AC43" s="79"/>
      <c r="AD43" s="79"/>
      <c r="AE43" s="79"/>
      <c r="AF43" s="79"/>
      <c r="AG43" s="79"/>
      <c r="AH43" s="79"/>
      <c r="AI43" s="79"/>
      <c r="AJ43" s="79"/>
      <c r="AK43" s="79"/>
      <c r="AL43" s="79"/>
      <c r="AM43" s="79"/>
      <c r="AN43" s="79"/>
      <c r="AO43" s="79"/>
      <c r="AP43" s="79"/>
    </row>
    <row r="44" spans="3:44" x14ac:dyDescent="0.25">
      <c r="F44" s="72" t="s">
        <v>302</v>
      </c>
      <c r="G44" s="72" t="s">
        <v>301</v>
      </c>
      <c r="J44" s="79"/>
      <c r="K44" s="79"/>
      <c r="L44" s="79"/>
      <c r="M44" s="79"/>
      <c r="N44" s="79"/>
      <c r="O44" s="79"/>
      <c r="P44" s="79"/>
      <c r="Q44" s="79"/>
      <c r="R44" s="79"/>
      <c r="S44" s="79"/>
      <c r="T44" s="79"/>
      <c r="U44" s="289">
        <v>0</v>
      </c>
      <c r="V44" s="289">
        <v>0</v>
      </c>
      <c r="W44" s="289">
        <v>0</v>
      </c>
      <c r="X44" s="79"/>
      <c r="Y44" s="79"/>
      <c r="Z44" s="79"/>
      <c r="AA44" s="79"/>
      <c r="AB44" s="79"/>
      <c r="AC44" s="79"/>
      <c r="AD44" s="79"/>
      <c r="AE44" s="79"/>
      <c r="AF44" s="79"/>
      <c r="AG44" s="79"/>
      <c r="AH44" s="79"/>
      <c r="AI44" s="79"/>
      <c r="AJ44" s="79"/>
      <c r="AK44" s="79"/>
      <c r="AL44" s="79"/>
      <c r="AM44" s="79"/>
      <c r="AN44" s="79"/>
      <c r="AO44" s="79"/>
      <c r="AP44" s="79"/>
    </row>
    <row r="45" spans="3:44" x14ac:dyDescent="0.25">
      <c r="F45" s="80" t="s">
        <v>303</v>
      </c>
      <c r="G45" s="80" t="s">
        <v>304</v>
      </c>
      <c r="H45" s="37"/>
      <c r="I45" s="37"/>
      <c r="J45" s="81"/>
      <c r="K45" s="81"/>
      <c r="L45" s="81"/>
      <c r="M45" s="81"/>
      <c r="N45" s="81"/>
      <c r="O45" s="81"/>
      <c r="P45" s="81"/>
      <c r="Q45" s="81"/>
      <c r="R45" s="81"/>
      <c r="S45" s="81"/>
      <c r="T45" s="81"/>
      <c r="U45" s="291">
        <v>88.821499249387699</v>
      </c>
      <c r="V45" s="291">
        <v>0</v>
      </c>
      <c r="W45" s="291">
        <v>0</v>
      </c>
      <c r="X45" s="81"/>
      <c r="Y45" s="81"/>
      <c r="Z45" s="81"/>
      <c r="AA45" s="81"/>
      <c r="AB45" s="81"/>
      <c r="AC45" s="81"/>
      <c r="AD45" s="81"/>
      <c r="AE45" s="291">
        <v>0</v>
      </c>
      <c r="AF45" s="81"/>
      <c r="AG45" s="291">
        <v>0</v>
      </c>
      <c r="AH45" s="81"/>
      <c r="AI45" s="291">
        <v>0</v>
      </c>
      <c r="AJ45" s="81"/>
      <c r="AK45" s="291">
        <v>0</v>
      </c>
      <c r="AL45" s="81"/>
      <c r="AM45" s="291">
        <v>0</v>
      </c>
      <c r="AN45" s="81"/>
      <c r="AO45" s="291">
        <v>0</v>
      </c>
      <c r="AP45" s="81"/>
    </row>
    <row r="46" spans="3:44" x14ac:dyDescent="0.25">
      <c r="G46" s="13"/>
    </row>
    <row r="47" spans="3:44" x14ac:dyDescent="0.25">
      <c r="C47" s="31" t="str">
        <f ca="1">INDEX('Version control'!$H$34:$H$56,MATCH($A$1,'Version control'!$F$34:$F$56,0),1)&amp;"-C: Split of units by distribution timeband"</f>
        <v>Input 102-C: Split of units by distribution timeband</v>
      </c>
      <c r="D47" s="31"/>
      <c r="E47" s="31"/>
      <c r="F47" s="31"/>
      <c r="G47" s="31"/>
      <c r="H47" s="31"/>
      <c r="I47" s="31"/>
      <c r="J47" s="31"/>
      <c r="K47" s="31"/>
      <c r="L47" s="31"/>
      <c r="M47" s="31"/>
      <c r="N47" s="31"/>
      <c r="O47" s="31"/>
      <c r="P47" s="31"/>
      <c r="Q47" s="31"/>
      <c r="R47" s="31"/>
      <c r="S47" s="31"/>
      <c r="T47" s="31"/>
      <c r="U47" s="31"/>
      <c r="V47" s="31"/>
      <c r="W47" s="31"/>
      <c r="X47" s="31"/>
      <c r="Y47" s="31"/>
      <c r="Z47" s="31"/>
      <c r="AA47" s="31"/>
      <c r="AB47" s="31"/>
      <c r="AC47" s="31"/>
      <c r="AD47" s="31"/>
      <c r="AE47" s="31"/>
      <c r="AF47" s="31"/>
      <c r="AG47" s="31"/>
      <c r="AH47" s="31"/>
      <c r="AI47" s="31"/>
      <c r="AJ47" s="31"/>
      <c r="AK47" s="31"/>
      <c r="AL47" s="31"/>
      <c r="AM47" s="31"/>
      <c r="AN47" s="31"/>
      <c r="AO47" s="31"/>
      <c r="AP47" s="31"/>
      <c r="AQ47" s="31"/>
      <c r="AR47" s="31"/>
    </row>
    <row r="48" spans="3:44" x14ac:dyDescent="0.25">
      <c r="G48" s="13"/>
    </row>
    <row r="49" spans="4:44" x14ac:dyDescent="0.25">
      <c r="D49" s="29" t="s">
        <v>307</v>
      </c>
      <c r="G49" s="13"/>
    </row>
    <row r="50" spans="4:44" x14ac:dyDescent="0.25">
      <c r="D50" s="29" t="s">
        <v>308</v>
      </c>
      <c r="G50" s="13"/>
      <c r="J50" s="84"/>
    </row>
    <row r="51" spans="4:44" x14ac:dyDescent="0.25">
      <c r="D51" s="29"/>
      <c r="G51" s="13"/>
      <c r="J51" s="84"/>
    </row>
    <row r="52" spans="4:44" x14ac:dyDescent="0.25">
      <c r="E52" s="32" t="s">
        <v>309</v>
      </c>
      <c r="G52" s="13"/>
      <c r="I52" t="s">
        <v>190</v>
      </c>
      <c r="AR52" t="s">
        <v>310</v>
      </c>
    </row>
    <row r="53" spans="4:44" x14ac:dyDescent="0.25">
      <c r="F53" s="23" t="s">
        <v>311</v>
      </c>
      <c r="G53" s="85" t="s">
        <v>203</v>
      </c>
      <c r="H53" s="23"/>
      <c r="I53" s="23"/>
      <c r="J53" s="292">
        <v>0.1257463894758776</v>
      </c>
      <c r="K53" s="292">
        <v>0.16514675741302734</v>
      </c>
      <c r="L53" s="292">
        <v>2.3738582495460719E-2</v>
      </c>
      <c r="M53" s="292">
        <v>0.10481242612388043</v>
      </c>
      <c r="N53" s="292">
        <v>0.14076181819201963</v>
      </c>
      <c r="O53" s="292">
        <v>1.7472755416572602E-2</v>
      </c>
      <c r="P53" s="292">
        <v>0.13930047615725716</v>
      </c>
      <c r="Q53" s="292">
        <v>0.13930047615725716</v>
      </c>
      <c r="R53" s="292">
        <v>0.13871942339013563</v>
      </c>
      <c r="S53" s="293">
        <v>1</v>
      </c>
      <c r="T53" s="293">
        <v>1</v>
      </c>
      <c r="U53" s="293">
        <v>1</v>
      </c>
      <c r="V53" s="293">
        <v>1</v>
      </c>
      <c r="W53" s="293">
        <v>1</v>
      </c>
      <c r="X53" s="292">
        <v>2.9428587803320194E-2</v>
      </c>
      <c r="Y53" s="292">
        <v>5.257481476189433E-2</v>
      </c>
      <c r="Z53" s="292">
        <v>9.9433749989639386E-2</v>
      </c>
      <c r="AA53" s="292">
        <v>1.3608203726877335E-2</v>
      </c>
      <c r="AB53" s="293">
        <v>1</v>
      </c>
      <c r="AC53" s="86"/>
      <c r="AD53" s="86"/>
      <c r="AE53" s="86"/>
      <c r="AF53" s="86"/>
      <c r="AG53" s="293">
        <v>1</v>
      </c>
      <c r="AH53" s="293">
        <v>1</v>
      </c>
      <c r="AI53" s="86"/>
      <c r="AJ53" s="86"/>
      <c r="AK53" s="293">
        <v>1</v>
      </c>
      <c r="AL53" s="293">
        <v>1</v>
      </c>
      <c r="AM53" s="86"/>
      <c r="AN53" s="86"/>
      <c r="AO53" s="293">
        <v>1</v>
      </c>
      <c r="AP53" s="293">
        <v>1</v>
      </c>
    </row>
    <row r="54" spans="4:44" x14ac:dyDescent="0.25">
      <c r="F54" t="s">
        <v>312</v>
      </c>
      <c r="G54" s="13" t="s">
        <v>203</v>
      </c>
      <c r="J54" s="287">
        <v>0.48876313606917504</v>
      </c>
      <c r="K54" s="287">
        <v>0.56736936897002022</v>
      </c>
      <c r="L54" s="287">
        <v>0.39720932963441263</v>
      </c>
      <c r="M54" s="287">
        <v>0.56822768387648304</v>
      </c>
      <c r="N54" s="287">
        <v>0.6601368293597939</v>
      </c>
      <c r="O54" s="287">
        <v>0.33288864322569406</v>
      </c>
      <c r="P54" s="287">
        <v>0.64282186564210952</v>
      </c>
      <c r="Q54" s="287">
        <v>0.64282186564210952</v>
      </c>
      <c r="R54" s="287">
        <v>0.65464304604460877</v>
      </c>
      <c r="S54" s="70"/>
      <c r="T54" s="70"/>
      <c r="U54" s="70"/>
      <c r="V54" s="70"/>
      <c r="W54" s="70"/>
      <c r="X54" s="287">
        <v>0.48256682712837229</v>
      </c>
      <c r="Y54" s="287">
        <v>0.1439291681844129</v>
      </c>
      <c r="Z54" s="287">
        <v>0.28088470409047422</v>
      </c>
      <c r="AA54" s="287">
        <v>0.78753620095614085</v>
      </c>
      <c r="AB54" s="70"/>
      <c r="AC54" s="70"/>
      <c r="AD54" s="70"/>
      <c r="AE54" s="70"/>
      <c r="AF54" s="70"/>
      <c r="AG54" s="70"/>
      <c r="AH54" s="70"/>
      <c r="AI54" s="70"/>
      <c r="AJ54" s="70"/>
      <c r="AK54" s="70"/>
      <c r="AL54" s="70"/>
      <c r="AM54" s="70"/>
      <c r="AN54" s="70"/>
      <c r="AO54" s="70"/>
      <c r="AP54" s="70"/>
    </row>
    <row r="55" spans="4:44" x14ac:dyDescent="0.25">
      <c r="F55" s="37" t="s">
        <v>313</v>
      </c>
      <c r="G55" s="87" t="s">
        <v>203</v>
      </c>
      <c r="H55" s="37"/>
      <c r="I55" s="37"/>
      <c r="J55" s="294">
        <v>0.38549047445494738</v>
      </c>
      <c r="K55" s="294">
        <v>0.26748387361695253</v>
      </c>
      <c r="L55" s="294">
        <v>0.57905208787012652</v>
      </c>
      <c r="M55" s="294">
        <v>0.32695988999963649</v>
      </c>
      <c r="N55" s="294">
        <v>0.19910135244818641</v>
      </c>
      <c r="O55" s="294">
        <v>0.64963860135773344</v>
      </c>
      <c r="P55" s="294">
        <v>0.21787765820063329</v>
      </c>
      <c r="Q55" s="294">
        <v>0.21787765820063329</v>
      </c>
      <c r="R55" s="294">
        <v>0.20663753056525558</v>
      </c>
      <c r="S55" s="71"/>
      <c r="T55" s="71"/>
      <c r="U55" s="71"/>
      <c r="V55" s="71"/>
      <c r="W55" s="71"/>
      <c r="X55" s="294">
        <v>0.48800458506830752</v>
      </c>
      <c r="Y55" s="294">
        <v>0.80349601705369267</v>
      </c>
      <c r="Z55" s="294">
        <v>0.61968154591988645</v>
      </c>
      <c r="AA55" s="294">
        <v>0.19885559531698174</v>
      </c>
      <c r="AB55" s="71"/>
      <c r="AC55" s="71"/>
      <c r="AD55" s="71"/>
      <c r="AE55" s="71"/>
      <c r="AF55" s="71"/>
      <c r="AG55" s="71"/>
      <c r="AH55" s="71"/>
      <c r="AI55" s="71"/>
      <c r="AJ55" s="71"/>
      <c r="AK55" s="71"/>
      <c r="AL55" s="71"/>
      <c r="AM55" s="71"/>
      <c r="AN55" s="71"/>
      <c r="AO55" s="71"/>
      <c r="AP55" s="71"/>
    </row>
    <row r="56" spans="4:44" x14ac:dyDescent="0.25">
      <c r="G56" s="13"/>
    </row>
    <row r="57" spans="4:44" x14ac:dyDescent="0.25">
      <c r="E57" s="32" t="s">
        <v>314</v>
      </c>
      <c r="G57" s="13"/>
      <c r="I57" t="s">
        <v>190</v>
      </c>
      <c r="AR57" t="s">
        <v>310</v>
      </c>
    </row>
    <row r="58" spans="4:44" x14ac:dyDescent="0.25">
      <c r="F58" s="23" t="s">
        <v>311</v>
      </c>
      <c r="G58" s="85" t="s">
        <v>203</v>
      </c>
      <c r="H58" s="23"/>
      <c r="I58" s="23"/>
      <c r="J58" s="88"/>
      <c r="K58" s="292">
        <v>1.0561760986369689E-2</v>
      </c>
      <c r="L58" s="88"/>
      <c r="M58" s="88"/>
      <c r="N58" s="292">
        <v>3.548350252312878E-6</v>
      </c>
      <c r="O58" s="88"/>
      <c r="P58" s="292">
        <v>0</v>
      </c>
      <c r="Q58" s="292">
        <v>0</v>
      </c>
      <c r="R58" s="292">
        <v>0</v>
      </c>
      <c r="S58" s="86"/>
      <c r="T58" s="86"/>
      <c r="U58" s="86"/>
      <c r="V58" s="86"/>
      <c r="W58" s="86"/>
      <c r="X58" s="88"/>
      <c r="Y58" s="88"/>
      <c r="Z58" s="88"/>
      <c r="AA58" s="88"/>
      <c r="AB58" s="86"/>
      <c r="AC58" s="88"/>
      <c r="AD58" s="88"/>
      <c r="AE58" s="88"/>
      <c r="AF58" s="88"/>
      <c r="AG58" s="86"/>
      <c r="AH58" s="86"/>
      <c r="AI58" s="88"/>
      <c r="AJ58" s="88"/>
      <c r="AK58" s="86"/>
      <c r="AL58" s="86"/>
      <c r="AM58" s="88"/>
      <c r="AN58" s="88"/>
      <c r="AO58" s="86"/>
      <c r="AP58" s="86"/>
    </row>
    <row r="59" spans="4:44" x14ac:dyDescent="0.25">
      <c r="F59" t="s">
        <v>312</v>
      </c>
      <c r="G59" s="13" t="s">
        <v>203</v>
      </c>
      <c r="J59" s="77"/>
      <c r="K59" s="287">
        <v>0.14847973630421821</v>
      </c>
      <c r="L59" s="77"/>
      <c r="M59" s="77"/>
      <c r="N59" s="287">
        <v>7.6947624624387881E-2</v>
      </c>
      <c r="O59" s="77"/>
      <c r="P59" s="287">
        <v>0.14724346024950605</v>
      </c>
      <c r="Q59" s="287">
        <v>0.14724346024950605</v>
      </c>
      <c r="R59" s="287">
        <v>0.14092740400497242</v>
      </c>
      <c r="S59" s="283">
        <v>1</v>
      </c>
      <c r="T59" s="283">
        <v>1</v>
      </c>
      <c r="U59" s="283">
        <v>1</v>
      </c>
      <c r="V59" s="283">
        <v>1</v>
      </c>
      <c r="W59" s="283">
        <v>1</v>
      </c>
      <c r="X59" s="77"/>
      <c r="Y59" s="77"/>
      <c r="Z59" s="77"/>
      <c r="AA59" s="77"/>
      <c r="AB59" s="283">
        <v>1</v>
      </c>
      <c r="AC59" s="77"/>
      <c r="AD59" s="77"/>
      <c r="AE59" s="77"/>
      <c r="AF59" s="77"/>
      <c r="AG59" s="283">
        <v>1</v>
      </c>
      <c r="AH59" s="283">
        <v>1</v>
      </c>
      <c r="AI59" s="77"/>
      <c r="AJ59" s="77"/>
      <c r="AK59" s="283">
        <v>1</v>
      </c>
      <c r="AL59" s="283">
        <v>1</v>
      </c>
      <c r="AM59" s="77"/>
      <c r="AN59" s="77"/>
      <c r="AO59" s="283">
        <v>1</v>
      </c>
      <c r="AP59" s="283">
        <v>1</v>
      </c>
    </row>
    <row r="60" spans="4:44" x14ac:dyDescent="0.25">
      <c r="F60" s="37" t="s">
        <v>313</v>
      </c>
      <c r="G60" s="87" t="s">
        <v>203</v>
      </c>
      <c r="H60" s="37"/>
      <c r="I60" s="37"/>
      <c r="J60" s="89"/>
      <c r="K60" s="294">
        <v>0.84095850270941208</v>
      </c>
      <c r="L60" s="89"/>
      <c r="M60" s="89"/>
      <c r="N60" s="294">
        <v>0.92304882702535984</v>
      </c>
      <c r="O60" s="89"/>
      <c r="P60" s="294">
        <v>0.85275653975049392</v>
      </c>
      <c r="Q60" s="294">
        <v>0.85275653975049392</v>
      </c>
      <c r="R60" s="294">
        <v>0.8590725959950275</v>
      </c>
      <c r="S60" s="71"/>
      <c r="T60" s="71"/>
      <c r="U60" s="71"/>
      <c r="V60" s="71"/>
      <c r="W60" s="71"/>
      <c r="X60" s="89"/>
      <c r="Y60" s="89"/>
      <c r="Z60" s="89"/>
      <c r="AA60" s="89"/>
      <c r="AB60" s="71"/>
      <c r="AC60" s="89"/>
      <c r="AD60" s="89"/>
      <c r="AE60" s="89"/>
      <c r="AF60" s="89"/>
      <c r="AG60" s="71"/>
      <c r="AH60" s="71"/>
      <c r="AI60" s="89"/>
      <c r="AJ60" s="89"/>
      <c r="AK60" s="71"/>
      <c r="AL60" s="71"/>
      <c r="AM60" s="89"/>
      <c r="AN60" s="89"/>
      <c r="AO60" s="71"/>
      <c r="AP60" s="71"/>
    </row>
    <row r="61" spans="4:44" x14ac:dyDescent="0.25">
      <c r="G61" s="13"/>
    </row>
    <row r="62" spans="4:44" x14ac:dyDescent="0.25">
      <c r="E62" s="32" t="s">
        <v>315</v>
      </c>
      <c r="G62" s="13"/>
      <c r="I62" t="s">
        <v>190</v>
      </c>
      <c r="AR62" t="s">
        <v>310</v>
      </c>
    </row>
    <row r="63" spans="4:44" x14ac:dyDescent="0.25">
      <c r="F63" s="23" t="s">
        <v>311</v>
      </c>
      <c r="G63" s="85" t="s">
        <v>203</v>
      </c>
      <c r="H63" s="23"/>
      <c r="I63" s="23"/>
      <c r="J63" s="88"/>
      <c r="K63" s="88"/>
      <c r="L63" s="88"/>
      <c r="M63" s="88"/>
      <c r="N63" s="88"/>
      <c r="O63" s="88"/>
      <c r="P63" s="88"/>
      <c r="Q63" s="88"/>
      <c r="R63" s="88"/>
      <c r="S63" s="86"/>
      <c r="T63" s="86"/>
      <c r="U63" s="86"/>
      <c r="V63" s="86"/>
      <c r="W63" s="86"/>
      <c r="X63" s="88"/>
      <c r="Y63" s="88"/>
      <c r="Z63" s="88"/>
      <c r="AA63" s="88"/>
      <c r="AB63" s="86"/>
      <c r="AC63" s="88"/>
      <c r="AD63" s="88"/>
      <c r="AE63" s="88"/>
      <c r="AF63" s="88"/>
      <c r="AG63" s="86"/>
      <c r="AH63" s="86"/>
      <c r="AI63" s="88"/>
      <c r="AJ63" s="88"/>
      <c r="AK63" s="86"/>
      <c r="AL63" s="86"/>
      <c r="AM63" s="88"/>
      <c r="AN63" s="88"/>
      <c r="AO63" s="86"/>
      <c r="AP63" s="86"/>
    </row>
    <row r="64" spans="4:44" x14ac:dyDescent="0.25">
      <c r="F64" t="s">
        <v>312</v>
      </c>
      <c r="G64" s="13" t="s">
        <v>203</v>
      </c>
      <c r="J64" s="77"/>
      <c r="K64" s="77"/>
      <c r="L64" s="77"/>
      <c r="M64" s="77"/>
      <c r="N64" s="77"/>
      <c r="O64" s="77"/>
      <c r="P64" s="77"/>
      <c r="Q64" s="77"/>
      <c r="R64" s="77"/>
      <c r="S64" s="70"/>
      <c r="T64" s="70"/>
      <c r="U64" s="70"/>
      <c r="V64" s="70"/>
      <c r="W64" s="70"/>
      <c r="X64" s="77"/>
      <c r="Y64" s="77"/>
      <c r="Z64" s="77"/>
      <c r="AA64" s="77"/>
      <c r="AB64" s="70"/>
      <c r="AC64" s="77"/>
      <c r="AD64" s="77"/>
      <c r="AE64" s="77"/>
      <c r="AF64" s="77"/>
      <c r="AG64" s="70"/>
      <c r="AH64" s="70"/>
      <c r="AI64" s="77"/>
      <c r="AJ64" s="77"/>
      <c r="AK64" s="70"/>
      <c r="AL64" s="70"/>
      <c r="AM64" s="77"/>
      <c r="AN64" s="77"/>
      <c r="AO64" s="70"/>
      <c r="AP64" s="70"/>
    </row>
    <row r="65" spans="3:44" x14ac:dyDescent="0.25">
      <c r="F65" s="37" t="s">
        <v>313</v>
      </c>
      <c r="G65" s="87" t="s">
        <v>203</v>
      </c>
      <c r="H65" s="37"/>
      <c r="I65" s="37"/>
      <c r="J65" s="89"/>
      <c r="K65" s="89"/>
      <c r="L65" s="89"/>
      <c r="M65" s="89"/>
      <c r="N65" s="89"/>
      <c r="O65" s="89"/>
      <c r="P65" s="89"/>
      <c r="Q65" s="89"/>
      <c r="R65" s="89"/>
      <c r="S65" s="284">
        <v>1</v>
      </c>
      <c r="T65" s="284">
        <v>1</v>
      </c>
      <c r="U65" s="284">
        <v>1</v>
      </c>
      <c r="V65" s="284">
        <v>1</v>
      </c>
      <c r="W65" s="284">
        <v>1</v>
      </c>
      <c r="X65" s="89"/>
      <c r="Y65" s="89"/>
      <c r="Z65" s="89"/>
      <c r="AA65" s="89"/>
      <c r="AB65" s="284">
        <v>1</v>
      </c>
      <c r="AC65" s="89"/>
      <c r="AD65" s="89"/>
      <c r="AE65" s="89"/>
      <c r="AF65" s="89"/>
      <c r="AG65" s="284">
        <v>1</v>
      </c>
      <c r="AH65" s="284">
        <v>1</v>
      </c>
      <c r="AI65" s="89"/>
      <c r="AJ65" s="89"/>
      <c r="AK65" s="284">
        <v>1</v>
      </c>
      <c r="AL65" s="284">
        <v>1</v>
      </c>
      <c r="AM65" s="89"/>
      <c r="AN65" s="89"/>
      <c r="AO65" s="284">
        <v>1</v>
      </c>
      <c r="AP65" s="284">
        <v>1</v>
      </c>
    </row>
    <row r="66" spans="3:44" x14ac:dyDescent="0.25">
      <c r="E66" s="28"/>
      <c r="F66" s="90"/>
      <c r="G66" s="72"/>
    </row>
    <row r="67" spans="3:44" x14ac:dyDescent="0.25">
      <c r="C67" s="31" t="str">
        <f ca="1">INDEX('Version control'!$H$34:$H$56,MATCH($A$1,'Version control'!$F$34:$F$56,0),1)&amp;"-D: Service model asset values"</f>
        <v>Input 102-D: Service model asset values</v>
      </c>
      <c r="D67" s="31"/>
      <c r="E67" s="31"/>
      <c r="F67" s="31"/>
      <c r="G67" s="31"/>
      <c r="H67" s="31"/>
      <c r="I67" s="31"/>
      <c r="J67" s="31"/>
      <c r="K67" s="3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row>
    <row r="68" spans="3:44" x14ac:dyDescent="0.25">
      <c r="G68" s="13"/>
    </row>
    <row r="69" spans="3:44" x14ac:dyDescent="0.25">
      <c r="D69" s="29" t="s">
        <v>316</v>
      </c>
      <c r="H69" s="63"/>
    </row>
    <row r="70" spans="3:44" x14ac:dyDescent="0.25">
      <c r="G70" s="13"/>
      <c r="I70" t="s">
        <v>190</v>
      </c>
      <c r="AR70" t="s">
        <v>317</v>
      </c>
    </row>
    <row r="71" spans="3:44" x14ac:dyDescent="0.25">
      <c r="D71" s="91"/>
      <c r="E71" t="s">
        <v>318</v>
      </c>
      <c r="G71" t="s">
        <v>319</v>
      </c>
      <c r="H71" s="51"/>
      <c r="J71" s="289">
        <v>323.42983412755331</v>
      </c>
      <c r="K71" s="289">
        <v>323.42983412755331</v>
      </c>
      <c r="L71" s="79"/>
      <c r="M71" s="289">
        <v>589.23</v>
      </c>
      <c r="N71" s="289">
        <v>589.23</v>
      </c>
      <c r="O71" s="79"/>
      <c r="P71" s="289">
        <v>2305.65</v>
      </c>
      <c r="Q71" s="289">
        <v>4884.76</v>
      </c>
      <c r="R71" s="79"/>
      <c r="S71" s="289">
        <v>323.42983412755331</v>
      </c>
      <c r="T71" s="289">
        <v>589.23</v>
      </c>
      <c r="U71" s="289">
        <v>2573.337</v>
      </c>
      <c r="V71" s="289">
        <v>4884.76</v>
      </c>
      <c r="W71" s="79"/>
      <c r="X71" s="79"/>
      <c r="Y71" s="79"/>
      <c r="Z71" s="79"/>
      <c r="AA71" s="79"/>
      <c r="AB71" s="79"/>
      <c r="AC71" s="289">
        <v>0</v>
      </c>
      <c r="AD71" s="289">
        <v>0</v>
      </c>
      <c r="AE71" s="289">
        <v>0</v>
      </c>
      <c r="AF71" s="289">
        <v>0</v>
      </c>
      <c r="AG71" s="289">
        <v>0</v>
      </c>
      <c r="AH71" s="289">
        <v>0</v>
      </c>
      <c r="AI71" s="289">
        <v>0</v>
      </c>
      <c r="AJ71" s="289">
        <v>0</v>
      </c>
      <c r="AK71" s="289">
        <v>0</v>
      </c>
      <c r="AL71" s="289">
        <v>0</v>
      </c>
      <c r="AM71" s="79"/>
      <c r="AN71" s="79"/>
      <c r="AO71" s="79"/>
      <c r="AP71" s="79"/>
    </row>
    <row r="72" spans="3:44" x14ac:dyDescent="0.25">
      <c r="D72" s="91"/>
      <c r="E72" t="s">
        <v>320</v>
      </c>
      <c r="G72" t="s">
        <v>319</v>
      </c>
      <c r="H72" s="51"/>
      <c r="J72" s="79"/>
      <c r="K72" s="79"/>
      <c r="L72" s="79"/>
      <c r="M72" s="79"/>
      <c r="N72" s="79"/>
      <c r="O72" s="79"/>
      <c r="P72" s="79"/>
      <c r="Q72" s="79"/>
      <c r="R72" s="289">
        <v>28627.97</v>
      </c>
      <c r="S72" s="79"/>
      <c r="T72" s="79"/>
      <c r="U72" s="79"/>
      <c r="V72" s="79"/>
      <c r="W72" s="289">
        <v>28627.97</v>
      </c>
      <c r="X72" s="79"/>
      <c r="Y72" s="79"/>
      <c r="Z72" s="79"/>
      <c r="AA72" s="79"/>
      <c r="AB72" s="79"/>
      <c r="AC72" s="79"/>
      <c r="AD72" s="79"/>
      <c r="AE72" s="79"/>
      <c r="AF72" s="79"/>
      <c r="AG72" s="79"/>
      <c r="AH72" s="79"/>
      <c r="AI72" s="79"/>
      <c r="AJ72" s="79"/>
      <c r="AK72" s="79"/>
      <c r="AL72" s="79"/>
      <c r="AM72" s="289">
        <v>39729.17</v>
      </c>
      <c r="AN72" s="289">
        <v>39729.17</v>
      </c>
      <c r="AO72" s="289">
        <v>39729.17</v>
      </c>
      <c r="AP72" s="289">
        <v>39729.17</v>
      </c>
    </row>
    <row r="73" spans="3:44" x14ac:dyDescent="0.25">
      <c r="G73" s="13"/>
      <c r="J73" s="92"/>
      <c r="K73" s="92"/>
      <c r="L73" s="92"/>
      <c r="M73" s="92"/>
      <c r="N73" s="92"/>
      <c r="O73" s="92"/>
      <c r="P73" s="92"/>
      <c r="Q73" s="92"/>
      <c r="R73" s="92"/>
      <c r="S73" s="92"/>
      <c r="T73" s="92"/>
      <c r="U73" s="92"/>
      <c r="V73" s="92"/>
      <c r="W73" s="92"/>
      <c r="X73" s="92"/>
      <c r="Y73" s="92"/>
      <c r="Z73" s="92"/>
      <c r="AA73" s="92"/>
      <c r="AB73" s="92"/>
      <c r="AC73" s="92"/>
      <c r="AD73" s="92"/>
      <c r="AE73" s="92"/>
      <c r="AF73" s="92"/>
      <c r="AG73" s="92"/>
      <c r="AH73" s="92"/>
      <c r="AI73" s="92"/>
      <c r="AJ73" s="92"/>
      <c r="AK73" s="92"/>
      <c r="AL73" s="92"/>
      <c r="AM73" s="92"/>
      <c r="AN73" s="92"/>
      <c r="AO73" s="92"/>
      <c r="AP73" s="92"/>
    </row>
    <row r="74" spans="3:44" x14ac:dyDescent="0.25">
      <c r="D74" s="91"/>
      <c r="E74" t="s">
        <v>321</v>
      </c>
      <c r="G74" t="s">
        <v>322</v>
      </c>
      <c r="I74" t="s">
        <v>190</v>
      </c>
      <c r="J74" s="79"/>
      <c r="K74" s="79"/>
      <c r="L74" s="79"/>
      <c r="M74" s="79"/>
      <c r="N74" s="79"/>
      <c r="O74" s="79"/>
      <c r="P74" s="79"/>
      <c r="Q74" s="79"/>
      <c r="R74" s="79"/>
      <c r="S74" s="79"/>
      <c r="T74" s="79"/>
      <c r="U74" s="79"/>
      <c r="V74" s="79"/>
      <c r="W74" s="79"/>
      <c r="X74" s="289">
        <v>487.69514999999996</v>
      </c>
      <c r="Y74" s="289">
        <v>487.69514999999996</v>
      </c>
      <c r="Z74" s="289">
        <v>487.69514999999996</v>
      </c>
      <c r="AA74" s="289">
        <v>487.69514999999996</v>
      </c>
      <c r="AB74" s="289">
        <v>487.69514999999996</v>
      </c>
      <c r="AC74" s="79"/>
      <c r="AD74" s="79"/>
      <c r="AE74" s="79"/>
      <c r="AF74" s="79"/>
      <c r="AG74" s="79"/>
      <c r="AH74" s="79"/>
      <c r="AI74" s="79"/>
      <c r="AJ74" s="79"/>
      <c r="AK74" s="79"/>
      <c r="AL74" s="79"/>
      <c r="AM74" s="79"/>
      <c r="AN74" s="79"/>
      <c r="AO74" s="79"/>
      <c r="AP74" s="79"/>
      <c r="AR74" t="s">
        <v>323</v>
      </c>
    </row>
    <row r="75" spans="3:44" x14ac:dyDescent="0.25">
      <c r="D75" s="91"/>
      <c r="J75" s="92"/>
      <c r="K75" s="92"/>
      <c r="L75" s="92"/>
      <c r="M75" s="92"/>
      <c r="N75" s="92"/>
      <c r="O75" s="92"/>
      <c r="P75" s="92"/>
      <c r="Q75" s="92"/>
      <c r="R75" s="92"/>
      <c r="S75" s="92"/>
      <c r="T75" s="92"/>
      <c r="U75" s="92"/>
      <c r="V75" s="92"/>
      <c r="W75" s="92"/>
      <c r="X75" s="92"/>
      <c r="Y75" s="92"/>
      <c r="Z75" s="92"/>
      <c r="AA75" s="92"/>
      <c r="AB75" s="92"/>
      <c r="AC75" s="92"/>
      <c r="AD75" s="92"/>
      <c r="AE75" s="92"/>
      <c r="AF75" s="92"/>
      <c r="AG75" s="92"/>
      <c r="AH75" s="92"/>
      <c r="AI75" s="92"/>
      <c r="AJ75" s="92"/>
      <c r="AK75" s="92"/>
      <c r="AL75" s="92"/>
      <c r="AM75" s="92"/>
      <c r="AN75" s="92"/>
      <c r="AO75" s="92"/>
      <c r="AP75" s="92"/>
    </row>
    <row r="76" spans="3:44" x14ac:dyDescent="0.25">
      <c r="C76" s="31" t="str">
        <f ca="1">INDEX('Version control'!$H$34:$H$56,MATCH($A$1,'Version control'!$F$34:$F$56,0),1)&amp;"-E: Previous year all-the-way tariff forecast"</f>
        <v>Input 102-E: Previous year all-the-way tariff forecast</v>
      </c>
      <c r="D76" s="31"/>
      <c r="E76" s="31"/>
      <c r="F76" s="31"/>
      <c r="G76" s="31"/>
      <c r="H76" s="31"/>
      <c r="I76" s="31"/>
      <c r="J76" s="93"/>
      <c r="K76" s="93"/>
      <c r="L76" s="93"/>
      <c r="M76" s="93"/>
      <c r="N76" s="93"/>
      <c r="O76" s="93"/>
      <c r="P76" s="93"/>
      <c r="Q76" s="93"/>
      <c r="R76" s="93"/>
      <c r="S76" s="93"/>
      <c r="T76" s="93"/>
      <c r="U76" s="93"/>
      <c r="V76" s="93"/>
      <c r="W76" s="93"/>
      <c r="X76" s="93"/>
      <c r="Y76" s="93"/>
      <c r="Z76" s="93"/>
      <c r="AA76" s="93"/>
      <c r="AB76" s="93"/>
      <c r="AC76" s="93"/>
      <c r="AD76" s="93"/>
      <c r="AE76" s="93"/>
      <c r="AF76" s="93"/>
      <c r="AG76" s="93"/>
      <c r="AH76" s="93"/>
      <c r="AI76" s="93"/>
      <c r="AJ76" s="93"/>
      <c r="AK76" s="93"/>
      <c r="AL76" s="93"/>
      <c r="AM76" s="93"/>
      <c r="AN76" s="93"/>
      <c r="AO76" s="93"/>
      <c r="AP76" s="93"/>
      <c r="AQ76" s="31"/>
      <c r="AR76" s="31"/>
    </row>
    <row r="77" spans="3:44" x14ac:dyDescent="0.25">
      <c r="F77" s="90"/>
      <c r="G77" s="72"/>
      <c r="J77" s="92"/>
      <c r="K77" s="92"/>
      <c r="L77" s="92"/>
      <c r="M77" s="92"/>
      <c r="N77" s="92"/>
      <c r="O77" s="92"/>
      <c r="P77" s="92"/>
      <c r="Q77" s="92"/>
      <c r="R77" s="92"/>
      <c r="S77" s="92"/>
      <c r="T77" s="92"/>
      <c r="U77" s="92"/>
      <c r="V77" s="92"/>
      <c r="W77" s="92"/>
      <c r="X77" s="92"/>
      <c r="Y77" s="92"/>
      <c r="Z77" s="92"/>
      <c r="AA77" s="92"/>
      <c r="AB77" s="92"/>
      <c r="AC77" s="92"/>
      <c r="AD77" s="92"/>
      <c r="AE77" s="92"/>
      <c r="AF77" s="92"/>
      <c r="AG77" s="92"/>
      <c r="AH77" s="92"/>
      <c r="AI77" s="92"/>
      <c r="AJ77" s="92"/>
      <c r="AK77" s="92"/>
      <c r="AL77" s="92"/>
      <c r="AM77" s="92"/>
      <c r="AN77" s="92"/>
      <c r="AO77" s="92"/>
      <c r="AP77" s="92"/>
    </row>
    <row r="78" spans="3:44" x14ac:dyDescent="0.25">
      <c r="D78" s="29" t="s">
        <v>324</v>
      </c>
      <c r="G78" s="13"/>
      <c r="J78" s="92"/>
      <c r="K78" s="92"/>
      <c r="L78" s="92"/>
      <c r="M78" s="92"/>
      <c r="N78" s="92"/>
      <c r="O78" s="92"/>
      <c r="P78" s="92"/>
      <c r="Q78" s="92"/>
      <c r="R78" s="92"/>
      <c r="S78" s="92"/>
      <c r="T78" s="92"/>
      <c r="U78" s="92"/>
      <c r="V78" s="92"/>
      <c r="W78" s="92"/>
      <c r="X78" s="92"/>
      <c r="Y78" s="92"/>
      <c r="Z78" s="92"/>
      <c r="AA78" s="92"/>
      <c r="AB78" s="92"/>
      <c r="AC78" s="92"/>
      <c r="AD78" s="92"/>
      <c r="AE78" s="92"/>
      <c r="AF78" s="92"/>
      <c r="AG78" s="92"/>
      <c r="AH78" s="92"/>
      <c r="AI78" s="92"/>
      <c r="AJ78" s="92"/>
      <c r="AK78" s="92"/>
      <c r="AL78" s="92"/>
      <c r="AM78" s="92"/>
      <c r="AN78" s="92"/>
      <c r="AO78" s="92"/>
      <c r="AP78" s="92"/>
    </row>
    <row r="79" spans="3:44" x14ac:dyDescent="0.25">
      <c r="D79" s="94" t="s">
        <v>325</v>
      </c>
      <c r="G79" s="13"/>
      <c r="J79" s="92"/>
      <c r="K79" s="92"/>
      <c r="L79" s="92"/>
      <c r="M79" s="92"/>
      <c r="N79" s="92"/>
      <c r="O79" s="92"/>
      <c r="P79" s="92"/>
      <c r="Q79" s="92"/>
      <c r="R79" s="92"/>
      <c r="S79" s="92"/>
      <c r="T79" s="92"/>
      <c r="U79" s="92"/>
      <c r="V79" s="92"/>
      <c r="W79" s="92"/>
      <c r="X79" s="92"/>
      <c r="Y79" s="92"/>
      <c r="Z79" s="92"/>
      <c r="AA79" s="92"/>
      <c r="AB79" s="92"/>
      <c r="AC79" s="92"/>
      <c r="AD79" s="92"/>
      <c r="AE79" s="92"/>
      <c r="AF79" s="92"/>
      <c r="AG79" s="92"/>
      <c r="AH79" s="92"/>
      <c r="AI79" s="92"/>
      <c r="AJ79" s="92"/>
      <c r="AK79" s="92"/>
      <c r="AL79" s="92"/>
      <c r="AM79" s="92"/>
      <c r="AN79" s="92"/>
      <c r="AO79" s="92"/>
      <c r="AP79" s="92"/>
    </row>
    <row r="80" spans="3:44" x14ac:dyDescent="0.25">
      <c r="D80" s="94"/>
      <c r="G80" s="13"/>
      <c r="J80" s="92"/>
      <c r="K80" s="92"/>
      <c r="L80" s="92"/>
      <c r="M80" s="92"/>
      <c r="N80" s="92"/>
      <c r="O80" s="92"/>
      <c r="P80" s="92"/>
      <c r="Q80" s="92"/>
      <c r="R80" s="92"/>
      <c r="S80" s="92"/>
      <c r="T80" s="92"/>
      <c r="U80" s="92"/>
      <c r="V80" s="92"/>
      <c r="W80" s="92"/>
      <c r="X80" s="92"/>
      <c r="Y80" s="92"/>
      <c r="Z80" s="92"/>
      <c r="AA80" s="92"/>
      <c r="AB80" s="92"/>
      <c r="AC80" s="92"/>
      <c r="AD80" s="92"/>
      <c r="AE80" s="92"/>
      <c r="AF80" s="92"/>
      <c r="AG80" s="92"/>
      <c r="AH80" s="92"/>
      <c r="AI80" s="92"/>
      <c r="AJ80" s="92"/>
      <c r="AK80" s="92"/>
      <c r="AL80" s="92"/>
      <c r="AM80" s="92"/>
      <c r="AN80" s="92"/>
      <c r="AO80" s="92"/>
      <c r="AP80" s="92"/>
    </row>
    <row r="81" spans="3:44" x14ac:dyDescent="0.25">
      <c r="E81" s="32" t="s">
        <v>326</v>
      </c>
      <c r="G81" s="13"/>
      <c r="J81" s="92"/>
      <c r="K81" s="92"/>
      <c r="L81" s="92"/>
      <c r="M81" s="92"/>
      <c r="N81" s="92"/>
      <c r="O81" s="92"/>
      <c r="P81" s="92"/>
      <c r="Q81" s="92"/>
      <c r="R81" s="92"/>
      <c r="S81" s="92"/>
      <c r="T81" s="92"/>
      <c r="U81" s="92"/>
      <c r="V81" s="92"/>
      <c r="W81" s="92"/>
      <c r="X81" s="92"/>
      <c r="Y81" s="92"/>
      <c r="Z81" s="92"/>
      <c r="AA81" s="92"/>
      <c r="AB81" s="92"/>
      <c r="AC81" s="92"/>
      <c r="AD81" s="92"/>
      <c r="AE81" s="92"/>
      <c r="AF81" s="92"/>
      <c r="AG81" s="92"/>
      <c r="AH81" s="92"/>
      <c r="AI81" s="92"/>
      <c r="AJ81" s="92"/>
      <c r="AK81" s="92"/>
      <c r="AL81" s="92"/>
      <c r="AM81" s="92"/>
      <c r="AN81" s="92"/>
      <c r="AO81" s="92"/>
      <c r="AP81" s="92"/>
    </row>
    <row r="82" spans="3:44" x14ac:dyDescent="0.25">
      <c r="F82" s="23" t="s">
        <v>192</v>
      </c>
      <c r="G82" s="23" t="s">
        <v>327</v>
      </c>
      <c r="H82" s="302"/>
      <c r="I82" s="302"/>
      <c r="J82" s="303">
        <v>3.3690000000000002</v>
      </c>
      <c r="K82" s="303">
        <v>3.7770000000000001</v>
      </c>
      <c r="L82" s="303">
        <v>2.1269999999999998</v>
      </c>
      <c r="M82" s="303">
        <v>3.383</v>
      </c>
      <c r="N82" s="303">
        <v>3.6230000000000002</v>
      </c>
      <c r="O82" s="303">
        <v>2.0329999999999999</v>
      </c>
      <c r="P82" s="303">
        <v>3.367</v>
      </c>
      <c r="Q82" s="303">
        <v>2.758</v>
      </c>
      <c r="R82" s="303">
        <v>1.978</v>
      </c>
      <c r="S82" s="303">
        <v>9.2119999999999997</v>
      </c>
      <c r="T82" s="303">
        <v>9.6280000000000001</v>
      </c>
      <c r="U82" s="303">
        <v>7.02</v>
      </c>
      <c r="V82" s="303">
        <v>4.5380000000000003</v>
      </c>
      <c r="W82" s="303">
        <v>3.1930000000000001</v>
      </c>
      <c r="X82" s="303">
        <v>4.5149999999999997</v>
      </c>
      <c r="Y82" s="303">
        <v>4.5199999999999996</v>
      </c>
      <c r="Z82" s="303">
        <v>5.3630000000000004</v>
      </c>
      <c r="AA82" s="303">
        <v>4.5670000000000002</v>
      </c>
      <c r="AB82" s="303">
        <v>18.666</v>
      </c>
      <c r="AC82" s="303">
        <v>-1.2110000000000001</v>
      </c>
      <c r="AD82" s="303">
        <v>-1.0780000000000001</v>
      </c>
      <c r="AE82" s="303">
        <v>-1.2110000000000001</v>
      </c>
      <c r="AF82" s="303">
        <v>-1.2110000000000001</v>
      </c>
      <c r="AG82" s="303">
        <v>-5.6920000000000002</v>
      </c>
      <c r="AH82" s="303">
        <v>-5.6920000000000002</v>
      </c>
      <c r="AI82" s="303">
        <v>-1.0780000000000001</v>
      </c>
      <c r="AJ82" s="303">
        <v>-1.0780000000000001</v>
      </c>
      <c r="AK82" s="303">
        <v>-5.0759999999999996</v>
      </c>
      <c r="AL82" s="303">
        <v>-5.0759999999999996</v>
      </c>
      <c r="AM82" s="303">
        <v>-0.54200000000000004</v>
      </c>
      <c r="AN82" s="303">
        <v>-0.54200000000000004</v>
      </c>
      <c r="AO82" s="303">
        <v>-2.625</v>
      </c>
      <c r="AP82" s="303">
        <v>-2.625</v>
      </c>
      <c r="AQ82" s="304"/>
      <c r="AR82" s="304"/>
    </row>
    <row r="83" spans="3:44" x14ac:dyDescent="0.25">
      <c r="F83" t="s">
        <v>193</v>
      </c>
      <c r="G83" t="s">
        <v>327</v>
      </c>
      <c r="H83" s="304"/>
      <c r="I83" s="304"/>
      <c r="J83" s="305"/>
      <c r="K83" s="306">
        <v>2.1120000000000001</v>
      </c>
      <c r="L83" s="305"/>
      <c r="M83" s="305"/>
      <c r="N83" s="306">
        <v>1.9370000000000001</v>
      </c>
      <c r="O83" s="305"/>
      <c r="P83" s="306">
        <v>1.9390000000000001</v>
      </c>
      <c r="Q83" s="306">
        <v>1.7470000000000001</v>
      </c>
      <c r="R83" s="306">
        <v>1.4890000000000001</v>
      </c>
      <c r="S83" s="306">
        <v>2.948</v>
      </c>
      <c r="T83" s="306">
        <v>3.036</v>
      </c>
      <c r="U83" s="306">
        <v>2.4780000000000002</v>
      </c>
      <c r="V83" s="306">
        <v>1.9350000000000001</v>
      </c>
      <c r="W83" s="306">
        <v>1.6459999999999999</v>
      </c>
      <c r="X83" s="305"/>
      <c r="Y83" s="305"/>
      <c r="Z83" s="305"/>
      <c r="AA83" s="305"/>
      <c r="AB83" s="307">
        <v>4.5979999999999999</v>
      </c>
      <c r="AC83" s="305"/>
      <c r="AD83" s="305"/>
      <c r="AE83" s="305"/>
      <c r="AF83" s="305"/>
      <c r="AG83" s="306">
        <v>-1.1930000000000001</v>
      </c>
      <c r="AH83" s="306">
        <v>-1.1930000000000001</v>
      </c>
      <c r="AI83" s="305"/>
      <c r="AJ83" s="305"/>
      <c r="AK83" s="306">
        <v>-1.06</v>
      </c>
      <c r="AL83" s="306">
        <v>-1.06</v>
      </c>
      <c r="AM83" s="305"/>
      <c r="AN83" s="305"/>
      <c r="AO83" s="306">
        <v>-0.52300000000000002</v>
      </c>
      <c r="AP83" s="306">
        <v>-0.52300000000000002</v>
      </c>
      <c r="AQ83" s="304"/>
      <c r="AR83" s="304"/>
    </row>
    <row r="84" spans="3:44" x14ac:dyDescent="0.25">
      <c r="F84" t="s">
        <v>194</v>
      </c>
      <c r="G84" t="s">
        <v>327</v>
      </c>
      <c r="H84" s="304"/>
      <c r="I84" s="304"/>
      <c r="J84" s="305"/>
      <c r="K84" s="305"/>
      <c r="L84" s="305"/>
      <c r="M84" s="305"/>
      <c r="N84" s="305"/>
      <c r="O84" s="305"/>
      <c r="P84" s="305"/>
      <c r="Q84" s="305"/>
      <c r="R84" s="305"/>
      <c r="S84" s="306">
        <v>1.851</v>
      </c>
      <c r="T84" s="306">
        <v>1.881</v>
      </c>
      <c r="U84" s="306">
        <v>1.6910000000000001</v>
      </c>
      <c r="V84" s="306">
        <v>1.5049999999999999</v>
      </c>
      <c r="W84" s="306">
        <v>1.407</v>
      </c>
      <c r="X84" s="305"/>
      <c r="Y84" s="305"/>
      <c r="Z84" s="305"/>
      <c r="AA84" s="305"/>
      <c r="AB84" s="307">
        <v>3.5830000000000002</v>
      </c>
      <c r="AC84" s="305"/>
      <c r="AD84" s="305"/>
      <c r="AE84" s="305"/>
      <c r="AF84" s="305"/>
      <c r="AG84" s="306">
        <v>-0.40500000000000003</v>
      </c>
      <c r="AH84" s="306">
        <v>-0.40500000000000003</v>
      </c>
      <c r="AI84" s="305"/>
      <c r="AJ84" s="305"/>
      <c r="AK84" s="306">
        <v>-0.36</v>
      </c>
      <c r="AL84" s="306">
        <v>-0.36</v>
      </c>
      <c r="AM84" s="305"/>
      <c r="AN84" s="305"/>
      <c r="AO84" s="306">
        <v>-0.17599999999999999</v>
      </c>
      <c r="AP84" s="306">
        <v>-0.17599999999999999</v>
      </c>
      <c r="AQ84" s="304"/>
      <c r="AR84" s="304"/>
    </row>
    <row r="85" spans="3:44" x14ac:dyDescent="0.25">
      <c r="F85" t="s">
        <v>195</v>
      </c>
      <c r="G85" t="s">
        <v>328</v>
      </c>
      <c r="J85" s="289">
        <v>6.6</v>
      </c>
      <c r="K85" s="289">
        <v>6.6</v>
      </c>
      <c r="L85" s="79"/>
      <c r="M85" s="289">
        <v>9.02</v>
      </c>
      <c r="N85" s="289">
        <v>9.02</v>
      </c>
      <c r="O85" s="79"/>
      <c r="P85" s="289">
        <v>83.99</v>
      </c>
      <c r="Q85" s="289">
        <v>44.34</v>
      </c>
      <c r="R85" s="289">
        <v>1964.83</v>
      </c>
      <c r="S85" s="289">
        <v>6.6</v>
      </c>
      <c r="T85" s="289">
        <v>9.02</v>
      </c>
      <c r="U85" s="289">
        <v>26.58</v>
      </c>
      <c r="V85" s="289">
        <v>44.34</v>
      </c>
      <c r="W85" s="289">
        <v>278.92</v>
      </c>
      <c r="X85" s="79"/>
      <c r="Y85" s="79"/>
      <c r="Z85" s="79"/>
      <c r="AA85" s="79"/>
      <c r="AB85" s="79"/>
      <c r="AC85" s="79"/>
      <c r="AD85" s="79"/>
      <c r="AE85" s="79"/>
      <c r="AF85" s="79"/>
      <c r="AG85" s="79"/>
      <c r="AH85" s="79"/>
      <c r="AI85" s="79"/>
      <c r="AJ85" s="79"/>
      <c r="AK85" s="79"/>
      <c r="AL85" s="79"/>
      <c r="AM85" s="289">
        <v>414.38</v>
      </c>
      <c r="AN85" s="289">
        <v>414.38</v>
      </c>
      <c r="AO85" s="289">
        <v>414.38</v>
      </c>
      <c r="AP85" s="289">
        <v>414.38</v>
      </c>
    </row>
    <row r="86" spans="3:44" x14ac:dyDescent="0.25">
      <c r="F86" t="s">
        <v>196</v>
      </c>
      <c r="G86" t="s">
        <v>329</v>
      </c>
      <c r="J86" s="79"/>
      <c r="K86" s="79"/>
      <c r="L86" s="79"/>
      <c r="M86" s="79"/>
      <c r="N86" s="79"/>
      <c r="O86" s="79"/>
      <c r="P86" s="79"/>
      <c r="Q86" s="79"/>
      <c r="R86" s="79"/>
      <c r="S86" s="79"/>
      <c r="T86" s="79"/>
      <c r="U86" s="289">
        <v>4.8899999999999997</v>
      </c>
      <c r="V86" s="289">
        <v>8.24</v>
      </c>
      <c r="W86" s="289">
        <v>10.97</v>
      </c>
      <c r="X86" s="79"/>
      <c r="Y86" s="79"/>
      <c r="Z86" s="79"/>
      <c r="AA86" s="79"/>
      <c r="AB86" s="79"/>
      <c r="AC86" s="79"/>
      <c r="AD86" s="79"/>
      <c r="AE86" s="79"/>
      <c r="AF86" s="79"/>
      <c r="AG86" s="79"/>
      <c r="AH86" s="79"/>
      <c r="AI86" s="79"/>
      <c r="AJ86" s="79"/>
      <c r="AK86" s="79"/>
      <c r="AL86" s="79"/>
      <c r="AM86" s="79"/>
      <c r="AN86" s="79"/>
      <c r="AO86" s="79"/>
      <c r="AP86" s="79"/>
    </row>
    <row r="87" spans="3:44" x14ac:dyDescent="0.25">
      <c r="F87" t="s">
        <v>197</v>
      </c>
      <c r="G87" t="s">
        <v>329</v>
      </c>
      <c r="J87" s="79"/>
      <c r="K87" s="79"/>
      <c r="L87" s="79"/>
      <c r="M87" s="79"/>
      <c r="N87" s="79"/>
      <c r="O87" s="79"/>
      <c r="P87" s="79"/>
      <c r="Q87" s="79"/>
      <c r="R87" s="79"/>
      <c r="S87" s="79"/>
      <c r="T87" s="79"/>
      <c r="U87" s="289">
        <v>8.99</v>
      </c>
      <c r="V87" s="289">
        <v>11.45</v>
      </c>
      <c r="W87" s="289">
        <v>12.97</v>
      </c>
      <c r="X87" s="79"/>
      <c r="Y87" s="79"/>
      <c r="Z87" s="79"/>
      <c r="AA87" s="79"/>
      <c r="AB87" s="79"/>
      <c r="AC87" s="79"/>
      <c r="AD87" s="79"/>
      <c r="AE87" s="79"/>
      <c r="AF87" s="79"/>
      <c r="AG87" s="79"/>
      <c r="AH87" s="79"/>
      <c r="AI87" s="79"/>
      <c r="AJ87" s="79"/>
      <c r="AK87" s="79"/>
      <c r="AL87" s="79"/>
      <c r="AM87" s="79"/>
      <c r="AN87" s="79"/>
      <c r="AO87" s="79"/>
      <c r="AP87" s="79"/>
    </row>
    <row r="88" spans="3:44" x14ac:dyDescent="0.25">
      <c r="F88" s="37" t="s">
        <v>198</v>
      </c>
      <c r="G88" s="37" t="s">
        <v>330</v>
      </c>
      <c r="H88" s="308"/>
      <c r="I88" s="308"/>
      <c r="J88" s="309"/>
      <c r="K88" s="309"/>
      <c r="L88" s="309"/>
      <c r="M88" s="309"/>
      <c r="N88" s="309"/>
      <c r="O88" s="309"/>
      <c r="P88" s="309"/>
      <c r="Q88" s="309"/>
      <c r="R88" s="309"/>
      <c r="S88" s="309"/>
      <c r="T88" s="309"/>
      <c r="U88" s="310">
        <v>0.26300000000000001</v>
      </c>
      <c r="V88" s="310">
        <v>0.13500000000000001</v>
      </c>
      <c r="W88" s="310">
        <v>7.8E-2</v>
      </c>
      <c r="X88" s="309"/>
      <c r="Y88" s="309"/>
      <c r="Z88" s="309"/>
      <c r="AA88" s="309"/>
      <c r="AB88" s="309"/>
      <c r="AC88" s="309"/>
      <c r="AD88" s="309"/>
      <c r="AE88" s="310">
        <v>0.26500000000000001</v>
      </c>
      <c r="AF88" s="309"/>
      <c r="AG88" s="310">
        <v>0.26500000000000001</v>
      </c>
      <c r="AH88" s="309"/>
      <c r="AI88" s="310">
        <v>0.222</v>
      </c>
      <c r="AJ88" s="309"/>
      <c r="AK88" s="310">
        <v>0.222</v>
      </c>
      <c r="AL88" s="309"/>
      <c r="AM88" s="310">
        <v>0.20300000000000001</v>
      </c>
      <c r="AN88" s="309"/>
      <c r="AO88" s="310">
        <v>0.20300000000000001</v>
      </c>
      <c r="AP88" s="309"/>
      <c r="AQ88" s="304"/>
      <c r="AR88" s="304"/>
    </row>
    <row r="89" spans="3:44" x14ac:dyDescent="0.25">
      <c r="G89" s="13"/>
      <c r="J89" s="92"/>
      <c r="K89" s="92"/>
      <c r="L89" s="92"/>
      <c r="M89" s="92"/>
      <c r="N89" s="92"/>
      <c r="O89" s="92"/>
      <c r="P89" s="92"/>
      <c r="Q89" s="92"/>
      <c r="R89" s="92"/>
      <c r="S89" s="92"/>
      <c r="T89" s="92"/>
      <c r="U89" s="92"/>
      <c r="V89" s="92"/>
      <c r="W89" s="92"/>
      <c r="X89" s="92"/>
      <c r="Y89" s="92"/>
      <c r="Z89" s="92"/>
      <c r="AA89" s="92"/>
      <c r="AB89" s="92"/>
      <c r="AC89" s="92"/>
      <c r="AD89" s="92"/>
      <c r="AE89" s="92"/>
      <c r="AF89" s="92"/>
      <c r="AG89" s="92"/>
      <c r="AH89" s="92"/>
      <c r="AI89" s="92"/>
      <c r="AJ89" s="92"/>
      <c r="AK89" s="92"/>
      <c r="AL89" s="92"/>
      <c r="AM89" s="92"/>
      <c r="AN89" s="92"/>
      <c r="AO89" s="92"/>
      <c r="AP89" s="92"/>
    </row>
    <row r="90" spans="3:44" x14ac:dyDescent="0.25">
      <c r="C90" s="31" t="str">
        <f ca="1">INDEX('Version control'!$H$34:$H$56,MATCH($A$1,'Version control'!$F$34:$F$56,0),1)&amp;"-F: Previous year net revenue (if known)"</f>
        <v>Input 102-F: Previous year net revenue (if known)</v>
      </c>
      <c r="D90" s="31"/>
      <c r="E90" s="31"/>
      <c r="F90" s="31"/>
      <c r="G90" s="31"/>
      <c r="H90" s="31"/>
      <c r="I90" s="31"/>
      <c r="J90" s="93"/>
      <c r="K90" s="93"/>
      <c r="L90" s="93"/>
      <c r="M90" s="93"/>
      <c r="N90" s="93"/>
      <c r="O90" s="93"/>
      <c r="P90" s="93"/>
      <c r="Q90" s="93"/>
      <c r="R90" s="93"/>
      <c r="S90" s="93"/>
      <c r="T90" s="93"/>
      <c r="U90" s="93"/>
      <c r="V90" s="93"/>
      <c r="W90" s="93"/>
      <c r="X90" s="93"/>
      <c r="Y90" s="93"/>
      <c r="Z90" s="93"/>
      <c r="AA90" s="93"/>
      <c r="AB90" s="93"/>
      <c r="AC90" s="93"/>
      <c r="AD90" s="93"/>
      <c r="AE90" s="93"/>
      <c r="AF90" s="93"/>
      <c r="AG90" s="93"/>
      <c r="AH90" s="93"/>
      <c r="AI90" s="93"/>
      <c r="AJ90" s="93"/>
      <c r="AK90" s="93"/>
      <c r="AL90" s="93"/>
      <c r="AM90" s="93"/>
      <c r="AN90" s="93"/>
      <c r="AO90" s="93"/>
      <c r="AP90" s="93"/>
      <c r="AQ90" s="31"/>
      <c r="AR90" s="31"/>
    </row>
    <row r="91" spans="3:44" x14ac:dyDescent="0.25">
      <c r="F91" s="90"/>
      <c r="G91" s="72"/>
      <c r="J91" s="92"/>
      <c r="K91" s="92"/>
      <c r="L91" s="92"/>
      <c r="M91" s="92"/>
      <c r="N91" s="92"/>
      <c r="O91" s="92"/>
      <c r="P91" s="92"/>
      <c r="Q91" s="92"/>
      <c r="R91" s="92"/>
      <c r="S91" s="92"/>
      <c r="T91" s="92"/>
      <c r="U91" s="92"/>
      <c r="V91" s="92"/>
      <c r="W91" s="92"/>
      <c r="X91" s="92"/>
      <c r="Y91" s="92"/>
      <c r="Z91" s="92"/>
      <c r="AA91" s="92"/>
      <c r="AB91" s="92"/>
      <c r="AC91" s="92"/>
      <c r="AD91" s="92"/>
      <c r="AE91" s="92"/>
      <c r="AF91" s="92"/>
      <c r="AG91" s="92"/>
      <c r="AH91" s="92"/>
      <c r="AI91" s="92"/>
      <c r="AJ91" s="92"/>
      <c r="AK91" s="92"/>
      <c r="AL91" s="92"/>
      <c r="AM91" s="92"/>
      <c r="AN91" s="92"/>
      <c r="AO91" s="92"/>
      <c r="AP91" s="92"/>
    </row>
    <row r="92" spans="3:44" x14ac:dyDescent="0.25">
      <c r="D92" s="29" t="s">
        <v>331</v>
      </c>
      <c r="G92" s="13"/>
      <c r="J92" s="92"/>
      <c r="K92" s="92"/>
      <c r="L92" s="92"/>
      <c r="M92" s="92"/>
      <c r="N92" s="92"/>
      <c r="O92" s="92"/>
      <c r="P92" s="92"/>
      <c r="Q92" s="92"/>
      <c r="R92" s="92"/>
      <c r="S92" s="92"/>
      <c r="T92" s="92"/>
      <c r="U92" s="92"/>
      <c r="V92" s="92"/>
      <c r="W92" s="92"/>
      <c r="X92" s="92"/>
      <c r="Y92" s="92"/>
      <c r="Z92" s="92"/>
      <c r="AA92" s="92"/>
      <c r="AB92" s="92"/>
      <c r="AC92" s="92"/>
      <c r="AD92" s="92"/>
      <c r="AE92" s="92"/>
      <c r="AF92" s="92"/>
      <c r="AG92" s="92"/>
      <c r="AH92" s="92"/>
      <c r="AI92" s="92"/>
      <c r="AJ92" s="92"/>
      <c r="AK92" s="92"/>
      <c r="AL92" s="92"/>
      <c r="AM92" s="92"/>
      <c r="AN92" s="92"/>
      <c r="AO92" s="92"/>
      <c r="AP92" s="92"/>
    </row>
    <row r="93" spans="3:44" x14ac:dyDescent="0.25">
      <c r="D93" s="94" t="s">
        <v>332</v>
      </c>
      <c r="G93" s="13"/>
      <c r="J93" s="92"/>
      <c r="K93" s="92"/>
      <c r="L93" s="92"/>
      <c r="M93" s="92"/>
      <c r="N93" s="92"/>
      <c r="O93" s="92"/>
      <c r="P93" s="92"/>
      <c r="Q93" s="92"/>
      <c r="R93" s="92"/>
      <c r="S93" s="92"/>
      <c r="T93" s="92"/>
      <c r="U93" s="92"/>
      <c r="V93" s="92"/>
      <c r="W93" s="92"/>
      <c r="X93" s="92"/>
      <c r="Y93" s="92"/>
      <c r="Z93" s="92"/>
      <c r="AA93" s="92"/>
      <c r="AB93" s="92"/>
      <c r="AC93" s="92"/>
      <c r="AD93" s="92"/>
      <c r="AE93" s="92"/>
      <c r="AF93" s="92"/>
      <c r="AG93" s="92"/>
      <c r="AH93" s="92"/>
      <c r="AI93" s="92"/>
      <c r="AJ93" s="92"/>
      <c r="AK93" s="92"/>
      <c r="AL93" s="92"/>
      <c r="AM93" s="92"/>
      <c r="AN93" s="92"/>
      <c r="AO93" s="92"/>
      <c r="AP93" s="92"/>
    </row>
    <row r="94" spans="3:44" x14ac:dyDescent="0.25">
      <c r="D94" s="29" t="s">
        <v>333</v>
      </c>
      <c r="G94" s="13"/>
      <c r="J94" s="92"/>
      <c r="K94" s="92"/>
      <c r="L94" s="92"/>
      <c r="M94" s="92"/>
      <c r="N94" s="92"/>
      <c r="O94" s="92"/>
      <c r="P94" s="92"/>
      <c r="Q94" s="92"/>
      <c r="R94" s="92"/>
      <c r="S94" s="92"/>
      <c r="T94" s="92"/>
      <c r="U94" s="92"/>
      <c r="V94" s="92"/>
      <c r="W94" s="92"/>
      <c r="X94" s="92"/>
      <c r="Y94" s="92"/>
      <c r="Z94" s="92"/>
      <c r="AA94" s="92"/>
      <c r="AB94" s="92"/>
      <c r="AC94" s="92"/>
      <c r="AD94" s="92"/>
      <c r="AE94" s="92"/>
      <c r="AF94" s="92"/>
      <c r="AG94" s="92"/>
      <c r="AH94" s="92"/>
      <c r="AI94" s="92"/>
      <c r="AJ94" s="92"/>
      <c r="AK94" s="92"/>
      <c r="AL94" s="92"/>
      <c r="AM94" s="92"/>
      <c r="AN94" s="92"/>
      <c r="AO94" s="92"/>
      <c r="AP94" s="92"/>
    </row>
    <row r="95" spans="3:44" x14ac:dyDescent="0.25">
      <c r="G95" s="13"/>
      <c r="J95" s="92"/>
      <c r="K95" s="92"/>
      <c r="L95" s="92"/>
      <c r="M95" s="92"/>
      <c r="N95" s="92"/>
      <c r="O95" s="92"/>
      <c r="P95" s="92"/>
      <c r="Q95" s="92"/>
      <c r="R95" s="92"/>
      <c r="S95" s="92"/>
      <c r="T95" s="92"/>
      <c r="U95" s="92"/>
      <c r="V95" s="92"/>
      <c r="W95" s="92"/>
      <c r="X95" s="92"/>
      <c r="Y95" s="92"/>
      <c r="Z95" s="92"/>
      <c r="AA95" s="92"/>
      <c r="AB95" s="92"/>
      <c r="AC95" s="92"/>
      <c r="AD95" s="92"/>
      <c r="AE95" s="92"/>
      <c r="AF95" s="92"/>
      <c r="AG95" s="92"/>
      <c r="AH95" s="92"/>
      <c r="AI95" s="92"/>
      <c r="AJ95" s="92"/>
      <c r="AK95" s="92"/>
      <c r="AL95" s="92"/>
      <c r="AM95" s="92"/>
      <c r="AN95" s="92"/>
      <c r="AO95" s="92"/>
      <c r="AP95" s="92"/>
    </row>
    <row r="96" spans="3:44" x14ac:dyDescent="0.25">
      <c r="E96" t="s">
        <v>334</v>
      </c>
      <c r="G96" t="s">
        <v>335</v>
      </c>
      <c r="J96" s="289">
        <v>91731229.664949134</v>
      </c>
      <c r="K96" s="289">
        <v>13892990.973000305</v>
      </c>
      <c r="L96" s="289">
        <v>9062160.2887673546</v>
      </c>
      <c r="M96" s="289">
        <v>29207895.290780306</v>
      </c>
      <c r="N96" s="289">
        <v>7131221.796259366</v>
      </c>
      <c r="O96" s="289">
        <v>559188.81571061467</v>
      </c>
      <c r="P96" s="289">
        <v>208879.52896995828</v>
      </c>
      <c r="Q96" s="289">
        <v>0</v>
      </c>
      <c r="R96" s="289">
        <v>36498.762293903703</v>
      </c>
      <c r="S96" s="289">
        <v>13142.234149250657</v>
      </c>
      <c r="T96" s="289">
        <v>3369054.6610414786</v>
      </c>
      <c r="U96" s="289">
        <v>59168055.300833553</v>
      </c>
      <c r="V96" s="289">
        <v>3592455.4789058981</v>
      </c>
      <c r="W96" s="289">
        <v>35113391.829872876</v>
      </c>
      <c r="X96" s="289">
        <v>593197.67976237799</v>
      </c>
      <c r="Y96" s="289">
        <v>408311.90826476493</v>
      </c>
      <c r="Z96" s="289">
        <v>197229.04401042123</v>
      </c>
      <c r="AA96" s="289">
        <v>2197.5649914851383</v>
      </c>
      <c r="AB96" s="289">
        <v>4285708.6439116495</v>
      </c>
      <c r="AC96" s="289">
        <v>-75777.117094664965</v>
      </c>
      <c r="AD96" s="289">
        <v>0</v>
      </c>
      <c r="AE96" s="289">
        <v>-4132198.5904392712</v>
      </c>
      <c r="AF96" s="289">
        <v>0</v>
      </c>
      <c r="AG96" s="289">
        <v>-636737.34694336436</v>
      </c>
      <c r="AH96" s="289">
        <v>0</v>
      </c>
      <c r="AI96" s="289">
        <v>-45811.249638000008</v>
      </c>
      <c r="AJ96" s="289">
        <v>0</v>
      </c>
      <c r="AK96" s="289">
        <v>0</v>
      </c>
      <c r="AL96" s="289">
        <v>0</v>
      </c>
      <c r="AM96" s="289">
        <v>-3201591.8774693506</v>
      </c>
      <c r="AN96" s="289">
        <v>0</v>
      </c>
      <c r="AO96" s="289">
        <v>-5073025.6802367643</v>
      </c>
      <c r="AP96" s="289">
        <v>0</v>
      </c>
    </row>
    <row r="97" spans="2:44" x14ac:dyDescent="0.25">
      <c r="G97" s="13"/>
    </row>
    <row r="98" spans="2:44" x14ac:dyDescent="0.25">
      <c r="B98" s="30" t="s">
        <v>280</v>
      </c>
      <c r="C98" s="30"/>
      <c r="D98" s="30"/>
      <c r="E98" s="30"/>
      <c r="F98" s="30"/>
      <c r="G98" s="95"/>
      <c r="H98" s="30"/>
      <c r="I98" s="30"/>
      <c r="J98" s="30"/>
      <c r="K98" s="30"/>
      <c r="L98" s="30"/>
      <c r="M98" s="30"/>
      <c r="N98" s="30"/>
      <c r="O98" s="30"/>
      <c r="P98" s="30"/>
      <c r="Q98" s="30"/>
      <c r="R98" s="30"/>
      <c r="S98" s="30"/>
      <c r="T98" s="30"/>
      <c r="U98" s="30"/>
      <c r="V98" s="30"/>
      <c r="W98" s="30"/>
      <c r="X98" s="30"/>
      <c r="Y98" s="30"/>
      <c r="Z98" s="30"/>
      <c r="AA98" s="30"/>
      <c r="AB98" s="30"/>
      <c r="AC98" s="30"/>
      <c r="AD98" s="30"/>
      <c r="AE98" s="30"/>
      <c r="AF98" s="30"/>
      <c r="AG98" s="30"/>
      <c r="AH98" s="30"/>
      <c r="AI98" s="30"/>
      <c r="AJ98" s="30"/>
      <c r="AK98" s="30"/>
      <c r="AL98" s="30"/>
      <c r="AM98" s="30"/>
      <c r="AN98" s="30"/>
      <c r="AO98" s="30"/>
      <c r="AP98" s="30"/>
      <c r="AQ98" s="30"/>
      <c r="AR98" s="30"/>
    </row>
    <row r="99" spans="2:44" x14ac:dyDescent="0.25">
      <c r="G99" s="13"/>
    </row>
    <row r="100" spans="2:44" x14ac:dyDescent="0.25">
      <c r="E100" t="s">
        <v>281</v>
      </c>
      <c r="G100" s="6" t="s">
        <v>56</v>
      </c>
      <c r="H100" s="24">
        <f t="array" ref="H100">SUM(IF(ISERROR(H13:AP97), 1))</f>
        <v>0</v>
      </c>
    </row>
    <row r="101" spans="2:44" x14ac:dyDescent="0.25">
      <c r="G101" s="13"/>
    </row>
    <row r="102" spans="2:44" x14ac:dyDescent="0.25">
      <c r="E102" s="32" t="s">
        <v>336</v>
      </c>
      <c r="G102" s="13"/>
      <c r="X102" s="84"/>
    </row>
    <row r="103" spans="2:44" x14ac:dyDescent="0.25">
      <c r="F103" s="23" t="s">
        <v>192</v>
      </c>
      <c r="G103" s="85" t="s">
        <v>56</v>
      </c>
      <c r="H103" s="74">
        <f>SUM(J103:AP103)</f>
        <v>0</v>
      </c>
      <c r="I103" s="23"/>
      <c r="J103" s="74">
        <f t="shared" ref="J103:AB103" si="0">IF(ABS(SUM(J53:J55) - 1) &lt; 10^-check_decimals, 0, 1)</f>
        <v>0</v>
      </c>
      <c r="K103" s="74">
        <f t="shared" si="0"/>
        <v>0</v>
      </c>
      <c r="L103" s="74">
        <f t="shared" si="0"/>
        <v>0</v>
      </c>
      <c r="M103" s="74">
        <f t="shared" si="0"/>
        <v>0</v>
      </c>
      <c r="N103" s="74">
        <f t="shared" si="0"/>
        <v>0</v>
      </c>
      <c r="O103" s="74">
        <f t="shared" si="0"/>
        <v>0</v>
      </c>
      <c r="P103" s="74">
        <f t="shared" si="0"/>
        <v>0</v>
      </c>
      <c r="Q103" s="74">
        <f t="shared" si="0"/>
        <v>0</v>
      </c>
      <c r="R103" s="74">
        <f t="shared" si="0"/>
        <v>0</v>
      </c>
      <c r="S103" s="74">
        <f t="shared" si="0"/>
        <v>0</v>
      </c>
      <c r="T103" s="74">
        <f t="shared" si="0"/>
        <v>0</v>
      </c>
      <c r="U103" s="74">
        <f t="shared" si="0"/>
        <v>0</v>
      </c>
      <c r="V103" s="74">
        <f t="shared" si="0"/>
        <v>0</v>
      </c>
      <c r="W103" s="74">
        <f t="shared" si="0"/>
        <v>0</v>
      </c>
      <c r="X103" s="74">
        <f t="shared" si="0"/>
        <v>0</v>
      </c>
      <c r="Y103" s="74">
        <f t="shared" si="0"/>
        <v>0</v>
      </c>
      <c r="Z103" s="74">
        <f t="shared" si="0"/>
        <v>0</v>
      </c>
      <c r="AA103" s="74">
        <f t="shared" si="0"/>
        <v>0</v>
      </c>
      <c r="AB103" s="74">
        <f t="shared" si="0"/>
        <v>0</v>
      </c>
      <c r="AC103" s="65"/>
      <c r="AD103" s="65"/>
      <c r="AE103" s="65"/>
      <c r="AF103" s="65"/>
      <c r="AG103" s="74">
        <f>IF(ABS(SUM(AG53:AG55) - 1) &lt; 10^-check_decimals, 0, 1)</f>
        <v>0</v>
      </c>
      <c r="AH103" s="74">
        <f>IF(ABS(SUM(AH53:AH55) - 1) &lt; 10^-check_decimals, 0, 1)</f>
        <v>0</v>
      </c>
      <c r="AI103" s="65"/>
      <c r="AJ103" s="65"/>
      <c r="AK103" s="74">
        <f>IF(ABS(SUM(AK53:AK55) - 1) &lt; 10^-check_decimals, 0, 1)</f>
        <v>0</v>
      </c>
      <c r="AL103" s="74">
        <f>IF(ABS(SUM(AL53:AL55) - 1) &lt; 10^-check_decimals, 0, 1)</f>
        <v>0</v>
      </c>
      <c r="AM103" s="65"/>
      <c r="AN103" s="65"/>
      <c r="AO103" s="74">
        <f>IF(ABS(SUM(AO53:AO55) - 1) &lt; 10^-check_decimals, 0, 1)</f>
        <v>0</v>
      </c>
      <c r="AP103" s="74">
        <f>IF(ABS(SUM(AP53:AP55) - 1) &lt; 10^-check_decimals, 0, 1)</f>
        <v>0</v>
      </c>
    </row>
    <row r="104" spans="2:44" x14ac:dyDescent="0.25">
      <c r="F104" t="s">
        <v>193</v>
      </c>
      <c r="G104" s="13" t="s">
        <v>56</v>
      </c>
      <c r="H104" s="24">
        <f>SUM(J104:AP104)</f>
        <v>0</v>
      </c>
      <c r="J104" s="66"/>
      <c r="K104" s="24">
        <f>IF(ABS(SUM(K58:K60) - 1) &lt; 10^-check_decimals, 0, 1)</f>
        <v>0</v>
      </c>
      <c r="L104" s="66"/>
      <c r="M104" s="66"/>
      <c r="N104" s="24">
        <f>IF(ABS(SUM(N58:N60) - 1) &lt; 10^-check_decimals, 0, 1)</f>
        <v>0</v>
      </c>
      <c r="O104" s="66"/>
      <c r="P104" s="24">
        <f t="shared" ref="P104:W104" si="1">IF(ABS(SUM(P58:P60) - 1) &lt; 10^-check_decimals, 0, 1)</f>
        <v>0</v>
      </c>
      <c r="Q104" s="24">
        <f t="shared" si="1"/>
        <v>0</v>
      </c>
      <c r="R104" s="24">
        <f t="shared" si="1"/>
        <v>0</v>
      </c>
      <c r="S104" s="24">
        <f t="shared" si="1"/>
        <v>0</v>
      </c>
      <c r="T104" s="24">
        <f t="shared" si="1"/>
        <v>0</v>
      </c>
      <c r="U104" s="24">
        <f t="shared" si="1"/>
        <v>0</v>
      </c>
      <c r="V104" s="24">
        <f t="shared" si="1"/>
        <v>0</v>
      </c>
      <c r="W104" s="24">
        <f t="shared" si="1"/>
        <v>0</v>
      </c>
      <c r="X104" s="66"/>
      <c r="Y104" s="66"/>
      <c r="Z104" s="66"/>
      <c r="AA104" s="66"/>
      <c r="AB104" s="24">
        <f>IF(ABS(SUM(AB58:AB60) - 1) &lt; 10^-check_decimals, 0, 1)</f>
        <v>0</v>
      </c>
      <c r="AC104" s="66"/>
      <c r="AD104" s="66"/>
      <c r="AE104" s="66"/>
      <c r="AF104" s="66"/>
      <c r="AG104" s="24">
        <f>IF(ABS(SUM(AG58:AG60) - 1) &lt; 10^-check_decimals, 0, 1)</f>
        <v>0</v>
      </c>
      <c r="AH104" s="24">
        <f>IF(ABS(SUM(AH58:AH60) - 1) &lt; 10^-check_decimals, 0, 1)</f>
        <v>0</v>
      </c>
      <c r="AI104" s="66"/>
      <c r="AJ104" s="66"/>
      <c r="AK104" s="24">
        <f>IF(ABS(SUM(AK58:AK60) - 1) &lt; 10^-check_decimals, 0, 1)</f>
        <v>0</v>
      </c>
      <c r="AL104" s="24">
        <f>IF(ABS(SUM(AL58:AL60) - 1) &lt; 10^-check_decimals, 0, 1)</f>
        <v>0</v>
      </c>
      <c r="AM104" s="66"/>
      <c r="AN104" s="66"/>
      <c r="AO104" s="24">
        <f>IF(ABS(SUM(AO58:AO60) - 1) &lt; 10^-check_decimals, 0, 1)</f>
        <v>0</v>
      </c>
      <c r="AP104" s="24">
        <f>IF(ABS(SUM(AP58:AP60) - 1) &lt; 10^-check_decimals, 0, 1)</f>
        <v>0</v>
      </c>
    </row>
    <row r="105" spans="2:44" x14ac:dyDescent="0.25">
      <c r="F105" s="37" t="s">
        <v>194</v>
      </c>
      <c r="G105" s="87" t="s">
        <v>56</v>
      </c>
      <c r="H105" s="75">
        <f>SUM(J105:AP105)</f>
        <v>0</v>
      </c>
      <c r="I105" s="37"/>
      <c r="J105" s="68"/>
      <c r="K105" s="68"/>
      <c r="L105" s="68"/>
      <c r="M105" s="68"/>
      <c r="N105" s="68"/>
      <c r="O105" s="68"/>
      <c r="P105" s="68"/>
      <c r="Q105" s="68"/>
      <c r="R105" s="68"/>
      <c r="S105" s="75">
        <f>IF(ABS(SUM(S63:S65) - 1) &lt; 10^-check_decimals, 0, 1)</f>
        <v>0</v>
      </c>
      <c r="T105" s="75">
        <f>IF(ABS(SUM(T63:T65) - 1) &lt; 10^-check_decimals, 0, 1)</f>
        <v>0</v>
      </c>
      <c r="U105" s="75">
        <f>IF(ABS(SUM(U63:U65) - 1) &lt; 10^-check_decimals, 0, 1)</f>
        <v>0</v>
      </c>
      <c r="V105" s="75">
        <f>IF(ABS(SUM(V63:V65) - 1) &lt; 10^-check_decimals, 0, 1)</f>
        <v>0</v>
      </c>
      <c r="W105" s="75">
        <f>IF(ABS(SUM(W63:W65) - 1) &lt; 10^-check_decimals, 0, 1)</f>
        <v>0</v>
      </c>
      <c r="X105" s="68"/>
      <c r="Y105" s="68"/>
      <c r="Z105" s="68"/>
      <c r="AA105" s="68"/>
      <c r="AB105" s="75">
        <f>IF(ABS(SUM(AB63:AB65) - 1) &lt; 10^-check_decimals, 0, 1)</f>
        <v>0</v>
      </c>
      <c r="AC105" s="68"/>
      <c r="AD105" s="68"/>
      <c r="AE105" s="68"/>
      <c r="AF105" s="68"/>
      <c r="AG105" s="75">
        <f>IF(ABS(SUM(AG63:AG65) - 1) &lt; 10^-check_decimals, 0, 1)</f>
        <v>0</v>
      </c>
      <c r="AH105" s="75">
        <f>IF(ABS(SUM(AH63:AH65) - 1) &lt; 10^-check_decimals, 0, 1)</f>
        <v>0</v>
      </c>
      <c r="AI105" s="68"/>
      <c r="AJ105" s="68"/>
      <c r="AK105" s="75">
        <f>IF(ABS(SUM(AK63:AK65) - 1) &lt; 10^-check_decimals, 0, 1)</f>
        <v>0</v>
      </c>
      <c r="AL105" s="75">
        <f>IF(ABS(SUM(AL63:AL65) - 1) &lt; 10^-check_decimals, 0, 1)</f>
        <v>0</v>
      </c>
      <c r="AM105" s="68"/>
      <c r="AN105" s="68"/>
      <c r="AO105" s="75">
        <f>IF(ABS(SUM(AO63:AO65) - 1) &lt; 10^-check_decimals, 0, 1)</f>
        <v>0</v>
      </c>
      <c r="AP105" s="75">
        <f>IF(ABS(SUM(AP63:AP65) - 1) &lt; 10^-check_decimals, 0, 1)</f>
        <v>0</v>
      </c>
    </row>
    <row r="107" spans="2:44" x14ac:dyDescent="0.25">
      <c r="E107" t="s">
        <v>289</v>
      </c>
      <c r="G107" s="6" t="s">
        <v>56</v>
      </c>
      <c r="H107" s="26">
        <f>SUM(H100, H103:H105)</f>
        <v>0</v>
      </c>
    </row>
    <row r="109" spans="2:44" x14ac:dyDescent="0.25">
      <c r="B109" s="30" t="s">
        <v>107</v>
      </c>
      <c r="C109" s="30"/>
      <c r="D109" s="30"/>
      <c r="E109" s="30"/>
      <c r="F109" s="30"/>
      <c r="G109" s="30"/>
      <c r="H109" s="30"/>
      <c r="I109" s="30"/>
      <c r="J109" s="30"/>
      <c r="K109" s="30"/>
      <c r="L109" s="30"/>
      <c r="M109" s="30"/>
      <c r="N109" s="30"/>
      <c r="O109" s="30"/>
      <c r="P109" s="30"/>
      <c r="Q109" s="30"/>
      <c r="R109" s="30"/>
      <c r="S109" s="30"/>
      <c r="T109" s="30"/>
      <c r="U109" s="30"/>
      <c r="V109" s="30"/>
      <c r="W109" s="30"/>
      <c r="X109" s="30"/>
      <c r="Y109" s="30"/>
      <c r="Z109" s="30"/>
      <c r="AA109" s="30"/>
      <c r="AB109" s="30"/>
      <c r="AC109" s="30"/>
      <c r="AD109" s="30"/>
      <c r="AE109" s="30"/>
      <c r="AF109" s="30"/>
      <c r="AG109" s="30"/>
      <c r="AH109" s="30"/>
      <c r="AI109" s="30"/>
      <c r="AJ109" s="30"/>
      <c r="AK109" s="30"/>
      <c r="AL109" s="30"/>
      <c r="AM109" s="30"/>
      <c r="AN109" s="30"/>
      <c r="AO109" s="30"/>
      <c r="AP109" s="30"/>
      <c r="AQ109" s="30"/>
      <c r="AR109" s="30"/>
    </row>
  </sheetData>
  <sheetProtection sheet="1" objects="1" formatCells="0" formatColumns="0" formatRows="0" sort="0" autoFilter="0"/>
  <conditionalFormatting sqref="H100">
    <cfRule type="cellIs" dxfId="90" priority="24" operator="greaterThan">
      <formula>0</formula>
    </cfRule>
  </conditionalFormatting>
  <conditionalFormatting sqref="H103:H105">
    <cfRule type="cellIs" dxfId="89" priority="23" operator="greaterThan">
      <formula>0</formula>
    </cfRule>
  </conditionalFormatting>
  <conditionalFormatting sqref="J103:AB103">
    <cfRule type="cellIs" dxfId="88" priority="22" operator="greaterThan">
      <formula>0</formula>
    </cfRule>
  </conditionalFormatting>
  <conditionalFormatting sqref="AG103:AH103">
    <cfRule type="cellIs" dxfId="87" priority="21" operator="greaterThan">
      <formula>0</formula>
    </cfRule>
  </conditionalFormatting>
  <conditionalFormatting sqref="AK103:AL103">
    <cfRule type="cellIs" dxfId="86" priority="20" operator="greaterThan">
      <formula>0</formula>
    </cfRule>
  </conditionalFormatting>
  <conditionalFormatting sqref="AO103:AP103">
    <cfRule type="cellIs" dxfId="85" priority="19" operator="greaterThan">
      <formula>0</formula>
    </cfRule>
  </conditionalFormatting>
  <conditionalFormatting sqref="K104">
    <cfRule type="cellIs" dxfId="84" priority="18" operator="greaterThan">
      <formula>0</formula>
    </cfRule>
  </conditionalFormatting>
  <conditionalFormatting sqref="N104">
    <cfRule type="cellIs" dxfId="83" priority="17" operator="greaterThan">
      <formula>0</formula>
    </cfRule>
  </conditionalFormatting>
  <conditionalFormatting sqref="P104:W104">
    <cfRule type="cellIs" dxfId="82" priority="16" operator="greaterThan">
      <formula>0</formula>
    </cfRule>
  </conditionalFormatting>
  <conditionalFormatting sqref="AB104">
    <cfRule type="cellIs" dxfId="81" priority="15" operator="greaterThan">
      <formula>0</formula>
    </cfRule>
  </conditionalFormatting>
  <conditionalFormatting sqref="AG104">
    <cfRule type="cellIs" dxfId="80" priority="14" operator="greaterThan">
      <formula>0</formula>
    </cfRule>
  </conditionalFormatting>
  <conditionalFormatting sqref="AH104">
    <cfRule type="cellIs" dxfId="79" priority="13" operator="greaterThan">
      <formula>0</formula>
    </cfRule>
  </conditionalFormatting>
  <conditionalFormatting sqref="AK104">
    <cfRule type="cellIs" dxfId="78" priority="12" operator="greaterThan">
      <formula>0</formula>
    </cfRule>
  </conditionalFormatting>
  <conditionalFormatting sqref="AL104">
    <cfRule type="cellIs" dxfId="77" priority="11" operator="greaterThan">
      <formula>0</formula>
    </cfRule>
  </conditionalFormatting>
  <conditionalFormatting sqref="AO104">
    <cfRule type="cellIs" dxfId="76" priority="10" operator="greaterThan">
      <formula>0</formula>
    </cfRule>
  </conditionalFormatting>
  <conditionalFormatting sqref="AP104">
    <cfRule type="cellIs" dxfId="75" priority="9" operator="greaterThan">
      <formula>0</formula>
    </cfRule>
  </conditionalFormatting>
  <conditionalFormatting sqref="AP105">
    <cfRule type="cellIs" dxfId="74" priority="8" operator="greaterThan">
      <formula>0</formula>
    </cfRule>
  </conditionalFormatting>
  <conditionalFormatting sqref="AO105">
    <cfRule type="cellIs" dxfId="73" priority="7" operator="greaterThan">
      <formula>0</formula>
    </cfRule>
  </conditionalFormatting>
  <conditionalFormatting sqref="AK105:AL105">
    <cfRule type="cellIs" dxfId="72" priority="6" operator="greaterThan">
      <formula>0</formula>
    </cfRule>
  </conditionalFormatting>
  <conditionalFormatting sqref="AG105:AH105">
    <cfRule type="cellIs" dxfId="71" priority="5" operator="greaterThan">
      <formula>0</formula>
    </cfRule>
  </conditionalFormatting>
  <conditionalFormatting sqref="S105:W105">
    <cfRule type="cellIs" dxfId="70" priority="3" operator="greaterThan">
      <formula>0</formula>
    </cfRule>
  </conditionalFormatting>
  <conditionalFormatting sqref="AB105">
    <cfRule type="cellIs" dxfId="69" priority="4" operator="greaterThan">
      <formula>0</formula>
    </cfRule>
  </conditionalFormatting>
  <conditionalFormatting sqref="H107">
    <cfRule type="cellIs" dxfId="68" priority="2" operator="greaterThan">
      <formula>0</formula>
    </cfRule>
  </conditionalFormatting>
  <conditionalFormatting sqref="A4:XFD4">
    <cfRule type="expression" dxfId="67" priority="1">
      <formula>LEFT($A$4,1) &lt;&gt; "0"</formula>
    </cfRule>
  </conditionalFormatting>
  <dataValidations count="10">
    <dataValidation type="decimal" allowBlank="1" showInputMessage="1" showErrorMessage="1" errorTitle="Invalid coincidence factor" error="Invalid coincidence factor (unused cell or not between 0% and 100%)." sqref="J16:AB16 AC15:AO16">
      <formula1>0</formula1>
      <formula2>1</formula2>
    </dataValidation>
    <dataValidation type="decimal" allowBlank="1" showInputMessage="1" showErrorMessage="1" errorTitle="Invalid load factor" error="The load factor must be between 0% and 100%." sqref="J15:AB15">
      <formula1>0</formula1>
      <formula2>1</formula2>
    </dataValidation>
    <dataValidation type="textLength" operator="equal" allowBlank="1" showInputMessage="1" showErrorMessage="1" error="This cell is not in use." sqref="AP74:AP75 AP91 AP77 AP66 AP69">
      <formula1>0</formula1>
    </dataValidation>
    <dataValidation type="decimal" operator="greaterThanOrEqual" allowBlank="1" showInputMessage="1" showErrorMessage="1" errorTitle="Invalid volume data" error="Invalid volume data (negative number or unused cell)." sqref="J56:X56 J39:AO39 AB31:AB32 J34:AO38 J91:AP91 J77:AP77 J66:AP66 J69:AP69 J74:AP75 J71:AP72 J61:W61 J21:AO30 J40:AO45">
      <formula1>0</formula1>
    </dataValidation>
    <dataValidation type="decimal" allowBlank="1" showInputMessage="1" showErrorMessage="1" sqref="J56:AB56 P61:AA61">
      <formula1>0</formula1>
      <formula2>1</formula2>
    </dataValidation>
    <dataValidation allowBlank="1" sqref="J82:AP88 J96:AP96"/>
    <dataValidation type="decimal" allowBlank="1" showErrorMessage="1" prompt="Red, Amber and Green must add to 100%" sqref="J53:AP55">
      <formula1>0</formula1>
      <formula2>1</formula2>
    </dataValidation>
    <dataValidation type="decimal" allowBlank="1" showErrorMessage="1" errorTitle="Invalid volume data" error="Invalid volume data (must be between 0 and 1)." sqref="J63:AP65 J58:AP60">
      <formula1>0</formula1>
      <formula2>1</formula2>
    </dataValidation>
    <dataValidation type="decimal" allowBlank="1" showErrorMessage="1" errorTitle="Invalid volume data" error="Invalid volume data (must be between 0 and 1)." prompt="Red, Amber and Green must add to 100%" sqref="J53:AP55">
      <formula1>0</formula1>
      <formula2>1</formula2>
    </dataValidation>
    <dataValidation type="decimal" operator="greaterThanOrEqual" allowBlank="1" showInputMessage="1" showErrorMessage="1" sqref="AP15:AP4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1">
    <tabColor theme="5" tint="0.59999389629810485"/>
    <pageSetUpPr fitToPage="1"/>
  </sheetPr>
  <dimension ref="A1:IV69"/>
  <sheetViews>
    <sheetView showGridLines="0" zoomScale="80" zoomScaleNormal="80" workbookViewId="0">
      <pane xSplit="9" ySplit="5" topLeftCell="J6" activePane="bottomRight" state="frozen"/>
      <selection pane="topRight" activeCell="N50" sqref="N50"/>
      <selection pane="bottomLeft" activeCell="N50" sqref="N50"/>
      <selection pane="bottomRight" activeCell="J9" sqref="J9"/>
    </sheetView>
  </sheetViews>
  <sheetFormatPr defaultColWidth="0" defaultRowHeight="15" x14ac:dyDescent="0.25"/>
  <cols>
    <col min="1" max="5" width="2.5703125" customWidth="1"/>
    <col min="6" max="6" width="59.5703125" customWidth="1"/>
    <col min="7" max="8" width="20.5703125" customWidth="1"/>
    <col min="9" max="9" width="2.42578125" customWidth="1"/>
    <col min="10" max="19" width="17" customWidth="1"/>
    <col min="20" max="20" width="2.42578125" customWidth="1"/>
    <col min="21" max="21" width="50.5703125" customWidth="1"/>
    <col min="22" max="22" width="2.42578125" customWidth="1"/>
    <col min="23"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Inputs by network level</v>
      </c>
    </row>
    <row r="2" spans="1:27" s="1" customFormat="1" x14ac:dyDescent="0.25">
      <c r="A2" s="1" t="str">
        <f>Cover!D21&amp;" - "&amp;Cover!D23</f>
        <v>SHEPD  - Final</v>
      </c>
    </row>
    <row r="3" spans="1:27" s="5" customFormat="1" x14ac:dyDescent="0.25">
      <c r="A3" s="5" t="str">
        <f>Cover!D2&amp;" - "&amp;Cover!D8&amp;" v"&amp;Cover!D10&amp;" - "&amp;Cover!D19</f>
        <v>CDCM charging model - Release for charge setting v3 - 2020/21</v>
      </c>
    </row>
    <row r="4" spans="1:27" x14ac:dyDescent="0.25">
      <c r="A4" s="12" t="str">
        <f>H56 &amp; IF(H56 = 1, " issue", " issues") &amp;" identified in checks on this sheet"</f>
        <v>0 issues identified in checks on this sheet</v>
      </c>
      <c r="B4" s="13"/>
      <c r="C4" s="13"/>
      <c r="D4" s="13"/>
      <c r="E4" s="13"/>
      <c r="F4" s="13"/>
      <c r="G4" s="13"/>
      <c r="H4" s="14"/>
      <c r="I4" s="14"/>
      <c r="J4" s="13"/>
    </row>
    <row r="5" spans="1:27" x14ac:dyDescent="0.25">
      <c r="B5" s="59" t="s">
        <v>145</v>
      </c>
      <c r="C5" s="60"/>
      <c r="D5" s="60"/>
      <c r="E5" s="60"/>
      <c r="F5" s="60"/>
      <c r="G5" s="1" t="s">
        <v>146</v>
      </c>
      <c r="H5" s="96" t="s">
        <v>147</v>
      </c>
      <c r="I5" s="14"/>
      <c r="J5" s="96" t="s">
        <v>225</v>
      </c>
      <c r="K5" s="96" t="s">
        <v>227</v>
      </c>
      <c r="L5" s="96" t="s">
        <v>228</v>
      </c>
      <c r="M5" s="96" t="s">
        <v>229</v>
      </c>
      <c r="N5" s="96" t="s">
        <v>230</v>
      </c>
      <c r="O5" s="96" t="s">
        <v>231</v>
      </c>
      <c r="P5" s="96" t="s">
        <v>232</v>
      </c>
      <c r="Q5" s="96" t="s">
        <v>233</v>
      </c>
      <c r="R5" s="96" t="s">
        <v>234</v>
      </c>
      <c r="S5" s="96" t="s">
        <v>235</v>
      </c>
      <c r="U5" s="61" t="s">
        <v>181</v>
      </c>
    </row>
    <row r="7" spans="1:27" x14ac:dyDescent="0.25">
      <c r="B7" s="30" t="s">
        <v>11</v>
      </c>
      <c r="C7" s="30"/>
      <c r="D7" s="30"/>
      <c r="E7" s="30"/>
      <c r="F7" s="30"/>
      <c r="G7" s="30"/>
      <c r="H7" s="30"/>
      <c r="I7" s="30"/>
      <c r="J7" s="30"/>
      <c r="K7" s="30"/>
      <c r="L7" s="30"/>
      <c r="M7" s="30"/>
      <c r="N7" s="30"/>
      <c r="O7" s="30"/>
      <c r="P7" s="30"/>
      <c r="Q7" s="30"/>
      <c r="R7" s="30"/>
      <c r="S7" s="30"/>
      <c r="T7" s="30"/>
      <c r="U7" s="30"/>
      <c r="W7" s="30"/>
      <c r="X7" s="30"/>
      <c r="Y7" s="30"/>
      <c r="Z7" s="30"/>
      <c r="AA7" s="30"/>
    </row>
    <row r="9" spans="1:27" x14ac:dyDescent="0.25">
      <c r="C9" s="29" t="s">
        <v>337</v>
      </c>
    </row>
    <row r="11" spans="1:27" x14ac:dyDescent="0.25">
      <c r="B11" s="30" t="s">
        <v>59</v>
      </c>
      <c r="C11" s="30"/>
      <c r="D11" s="30"/>
      <c r="E11" s="30"/>
      <c r="F11" s="30"/>
      <c r="G11" s="30"/>
      <c r="H11" s="30"/>
      <c r="I11" s="30"/>
      <c r="J11" s="30"/>
      <c r="K11" s="30"/>
      <c r="L11" s="30"/>
      <c r="M11" s="30"/>
      <c r="N11" s="30"/>
      <c r="O11" s="30"/>
      <c r="P11" s="30"/>
      <c r="Q11" s="30"/>
      <c r="R11" s="30"/>
      <c r="S11" s="30"/>
      <c r="T11" s="30"/>
      <c r="U11" s="30"/>
      <c r="W11" s="30"/>
      <c r="X11" s="30"/>
      <c r="Y11" s="30"/>
      <c r="Z11" s="30"/>
      <c r="AA11" s="30"/>
    </row>
    <row r="13" spans="1:27" x14ac:dyDescent="0.25">
      <c r="C13" s="31" t="str">
        <f ca="1">INDEX('Version control'!$H$34:$H$56,MATCH($A$1,'Version control'!$F$34:$F$56,0),1)&amp;"-A: Network and load inputs"</f>
        <v>Input 103-A: Network and load inputs</v>
      </c>
      <c r="D13" s="31"/>
      <c r="E13" s="31"/>
      <c r="F13" s="31"/>
      <c r="G13" s="31"/>
      <c r="H13" s="31"/>
      <c r="I13" s="31"/>
      <c r="J13" s="31"/>
      <c r="K13" s="31"/>
      <c r="L13" s="31"/>
      <c r="M13" s="31"/>
      <c r="N13" s="31"/>
      <c r="O13" s="31"/>
      <c r="P13" s="31"/>
      <c r="Q13" s="31"/>
      <c r="R13" s="31"/>
      <c r="S13" s="31"/>
      <c r="T13" s="31"/>
      <c r="U13" s="31"/>
      <c r="W13" s="30"/>
      <c r="X13" s="30"/>
      <c r="Y13" s="30"/>
      <c r="Z13" s="30"/>
      <c r="AA13" s="30"/>
    </row>
    <row r="15" spans="1:27" x14ac:dyDescent="0.25">
      <c r="E15" s="28" t="s">
        <v>338</v>
      </c>
      <c r="G15" s="28" t="s">
        <v>203</v>
      </c>
      <c r="I15" t="s">
        <v>190</v>
      </c>
      <c r="J15" s="97"/>
      <c r="K15" s="295">
        <v>7.4999999999999997E-2</v>
      </c>
      <c r="L15" s="295">
        <v>0</v>
      </c>
      <c r="M15" s="97"/>
      <c r="N15" s="295">
        <v>8.9800000000000005E-2</v>
      </c>
      <c r="O15" s="97"/>
      <c r="P15" s="77"/>
      <c r="Q15" s="295">
        <v>0.53649999999999998</v>
      </c>
      <c r="R15" s="66"/>
      <c r="S15" s="66"/>
      <c r="U15" s="63" t="s">
        <v>339</v>
      </c>
    </row>
    <row r="17" spans="3:27" x14ac:dyDescent="0.25">
      <c r="E17" s="28" t="s">
        <v>340</v>
      </c>
      <c r="G17" s="28" t="s">
        <v>203</v>
      </c>
      <c r="H17" s="28"/>
      <c r="I17" s="98"/>
      <c r="J17" s="97"/>
      <c r="K17" s="66"/>
      <c r="L17" s="66"/>
      <c r="M17" s="66"/>
      <c r="N17" s="66"/>
      <c r="O17" s="66"/>
      <c r="P17" s="295">
        <v>0</v>
      </c>
      <c r="Q17" s="66"/>
      <c r="R17" s="66"/>
      <c r="S17" s="66"/>
    </row>
    <row r="19" spans="3:27" x14ac:dyDescent="0.25">
      <c r="E19" s="28" t="s">
        <v>341</v>
      </c>
      <c r="G19" s="28" t="s">
        <v>342</v>
      </c>
      <c r="I19" t="s">
        <v>190</v>
      </c>
      <c r="J19" s="79"/>
      <c r="K19" s="289">
        <v>1</v>
      </c>
      <c r="L19" s="289">
        <v>1</v>
      </c>
      <c r="M19" s="289">
        <v>1</v>
      </c>
      <c r="N19" s="289">
        <v>1.0149999999999999</v>
      </c>
      <c r="O19" s="289">
        <v>1.026</v>
      </c>
      <c r="P19" s="79"/>
      <c r="Q19" s="289">
        <v>1.0349999999999999</v>
      </c>
      <c r="R19" s="289">
        <v>1.0569999999999999</v>
      </c>
      <c r="S19" s="289">
        <v>1.0900000000000001</v>
      </c>
      <c r="U19" s="63" t="s">
        <v>343</v>
      </c>
    </row>
    <row r="20" spans="3:27" x14ac:dyDescent="0.25">
      <c r="J20" s="92"/>
      <c r="K20" s="92"/>
      <c r="L20" s="92"/>
      <c r="M20" s="92"/>
      <c r="N20" s="92"/>
      <c r="O20" s="92"/>
      <c r="P20" s="92"/>
      <c r="Q20" s="92"/>
      <c r="R20" s="92"/>
      <c r="S20" s="92"/>
    </row>
    <row r="21" spans="3:27" x14ac:dyDescent="0.25">
      <c r="E21" s="28" t="s">
        <v>344</v>
      </c>
      <c r="G21" s="28" t="s">
        <v>345</v>
      </c>
      <c r="I21" t="s">
        <v>190</v>
      </c>
      <c r="J21" s="79"/>
      <c r="K21" s="289">
        <v>0.19</v>
      </c>
      <c r="L21" s="289">
        <v>0</v>
      </c>
      <c r="M21" s="289">
        <v>0</v>
      </c>
      <c r="N21" s="289">
        <v>0.19</v>
      </c>
      <c r="O21" s="289">
        <v>0.19</v>
      </c>
      <c r="P21" s="289">
        <v>0</v>
      </c>
      <c r="Q21" s="289">
        <v>0.19</v>
      </c>
      <c r="R21" s="289">
        <v>0.19</v>
      </c>
      <c r="S21" s="289">
        <v>0.19</v>
      </c>
      <c r="U21" s="63" t="s">
        <v>346</v>
      </c>
    </row>
    <row r="23" spans="3:27" x14ac:dyDescent="0.25">
      <c r="C23" s="31" t="str">
        <f ca="1">INDEX('Version control'!$H$34:$H$56,MATCH($A$1,'Version control'!$F$34:$F$56,0),1)&amp;"-B: Customer contributions under current connection charging policy"</f>
        <v>Input 103-B: Customer contributions under current connection charging policy</v>
      </c>
      <c r="D23" s="31"/>
      <c r="E23" s="31"/>
      <c r="F23" s="31"/>
      <c r="G23" s="31"/>
      <c r="H23" s="31"/>
      <c r="I23" s="31"/>
      <c r="J23" s="31"/>
      <c r="K23" s="31"/>
      <c r="L23" s="31"/>
      <c r="M23" s="31"/>
      <c r="N23" s="31"/>
      <c r="O23" s="31"/>
      <c r="P23" s="31"/>
      <c r="Q23" s="31"/>
      <c r="R23" s="31"/>
      <c r="S23" s="31"/>
      <c r="T23" s="31"/>
      <c r="U23" s="31"/>
      <c r="W23" s="30"/>
      <c r="X23" s="30"/>
      <c r="Y23" s="30"/>
      <c r="Z23" s="30"/>
      <c r="AA23" s="30"/>
    </row>
    <row r="24" spans="3:27" x14ac:dyDescent="0.25">
      <c r="C24" s="32"/>
      <c r="I24" t="s">
        <v>190</v>
      </c>
      <c r="U24" t="s">
        <v>347</v>
      </c>
    </row>
    <row r="25" spans="3:27" x14ac:dyDescent="0.25">
      <c r="C25" s="32"/>
      <c r="E25" s="32" t="s">
        <v>348</v>
      </c>
    </row>
    <row r="26" spans="3:27" x14ac:dyDescent="0.25">
      <c r="F26" s="64" t="s">
        <v>222</v>
      </c>
      <c r="G26" s="64" t="s">
        <v>203</v>
      </c>
      <c r="H26" s="23"/>
      <c r="I26" s="23"/>
      <c r="J26" s="65"/>
      <c r="K26" s="65"/>
      <c r="L26" s="292">
        <v>0</v>
      </c>
      <c r="M26" s="292">
        <v>0</v>
      </c>
      <c r="N26" s="292">
        <v>6.4338235294117696E-3</v>
      </c>
      <c r="O26" s="292">
        <v>4.1617122473246101E-3</v>
      </c>
      <c r="P26" s="292">
        <v>0</v>
      </c>
      <c r="Q26" s="292">
        <v>0.42522380337704002</v>
      </c>
      <c r="R26" s="292">
        <v>0.78260869565217395</v>
      </c>
      <c r="S26" s="292">
        <v>0.966742252456538</v>
      </c>
    </row>
    <row r="27" spans="3:27" x14ac:dyDescent="0.25">
      <c r="F27" s="28" t="s">
        <v>221</v>
      </c>
      <c r="G27" s="28" t="s">
        <v>203</v>
      </c>
      <c r="J27" s="66"/>
      <c r="K27" s="66"/>
      <c r="L27" s="287">
        <v>0</v>
      </c>
      <c r="M27" s="287">
        <v>0</v>
      </c>
      <c r="N27" s="287">
        <v>6.4338235294117696E-3</v>
      </c>
      <c r="O27" s="287">
        <v>4.1617122473246101E-3</v>
      </c>
      <c r="P27" s="287">
        <v>0</v>
      </c>
      <c r="Q27" s="287">
        <v>0.42522380337704002</v>
      </c>
      <c r="R27" s="287">
        <v>0.78260869565217395</v>
      </c>
      <c r="S27" s="70"/>
    </row>
    <row r="28" spans="3:27" x14ac:dyDescent="0.25">
      <c r="F28" s="28" t="s">
        <v>220</v>
      </c>
      <c r="G28" s="28" t="s">
        <v>203</v>
      </c>
      <c r="J28" s="66"/>
      <c r="K28" s="66"/>
      <c r="L28" s="287">
        <v>0</v>
      </c>
      <c r="M28" s="287">
        <v>0</v>
      </c>
      <c r="N28" s="287">
        <v>1.16978609625668E-2</v>
      </c>
      <c r="O28" s="287">
        <v>7.56674954059021E-3</v>
      </c>
      <c r="P28" s="287">
        <v>0</v>
      </c>
      <c r="Q28" s="287">
        <v>0.38896884219615702</v>
      </c>
      <c r="R28" s="70"/>
      <c r="S28" s="70"/>
    </row>
    <row r="29" spans="3:27" x14ac:dyDescent="0.25">
      <c r="F29" s="67" t="s">
        <v>219</v>
      </c>
      <c r="G29" s="67" t="s">
        <v>203</v>
      </c>
      <c r="H29" s="37"/>
      <c r="I29" s="37"/>
      <c r="J29" s="68"/>
      <c r="K29" s="68"/>
      <c r="L29" s="294">
        <v>0</v>
      </c>
      <c r="M29" s="294">
        <v>0</v>
      </c>
      <c r="N29" s="294">
        <v>1.16978609625668E-2</v>
      </c>
      <c r="O29" s="294">
        <v>7.56674954059021E-3</v>
      </c>
      <c r="P29" s="71"/>
      <c r="Q29" s="71"/>
      <c r="R29" s="71"/>
      <c r="S29" s="71"/>
    </row>
    <row r="31" spans="3:27" x14ac:dyDescent="0.25">
      <c r="C31" s="31" t="str">
        <f ca="1">INDEX('Version control'!$H$34:$H$56,MATCH($A$1,'Version control'!$F$34:$F$56,0),1)&amp;"-C: DRM asset costs"</f>
        <v>Input 103-C: DRM asset costs</v>
      </c>
      <c r="D31" s="31"/>
      <c r="E31" s="31"/>
      <c r="F31" s="31"/>
      <c r="G31" s="31"/>
      <c r="H31" s="31"/>
      <c r="I31" s="31"/>
      <c r="J31" s="31"/>
      <c r="K31" s="31"/>
      <c r="L31" s="31"/>
      <c r="M31" s="31"/>
      <c r="N31" s="31"/>
      <c r="O31" s="31"/>
      <c r="P31" s="31"/>
      <c r="Q31" s="31"/>
      <c r="R31" s="31"/>
      <c r="S31" s="31"/>
      <c r="T31" s="31"/>
      <c r="U31" s="31"/>
      <c r="W31" s="30"/>
      <c r="X31" s="30"/>
      <c r="Y31" s="30"/>
      <c r="Z31" s="30"/>
      <c r="AA31" s="30"/>
    </row>
    <row r="33" spans="2:27" x14ac:dyDescent="0.25">
      <c r="E33" s="28" t="s">
        <v>349</v>
      </c>
      <c r="G33" s="28" t="s">
        <v>335</v>
      </c>
      <c r="I33" t="s">
        <v>190</v>
      </c>
      <c r="J33" s="79"/>
      <c r="K33" s="79"/>
      <c r="L33" s="289">
        <v>0</v>
      </c>
      <c r="M33" s="289">
        <v>0</v>
      </c>
      <c r="N33" s="289">
        <v>81242918.297604412</v>
      </c>
      <c r="O33" s="289">
        <v>73508292.308063701</v>
      </c>
      <c r="P33" s="289">
        <v>0</v>
      </c>
      <c r="Q33" s="289">
        <v>303754958.35087061</v>
      </c>
      <c r="R33" s="289">
        <v>73554738.917063981</v>
      </c>
      <c r="S33" s="289">
        <v>174606501.36686647</v>
      </c>
    </row>
    <row r="35" spans="2:27" x14ac:dyDescent="0.25">
      <c r="C35" s="31" t="str">
        <f ca="1">INDEX('Version control'!$H$34:$H$56,MATCH($A$1,'Version control'!$F$34:$F$56,0),1)&amp;"-D: Peaking probabilities by network level"</f>
        <v>Input 103-D: Peaking probabilities by network level</v>
      </c>
      <c r="D35" s="31"/>
      <c r="E35" s="31"/>
      <c r="F35" s="31"/>
      <c r="G35" s="31"/>
      <c r="H35" s="31"/>
      <c r="I35" s="31"/>
      <c r="J35" s="31"/>
      <c r="K35" s="31"/>
      <c r="L35" s="31"/>
      <c r="M35" s="31"/>
      <c r="N35" s="31"/>
      <c r="O35" s="31"/>
      <c r="P35" s="31"/>
      <c r="Q35" s="31"/>
      <c r="R35" s="31"/>
      <c r="S35" s="31"/>
      <c r="T35" s="31"/>
      <c r="U35" s="31"/>
      <c r="W35" s="30"/>
      <c r="X35" s="30"/>
      <c r="Y35" s="30"/>
      <c r="Z35" s="30"/>
      <c r="AA35" s="30"/>
    </row>
    <row r="37" spans="2:27" x14ac:dyDescent="0.25">
      <c r="D37" s="29" t="s">
        <v>350</v>
      </c>
    </row>
    <row r="38" spans="2:27" x14ac:dyDescent="0.25">
      <c r="C38" s="29"/>
    </row>
    <row r="39" spans="2:27" x14ac:dyDescent="0.25">
      <c r="D39" s="32"/>
      <c r="E39" s="32" t="s">
        <v>351</v>
      </c>
      <c r="I39" t="s">
        <v>190</v>
      </c>
      <c r="U39" t="s">
        <v>352</v>
      </c>
    </row>
    <row r="40" spans="2:27" x14ac:dyDescent="0.25">
      <c r="F40" s="23" t="s">
        <v>353</v>
      </c>
      <c r="G40" s="78" t="s">
        <v>203</v>
      </c>
      <c r="H40" s="23"/>
      <c r="I40" s="23"/>
      <c r="J40" s="65"/>
      <c r="K40" s="292">
        <v>0.51</v>
      </c>
      <c r="L40" s="292">
        <v>0</v>
      </c>
      <c r="M40" s="292">
        <v>0</v>
      </c>
      <c r="N40" s="292">
        <v>0.46</v>
      </c>
      <c r="O40" s="292">
        <v>0.46</v>
      </c>
      <c r="P40" s="292">
        <v>0</v>
      </c>
      <c r="Q40" s="292">
        <v>0.46</v>
      </c>
      <c r="R40" s="292">
        <v>0.46</v>
      </c>
      <c r="S40" s="292">
        <v>0.46</v>
      </c>
    </row>
    <row r="41" spans="2:27" x14ac:dyDescent="0.25">
      <c r="F41" t="s">
        <v>354</v>
      </c>
      <c r="G41" s="72" t="s">
        <v>203</v>
      </c>
      <c r="J41" s="66"/>
      <c r="K41" s="287">
        <v>0.32</v>
      </c>
      <c r="L41" s="287">
        <v>0</v>
      </c>
      <c r="M41" s="287">
        <v>0</v>
      </c>
      <c r="N41" s="287">
        <v>0.35</v>
      </c>
      <c r="O41" s="287">
        <v>0.35</v>
      </c>
      <c r="P41" s="287">
        <v>0</v>
      </c>
      <c r="Q41" s="287">
        <v>0.35</v>
      </c>
      <c r="R41" s="287">
        <v>0.35</v>
      </c>
      <c r="S41" s="287">
        <v>0.35</v>
      </c>
    </row>
    <row r="42" spans="2:27" x14ac:dyDescent="0.25">
      <c r="F42" s="37" t="s">
        <v>313</v>
      </c>
      <c r="G42" s="80" t="s">
        <v>203</v>
      </c>
      <c r="H42" s="37"/>
      <c r="I42" s="37"/>
      <c r="J42" s="68"/>
      <c r="K42" s="294">
        <v>0.17</v>
      </c>
      <c r="L42" s="294">
        <v>0</v>
      </c>
      <c r="M42" s="294">
        <v>0</v>
      </c>
      <c r="N42" s="294">
        <v>0.19</v>
      </c>
      <c r="O42" s="294">
        <v>0.19</v>
      </c>
      <c r="P42" s="294">
        <v>0</v>
      </c>
      <c r="Q42" s="294">
        <v>0.19</v>
      </c>
      <c r="R42" s="294">
        <v>0.19</v>
      </c>
      <c r="S42" s="294">
        <v>0.19</v>
      </c>
    </row>
    <row r="43" spans="2:27" x14ac:dyDescent="0.25">
      <c r="F43" s="37" t="s">
        <v>355</v>
      </c>
      <c r="G43" s="80" t="s">
        <v>203</v>
      </c>
      <c r="H43" s="37"/>
      <c r="I43" s="37"/>
      <c r="J43" s="68"/>
      <c r="K43" s="294">
        <v>0.39</v>
      </c>
      <c r="L43" s="294">
        <v>0</v>
      </c>
      <c r="M43" s="294">
        <v>0</v>
      </c>
      <c r="N43" s="294">
        <v>0.33</v>
      </c>
      <c r="O43" s="294">
        <v>0.33</v>
      </c>
      <c r="P43" s="294">
        <v>0</v>
      </c>
      <c r="Q43" s="294">
        <v>0.33</v>
      </c>
      <c r="R43" s="294">
        <v>0.33</v>
      </c>
      <c r="S43" s="294">
        <v>0.33</v>
      </c>
    </row>
    <row r="45" spans="2:27" x14ac:dyDescent="0.25">
      <c r="B45" s="30" t="s">
        <v>280</v>
      </c>
      <c r="C45" s="30"/>
      <c r="D45" s="30"/>
      <c r="E45" s="30"/>
      <c r="F45" s="30"/>
      <c r="G45" s="30"/>
      <c r="H45" s="30"/>
      <c r="I45" s="30"/>
      <c r="J45" s="30"/>
      <c r="K45" s="30"/>
      <c r="L45" s="30"/>
      <c r="M45" s="30"/>
      <c r="N45" s="30"/>
      <c r="O45" s="30"/>
      <c r="P45" s="30"/>
      <c r="Q45" s="30"/>
      <c r="R45" s="30"/>
      <c r="S45" s="30"/>
      <c r="T45" s="30"/>
      <c r="U45" s="30"/>
      <c r="W45" s="30"/>
      <c r="X45" s="30"/>
      <c r="Y45" s="30"/>
      <c r="Z45" s="30"/>
      <c r="AA45" s="30"/>
    </row>
    <row r="47" spans="2:27" x14ac:dyDescent="0.25">
      <c r="E47" t="s">
        <v>281</v>
      </c>
      <c r="G47" s="6" t="s">
        <v>56</v>
      </c>
      <c r="H47" s="24">
        <f t="array" ref="H47">SUM(IF(ISERROR(H15:AA44), 1))</f>
        <v>0</v>
      </c>
    </row>
    <row r="49" spans="2:27" x14ac:dyDescent="0.25">
      <c r="E49" t="s">
        <v>356</v>
      </c>
      <c r="G49" s="6" t="s">
        <v>56</v>
      </c>
      <c r="H49" s="24">
        <f>IF(K19 = 1, 0, 1)</f>
        <v>0</v>
      </c>
    </row>
    <row r="51" spans="2:27" x14ac:dyDescent="0.25">
      <c r="E51" s="32" t="s">
        <v>357</v>
      </c>
    </row>
    <row r="52" spans="2:27" x14ac:dyDescent="0.25">
      <c r="E52" s="29" t="s">
        <v>358</v>
      </c>
    </row>
    <row r="53" spans="2:27" x14ac:dyDescent="0.25">
      <c r="F53" s="23" t="s">
        <v>359</v>
      </c>
      <c r="G53" s="73" t="s">
        <v>56</v>
      </c>
      <c r="H53" s="74">
        <f>SUM(K53:S53)</f>
        <v>0</v>
      </c>
      <c r="I53" s="23"/>
      <c r="J53" s="65"/>
      <c r="K53" s="74">
        <f>IF(ABS(SUM(K40:K42) - 1) &lt; 10^-check_decimals, 0, 1)</f>
        <v>0</v>
      </c>
      <c r="L53" s="65"/>
      <c r="M53" s="65"/>
      <c r="N53" s="74">
        <f>IF(ABS(SUM(N40:N42) - 1) &lt; 10^-check_decimals, 0, 1)</f>
        <v>0</v>
      </c>
      <c r="O53" s="74">
        <f>IF(ABS(SUM(O40:O42) - 1) &lt; 10^-check_decimals, 0, 1)</f>
        <v>0</v>
      </c>
      <c r="P53" s="65"/>
      <c r="Q53" s="74">
        <f>IF(ABS(SUM(Q40:Q42) - 1) &lt; 10^-check_decimals, 0, 1)</f>
        <v>0</v>
      </c>
      <c r="R53" s="74">
        <f>IF(ABS(SUM(R40:R42) - 1) &lt; 10^-check_decimals, 0, 1)</f>
        <v>0</v>
      </c>
      <c r="S53" s="74">
        <f>IF(ABS(SUM(S40:S42) - 1) &lt; 10^-check_decimals, 0, 1)</f>
        <v>0</v>
      </c>
    </row>
    <row r="54" spans="2:27" x14ac:dyDescent="0.25">
      <c r="F54" s="37" t="s">
        <v>228</v>
      </c>
      <c r="G54" s="50" t="s">
        <v>56</v>
      </c>
      <c r="H54" s="75">
        <f>SUM(K54:S54)</f>
        <v>0</v>
      </c>
      <c r="I54" s="37"/>
      <c r="J54" s="68"/>
      <c r="K54" s="68"/>
      <c r="L54" s="75">
        <f>IF(OR(ABS(SUM(L40:L42) - 1) &lt; 10^-check_decimals, ABS(SUM(L40:L42) - 0) &lt; 10^-check_decimals), 0, 1)</f>
        <v>0</v>
      </c>
      <c r="M54" s="75">
        <f>IF(OR(ABS(SUM(M40:M42) - 1) &lt; 10^-check_decimals, ABS(SUM(M40:M42) - 0) &lt; 10^-check_decimals), 0, 1)</f>
        <v>0</v>
      </c>
      <c r="N54" s="68"/>
      <c r="O54" s="68"/>
      <c r="P54" s="75">
        <f>IF(OR(ABS(SUM(P40:P42) - 1) &lt; 10^-check_decimals, ABS(SUM(P40:P42) - 0) &lt; 10^-check_decimals), 0, 1)</f>
        <v>0</v>
      </c>
      <c r="Q54" s="68"/>
      <c r="R54" s="68"/>
      <c r="S54" s="68"/>
    </row>
    <row r="56" spans="2:27" x14ac:dyDescent="0.25">
      <c r="E56" t="s">
        <v>289</v>
      </c>
      <c r="G56" s="6" t="s">
        <v>56</v>
      </c>
      <c r="H56" s="26">
        <f>SUM(H47:H54)</f>
        <v>0</v>
      </c>
    </row>
    <row r="58" spans="2:27" x14ac:dyDescent="0.25">
      <c r="B58" s="30" t="s">
        <v>107</v>
      </c>
      <c r="C58" s="30"/>
      <c r="D58" s="30"/>
      <c r="E58" s="30"/>
      <c r="F58" s="30"/>
      <c r="G58" s="30"/>
      <c r="H58" s="30"/>
      <c r="I58" s="30"/>
      <c r="J58" s="30"/>
      <c r="K58" s="30"/>
      <c r="L58" s="30"/>
      <c r="M58" s="30"/>
      <c r="N58" s="30"/>
      <c r="O58" s="30"/>
      <c r="P58" s="30"/>
      <c r="Q58" s="30"/>
      <c r="R58" s="30"/>
      <c r="S58" s="30"/>
      <c r="T58" s="30"/>
      <c r="U58" s="30"/>
      <c r="W58" s="30"/>
      <c r="X58" s="30"/>
      <c r="Y58" s="30"/>
      <c r="Z58" s="30"/>
      <c r="AA58" s="30"/>
    </row>
    <row r="61" spans="2:27" x14ac:dyDescent="0.25">
      <c r="K61" s="84"/>
      <c r="L61" s="84"/>
      <c r="M61" s="84"/>
      <c r="O61" s="84"/>
      <c r="P61" s="84"/>
      <c r="Q61" s="84"/>
      <c r="R61" s="84"/>
    </row>
    <row r="62" spans="2:27" x14ac:dyDescent="0.25">
      <c r="K62" s="84"/>
      <c r="L62" s="84"/>
      <c r="M62" s="84"/>
      <c r="O62" s="84"/>
      <c r="P62" s="84"/>
      <c r="Q62" s="84"/>
      <c r="R62" s="84"/>
    </row>
    <row r="63" spans="2:27" x14ac:dyDescent="0.25">
      <c r="K63" s="84"/>
      <c r="L63" s="84"/>
      <c r="M63" s="84"/>
      <c r="O63" s="84"/>
      <c r="P63" s="84"/>
      <c r="Q63" s="84"/>
      <c r="R63" s="84"/>
    </row>
    <row r="64" spans="2:27" x14ac:dyDescent="0.25">
      <c r="K64" s="84"/>
      <c r="L64" s="84"/>
      <c r="M64" s="84"/>
      <c r="O64" s="84"/>
      <c r="P64" s="84"/>
      <c r="Q64" s="84"/>
      <c r="R64" s="84"/>
    </row>
    <row r="65" spans="11:18" x14ac:dyDescent="0.25">
      <c r="K65" s="84"/>
      <c r="L65" s="84"/>
      <c r="M65" s="84"/>
      <c r="O65" s="84"/>
      <c r="P65" s="84"/>
      <c r="Q65" s="84"/>
      <c r="R65" s="84"/>
    </row>
    <row r="66" spans="11:18" x14ac:dyDescent="0.25">
      <c r="K66" s="84"/>
      <c r="L66" s="84"/>
      <c r="M66" s="84"/>
      <c r="O66" s="84"/>
      <c r="P66" s="84"/>
      <c r="Q66" s="84"/>
      <c r="R66" s="84"/>
    </row>
    <row r="67" spans="11:18" x14ac:dyDescent="0.25">
      <c r="K67" s="84"/>
      <c r="L67" s="84"/>
      <c r="M67" s="84"/>
      <c r="O67" s="84"/>
      <c r="P67" s="84"/>
      <c r="Q67" s="84"/>
      <c r="R67" s="84"/>
    </row>
    <row r="68" spans="11:18" x14ac:dyDescent="0.25">
      <c r="K68" s="84"/>
      <c r="L68" s="84"/>
      <c r="M68" s="84"/>
      <c r="O68" s="84"/>
      <c r="P68" s="84"/>
      <c r="Q68" s="84"/>
      <c r="R68" s="84"/>
    </row>
    <row r="69" spans="11:18" x14ac:dyDescent="0.25">
      <c r="K69" s="84"/>
      <c r="L69" s="84"/>
      <c r="M69" s="84"/>
      <c r="O69" s="84"/>
      <c r="P69" s="84"/>
      <c r="Q69" s="84"/>
      <c r="R69" s="84"/>
    </row>
  </sheetData>
  <sheetProtection sheet="1" objects="1" formatCells="0" formatColumns="0" formatRows="0" sort="0" autoFilter="0"/>
  <conditionalFormatting sqref="H53 K53 N53:O53">
    <cfRule type="cellIs" dxfId="66" priority="13" operator="greaterThan">
      <formula>0</formula>
    </cfRule>
  </conditionalFormatting>
  <conditionalFormatting sqref="H47">
    <cfRule type="cellIs" dxfId="65" priority="11" operator="greaterThan">
      <formula>0</formula>
    </cfRule>
  </conditionalFormatting>
  <conditionalFormatting sqref="Q53:S53">
    <cfRule type="cellIs" dxfId="64" priority="10" operator="greaterThan">
      <formula>0</formula>
    </cfRule>
  </conditionalFormatting>
  <conditionalFormatting sqref="H56">
    <cfRule type="cellIs" dxfId="63" priority="9" operator="greaterThan">
      <formula>0</formula>
    </cfRule>
  </conditionalFormatting>
  <conditionalFormatting sqref="H54">
    <cfRule type="cellIs" dxfId="62" priority="8" operator="greaterThan">
      <formula>0</formula>
    </cfRule>
  </conditionalFormatting>
  <conditionalFormatting sqref="P54">
    <cfRule type="cellIs" dxfId="61" priority="6" operator="greaterThan">
      <formula>0</formula>
    </cfRule>
  </conditionalFormatting>
  <conditionalFormatting sqref="M54">
    <cfRule type="cellIs" dxfId="60" priority="5" operator="greaterThan">
      <formula>0</formula>
    </cfRule>
  </conditionalFormatting>
  <conditionalFormatting sqref="L54">
    <cfRule type="cellIs" dxfId="59" priority="4" operator="greaterThan">
      <formula>0</formula>
    </cfRule>
  </conditionalFormatting>
  <conditionalFormatting sqref="H49">
    <cfRule type="cellIs" dxfId="58" priority="2" operator="greaterThan">
      <formula>0</formula>
    </cfRule>
  </conditionalFormatting>
  <conditionalFormatting sqref="A4:XFD4">
    <cfRule type="expression" dxfId="57" priority="1">
      <formula>LEFT($A$4,1) &lt;&gt; "0"</formula>
    </cfRule>
  </conditionalFormatting>
  <dataValidations count="8">
    <dataValidation type="decimal" operator="greaterThan" allowBlank="1" showInputMessage="1" showErrorMessage="1" sqref="K19">
      <formula1>0</formula1>
    </dataValidation>
    <dataValidation type="decimal" allowBlank="1" showInputMessage="1" showErrorMessage="1" errorTitle="Invalid diversity allowance" error="Invalid diversity allowance (negative number or unused cell)." sqref="I17:J17 J19 J15 P17 M15 R15:S15 O15 J21">
      <formula1>0</formula1>
      <formula2>4</formula2>
    </dataValidation>
    <dataValidation type="decimal" allowBlank="1" showInputMessage="1" showErrorMessage="1" sqref="L19:O19 Q19:S19">
      <formula1>0.001</formula1>
      <formula2>999999.999</formula2>
    </dataValidation>
    <dataValidation type="decimal" allowBlank="1" showInputMessage="1" showErrorMessage="1" errorTitle="Invalid customer contribution" error="Invalid customer contribution (negative number or unused cell)." sqref="L26:S29">
      <formula1>0</formula1>
      <formula2>1</formula2>
    </dataValidation>
    <dataValidation type="decimal" operator="greaterThanOrEqual" allowBlank="1" showInputMessage="1" showErrorMessage="1" sqref="L33:S33">
      <formula1>0</formula1>
    </dataValidation>
    <dataValidation type="decimal" allowBlank="1" showInputMessage="1" showErrorMessage="1" sqref="P19 P15 K43:S43">
      <formula1>0</formula1>
      <formula2>1</formula2>
    </dataValidation>
    <dataValidation type="decimal" allowBlank="1" showErrorMessage="1" prompt="Red, Amber and Green must sum to 100%." sqref="K40:S42">
      <formula1>0</formula1>
      <formula2>1</formula2>
    </dataValidation>
    <dataValidation type="decimal" operator="greaterThan" allowBlank="1" showInputMessage="1" showErrorMessage="1" errorTitle="Invalid diversity allowance" error="Invalid diversity allowance (negative number or unused cell)." sqref="N15 K15:L15 Q15">
      <formula1>0</formula1>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5" tint="0.59999389629810485"/>
    <pageSetUpPr fitToPage="1"/>
  </sheetPr>
  <dimension ref="A1:IV114"/>
  <sheetViews>
    <sheetView showGridLines="0" zoomScale="80" zoomScaleNormal="80" workbookViewId="0">
      <pane ySplit="5" topLeftCell="A6" activePane="bottomLeft" state="frozen"/>
      <selection activeCell="N50" sqref="N50"/>
      <selection pane="bottomLeft" activeCell="H9" sqref="H9"/>
    </sheetView>
  </sheetViews>
  <sheetFormatPr defaultColWidth="0" defaultRowHeight="15" x14ac:dyDescent="0.25"/>
  <cols>
    <col min="1" max="5" width="2.5703125" customWidth="1"/>
    <col min="6" max="6" width="59.5703125" customWidth="1"/>
    <col min="7" max="8" width="20.5703125" customWidth="1"/>
    <col min="9" max="9" width="2.42578125" customWidth="1"/>
    <col min="10" max="10" width="50.5703125" customWidth="1"/>
    <col min="11" max="11" width="2.42578125" customWidth="1"/>
    <col min="12" max="17" width="15.42578125" hidden="1" customWidth="1"/>
    <col min="18" max="27" width="20.5703125" hidden="1" customWidth="1"/>
    <col min="28" max="28" width="2.5703125" hidden="1" customWidth="1"/>
    <col min="29" max="256" width="20.5703125" hidden="1" customWidth="1"/>
    <col min="257" max="16384" width="9.140625" hidden="1"/>
  </cols>
  <sheetData>
    <row r="1" spans="1:27" s="1" customFormat="1" x14ac:dyDescent="0.25">
      <c r="A1" s="1" t="str">
        <f ca="1">MID(CELL("filename",A1),FIND("]",CELL("filename",A1))+1,255)</f>
        <v>General inputs</v>
      </c>
    </row>
    <row r="2" spans="1:27" s="1" customFormat="1" x14ac:dyDescent="0.25">
      <c r="A2" s="1" t="str">
        <f>Cover!D21&amp;" - "&amp;Cover!D23</f>
        <v>SHEPD  - Final</v>
      </c>
    </row>
    <row r="3" spans="1:27" s="5" customFormat="1" x14ac:dyDescent="0.25">
      <c r="A3" s="5" t="str">
        <f>Cover!D2&amp;" - "&amp;Cover!D8&amp;" v"&amp;Cover!D10&amp;" - "&amp;Cover!D19</f>
        <v>CDCM charging model - Release for charge setting v3 - 2020/21</v>
      </c>
    </row>
    <row r="4" spans="1:27" x14ac:dyDescent="0.25">
      <c r="A4" s="12" t="str">
        <f>H112 &amp; IF(H112 = 1, " issue", " issues") &amp;" identified in checks on this sheet"</f>
        <v>0 issues identified in checks on this sheet</v>
      </c>
      <c r="B4" s="13"/>
      <c r="C4" s="13"/>
      <c r="D4" s="13"/>
      <c r="E4" s="13"/>
      <c r="F4" s="13"/>
      <c r="G4" s="13"/>
      <c r="H4" s="14"/>
      <c r="I4" s="14"/>
      <c r="J4" s="13"/>
    </row>
    <row r="5" spans="1:27" x14ac:dyDescent="0.25">
      <c r="B5" s="59" t="s">
        <v>145</v>
      </c>
      <c r="C5" s="60"/>
      <c r="D5" s="60"/>
      <c r="E5" s="60"/>
      <c r="F5" s="60"/>
      <c r="G5" s="21" t="s">
        <v>146</v>
      </c>
      <c r="H5" s="96" t="s">
        <v>147</v>
      </c>
      <c r="J5" s="61" t="s">
        <v>181</v>
      </c>
    </row>
    <row r="6" spans="1:27" x14ac:dyDescent="0.25">
      <c r="G6" s="13"/>
    </row>
    <row r="7" spans="1:27" x14ac:dyDescent="0.25">
      <c r="B7" s="30" t="s">
        <v>11</v>
      </c>
      <c r="C7" s="30"/>
      <c r="D7" s="30"/>
      <c r="E7" s="30"/>
      <c r="F7" s="30"/>
      <c r="G7" s="95"/>
      <c r="H7" s="30"/>
      <c r="I7" s="30"/>
      <c r="J7" s="30"/>
      <c r="L7" s="30"/>
      <c r="M7" s="30"/>
      <c r="N7" s="30"/>
      <c r="O7" s="30"/>
      <c r="P7" s="30"/>
      <c r="Q7" s="30"/>
      <c r="R7" s="30"/>
      <c r="S7" s="30"/>
      <c r="T7" s="30"/>
      <c r="U7" s="30"/>
      <c r="V7" s="30"/>
      <c r="W7" s="30"/>
      <c r="X7" s="30"/>
      <c r="Y7" s="30"/>
      <c r="Z7" s="30"/>
      <c r="AA7" s="30"/>
    </row>
    <row r="8" spans="1:27" x14ac:dyDescent="0.25">
      <c r="G8" s="13"/>
    </row>
    <row r="9" spans="1:27" x14ac:dyDescent="0.25">
      <c r="C9" s="29" t="s">
        <v>360</v>
      </c>
      <c r="G9" s="13"/>
    </row>
    <row r="10" spans="1:27" x14ac:dyDescent="0.25">
      <c r="G10" s="13"/>
    </row>
    <row r="11" spans="1:27" x14ac:dyDescent="0.25">
      <c r="B11" s="30" t="s">
        <v>61</v>
      </c>
      <c r="C11" s="30"/>
      <c r="D11" s="30"/>
      <c r="E11" s="30"/>
      <c r="F11" s="30"/>
      <c r="G11" s="95"/>
      <c r="H11" s="30"/>
      <c r="I11" s="30"/>
      <c r="J11" s="30"/>
      <c r="L11" s="30"/>
      <c r="M11" s="30"/>
      <c r="N11" s="30"/>
      <c r="O11" s="30"/>
      <c r="P11" s="30"/>
      <c r="Q11" s="30"/>
      <c r="R11" s="30"/>
      <c r="S11" s="30"/>
      <c r="T11" s="30"/>
      <c r="U11" s="30"/>
      <c r="V11" s="30"/>
      <c r="W11" s="30"/>
      <c r="X11" s="30"/>
      <c r="Y11" s="30"/>
      <c r="Z11" s="30"/>
      <c r="AA11" s="30"/>
    </row>
    <row r="12" spans="1:27" x14ac:dyDescent="0.25">
      <c r="G12" s="13"/>
    </row>
    <row r="13" spans="1:27" x14ac:dyDescent="0.25">
      <c r="C13" s="31" t="str">
        <f ca="1">INDEX('Version control'!$H$34:$H$56,MATCH($A$1,'Version control'!$F$34:$F$56,0),1)&amp;"-A: Inputs by distribution timeband"</f>
        <v>Input 104-A: Inputs by distribution timeband</v>
      </c>
      <c r="D13" s="31"/>
      <c r="E13" s="31"/>
      <c r="F13" s="31"/>
      <c r="G13" s="99"/>
      <c r="H13" s="31"/>
      <c r="I13" s="31"/>
      <c r="J13" s="31"/>
      <c r="L13" s="30"/>
      <c r="M13" s="30"/>
      <c r="N13" s="30"/>
      <c r="O13" s="30"/>
      <c r="P13" s="30"/>
      <c r="Q13" s="30"/>
      <c r="R13" s="30"/>
      <c r="S13" s="30"/>
      <c r="T13" s="30"/>
      <c r="U13" s="30"/>
      <c r="V13" s="30"/>
      <c r="W13" s="30"/>
      <c r="X13" s="30"/>
      <c r="Y13" s="30"/>
      <c r="Z13" s="30"/>
      <c r="AA13" s="30"/>
    </row>
    <row r="14" spans="1:27" x14ac:dyDescent="0.25">
      <c r="G14" s="13"/>
    </row>
    <row r="15" spans="1:27" x14ac:dyDescent="0.25">
      <c r="D15" s="32" t="s">
        <v>361</v>
      </c>
      <c r="E15" s="32"/>
      <c r="G15" s="13"/>
      <c r="I15" t="s">
        <v>190</v>
      </c>
      <c r="J15" t="s">
        <v>362</v>
      </c>
    </row>
    <row r="16" spans="1:27" x14ac:dyDescent="0.25">
      <c r="E16" s="64" t="s">
        <v>355</v>
      </c>
      <c r="F16" s="64"/>
      <c r="G16" s="85" t="s">
        <v>363</v>
      </c>
      <c r="H16" s="288">
        <v>255</v>
      </c>
    </row>
    <row r="17" spans="3:27" x14ac:dyDescent="0.25">
      <c r="E17" s="28" t="s">
        <v>364</v>
      </c>
      <c r="F17" s="28"/>
      <c r="G17" s="13" t="s">
        <v>363</v>
      </c>
      <c r="H17" s="289">
        <v>4231</v>
      </c>
    </row>
    <row r="18" spans="3:27" x14ac:dyDescent="0.25">
      <c r="E18" s="67" t="s">
        <v>313</v>
      </c>
      <c r="F18" s="67"/>
      <c r="G18" s="87" t="s">
        <v>363</v>
      </c>
      <c r="H18" s="291">
        <v>4274</v>
      </c>
    </row>
    <row r="19" spans="3:27" x14ac:dyDescent="0.25">
      <c r="G19" s="13"/>
      <c r="H19" s="92"/>
    </row>
    <row r="20" spans="3:27" x14ac:dyDescent="0.25">
      <c r="D20" s="32" t="s">
        <v>365</v>
      </c>
      <c r="E20" s="32"/>
      <c r="G20" s="13"/>
      <c r="H20" s="92"/>
      <c r="I20" t="s">
        <v>190</v>
      </c>
      <c r="J20" t="s">
        <v>362</v>
      </c>
    </row>
    <row r="21" spans="3:27" x14ac:dyDescent="0.25">
      <c r="E21" s="23" t="s">
        <v>353</v>
      </c>
      <c r="F21" s="23"/>
      <c r="G21" s="85" t="s">
        <v>363</v>
      </c>
      <c r="H21" s="288">
        <v>783</v>
      </c>
    </row>
    <row r="22" spans="3:27" x14ac:dyDescent="0.25">
      <c r="E22" t="s">
        <v>354</v>
      </c>
      <c r="G22" s="13" t="s">
        <v>363</v>
      </c>
      <c r="H22" s="289">
        <v>3703</v>
      </c>
    </row>
    <row r="23" spans="3:27" x14ac:dyDescent="0.25">
      <c r="E23" s="37" t="s">
        <v>313</v>
      </c>
      <c r="F23" s="37"/>
      <c r="G23" s="87" t="s">
        <v>363</v>
      </c>
      <c r="H23" s="291">
        <v>4274</v>
      </c>
    </row>
    <row r="24" spans="3:27" x14ac:dyDescent="0.25">
      <c r="G24" s="13"/>
    </row>
    <row r="25" spans="3:27" x14ac:dyDescent="0.25">
      <c r="C25" s="31" t="str">
        <f ca="1">INDEX('Version control'!$H$34:$H$56,MATCH($A$1,'Version control'!$F$34:$F$56,0),1)&amp;"-B: LDNO discount inputs"</f>
        <v>Input 104-B: LDNO discount inputs</v>
      </c>
      <c r="D25" s="31"/>
      <c r="E25" s="31"/>
      <c r="F25" s="31"/>
      <c r="G25" s="99"/>
      <c r="H25" s="31"/>
      <c r="I25" s="31"/>
      <c r="J25" s="31"/>
      <c r="L25" s="30"/>
      <c r="M25" s="30"/>
      <c r="N25" s="30"/>
      <c r="O25" s="30"/>
      <c r="P25" s="30"/>
      <c r="Q25" s="30"/>
      <c r="R25" s="30"/>
      <c r="S25" s="30"/>
      <c r="T25" s="30"/>
      <c r="U25" s="30"/>
      <c r="V25" s="30"/>
      <c r="W25" s="30"/>
      <c r="X25" s="30"/>
      <c r="Y25" s="30"/>
      <c r="Z25" s="30"/>
      <c r="AA25" s="30"/>
    </row>
    <row r="26" spans="3:27" x14ac:dyDescent="0.25">
      <c r="G26" s="13"/>
    </row>
    <row r="27" spans="3:27" x14ac:dyDescent="0.25">
      <c r="D27" s="29" t="s">
        <v>366</v>
      </c>
      <c r="E27" s="29"/>
      <c r="G27" s="13"/>
    </row>
    <row r="28" spans="3:27" x14ac:dyDescent="0.25">
      <c r="D28" s="29"/>
      <c r="E28" s="29"/>
      <c r="G28" s="13"/>
    </row>
    <row r="29" spans="3:27" x14ac:dyDescent="0.25">
      <c r="D29" s="32" t="s">
        <v>367</v>
      </c>
      <c r="E29" s="32"/>
      <c r="G29" s="13"/>
      <c r="I29" t="s">
        <v>190</v>
      </c>
      <c r="J29" t="s">
        <v>368</v>
      </c>
    </row>
    <row r="30" spans="3:27" x14ac:dyDescent="0.25">
      <c r="E30" s="64" t="s">
        <v>211</v>
      </c>
      <c r="F30" s="23"/>
      <c r="G30" s="78" t="s">
        <v>203</v>
      </c>
      <c r="H30" s="292">
        <v>0.29399702125357685</v>
      </c>
    </row>
    <row r="31" spans="3:27" x14ac:dyDescent="0.25">
      <c r="E31" s="28" t="s">
        <v>213</v>
      </c>
      <c r="G31" s="72" t="s">
        <v>203</v>
      </c>
      <c r="H31" s="287">
        <v>0.58159328142725919</v>
      </c>
    </row>
    <row r="32" spans="3:27" x14ac:dyDescent="0.25">
      <c r="E32" s="28" t="s">
        <v>214</v>
      </c>
      <c r="G32" s="72" t="s">
        <v>203</v>
      </c>
      <c r="H32" s="287">
        <v>0.39416189548233249</v>
      </c>
    </row>
    <row r="33" spans="3:27" x14ac:dyDescent="0.25">
      <c r="E33" s="67" t="s">
        <v>215</v>
      </c>
      <c r="F33" s="37"/>
      <c r="G33" s="80" t="s">
        <v>203</v>
      </c>
      <c r="H33" s="294">
        <v>0.33724217358094977</v>
      </c>
    </row>
    <row r="34" spans="3:27" x14ac:dyDescent="0.25">
      <c r="G34" s="13"/>
    </row>
    <row r="35" spans="3:27" x14ac:dyDescent="0.25">
      <c r="C35" s="31" t="str">
        <f ca="1">INDEX('Version control'!$H$34:$H$56,MATCH($A$1,'Version control'!$F$34:$F$56,0),1)&amp;"-C: CDCM target revenue"</f>
        <v>Input 104-C: CDCM target revenue</v>
      </c>
      <c r="D35" s="31"/>
      <c r="E35" s="31"/>
      <c r="F35" s="31"/>
      <c r="G35" s="99"/>
      <c r="H35" s="31"/>
      <c r="I35" s="31"/>
      <c r="J35" s="31"/>
      <c r="L35" s="30"/>
      <c r="M35" s="30"/>
      <c r="N35" s="30"/>
      <c r="O35" s="30"/>
      <c r="P35" s="30"/>
      <c r="Q35" s="30"/>
      <c r="R35" s="30"/>
      <c r="S35" s="30"/>
      <c r="T35" s="30"/>
      <c r="U35" s="30"/>
      <c r="V35" s="30"/>
      <c r="W35" s="30"/>
      <c r="X35" s="30"/>
      <c r="Y35" s="30"/>
      <c r="Z35" s="30"/>
      <c r="AA35" s="30"/>
    </row>
    <row r="37" spans="3:27" x14ac:dyDescent="0.25">
      <c r="D37" s="29" t="s">
        <v>369</v>
      </c>
      <c r="E37" s="29"/>
      <c r="G37" s="13"/>
      <c r="H37" s="13"/>
      <c r="I37" t="s">
        <v>190</v>
      </c>
      <c r="J37" t="s">
        <v>370</v>
      </c>
      <c r="K37" s="13"/>
      <c r="L37" s="13"/>
      <c r="M37" s="13"/>
      <c r="N37" s="13"/>
      <c r="O37" s="13"/>
      <c r="P37" s="13"/>
      <c r="Q37" s="13"/>
      <c r="R37" s="13"/>
      <c r="S37" s="13"/>
    </row>
    <row r="38" spans="3:27" x14ac:dyDescent="0.25">
      <c r="D38" s="29" t="s">
        <v>371</v>
      </c>
      <c r="E38" s="29"/>
      <c r="G38" s="13"/>
      <c r="H38" s="13"/>
      <c r="I38" s="13"/>
      <c r="J38" s="100"/>
      <c r="K38" s="13"/>
      <c r="L38" s="13"/>
      <c r="M38" s="13"/>
      <c r="N38" s="13"/>
      <c r="O38" s="13"/>
      <c r="P38" s="13"/>
      <c r="Q38" s="13"/>
      <c r="R38" s="13"/>
      <c r="S38" s="13"/>
    </row>
    <row r="39" spans="3:27" x14ac:dyDescent="0.25">
      <c r="E39" s="32"/>
    </row>
    <row r="40" spans="3:27" x14ac:dyDescent="0.25">
      <c r="E40" t="s">
        <v>372</v>
      </c>
      <c r="G40" t="s">
        <v>335</v>
      </c>
      <c r="H40" s="289">
        <v>257100000.00000003</v>
      </c>
    </row>
    <row r="41" spans="3:27" x14ac:dyDescent="0.25">
      <c r="E41" t="s">
        <v>373</v>
      </c>
      <c r="G41" t="s">
        <v>335</v>
      </c>
      <c r="H41" s="289">
        <v>27674649.865609299</v>
      </c>
    </row>
    <row r="42" spans="3:27" x14ac:dyDescent="0.25">
      <c r="E42" t="s">
        <v>374</v>
      </c>
      <c r="G42" t="s">
        <v>335</v>
      </c>
      <c r="H42" s="289">
        <v>515759.24518928194</v>
      </c>
    </row>
    <row r="43" spans="3:27" x14ac:dyDescent="0.25">
      <c r="E43" s="37" t="s">
        <v>375</v>
      </c>
      <c r="F43" s="37"/>
      <c r="G43" s="37" t="s">
        <v>342</v>
      </c>
      <c r="H43" s="291">
        <v>1.236</v>
      </c>
    </row>
    <row r="44" spans="3:27" x14ac:dyDescent="0.25">
      <c r="E44" t="s">
        <v>376</v>
      </c>
      <c r="G44" t="s">
        <v>335</v>
      </c>
      <c r="H44" s="101">
        <f>SUM(H40:H42)</f>
        <v>285290409.11079866</v>
      </c>
    </row>
    <row r="45" spans="3:27" x14ac:dyDescent="0.25">
      <c r="E45" t="s">
        <v>377</v>
      </c>
      <c r="G45" t="s">
        <v>335</v>
      </c>
      <c r="H45" s="101">
        <f>H44 * (H43 - 1)</f>
        <v>67328536.550148472</v>
      </c>
    </row>
    <row r="46" spans="3:27" x14ac:dyDescent="0.25">
      <c r="H46" s="92"/>
    </row>
    <row r="47" spans="3:27" x14ac:dyDescent="0.25">
      <c r="E47" t="s">
        <v>378</v>
      </c>
      <c r="G47" t="s">
        <v>335</v>
      </c>
      <c r="H47" s="289">
        <v>43844.2673503884</v>
      </c>
    </row>
    <row r="48" spans="3:27" x14ac:dyDescent="0.25">
      <c r="E48" t="s">
        <v>379</v>
      </c>
      <c r="G48" t="s">
        <v>335</v>
      </c>
      <c r="H48" s="289">
        <v>-6861080.7014119802</v>
      </c>
    </row>
    <row r="49" spans="5:8" x14ac:dyDescent="0.25">
      <c r="E49" t="s">
        <v>380</v>
      </c>
      <c r="G49" t="s">
        <v>335</v>
      </c>
      <c r="H49" s="289">
        <v>-1971077.9725691699</v>
      </c>
    </row>
    <row r="50" spans="5:8" x14ac:dyDescent="0.25">
      <c r="E50" t="s">
        <v>381</v>
      </c>
      <c r="G50" t="s">
        <v>335</v>
      </c>
      <c r="H50" s="289">
        <v>621211.43430870492</v>
      </c>
    </row>
    <row r="51" spans="5:8" x14ac:dyDescent="0.25">
      <c r="E51" t="s">
        <v>382</v>
      </c>
      <c r="G51" t="s">
        <v>335</v>
      </c>
      <c r="H51" s="289">
        <v>156479.502135727</v>
      </c>
    </row>
    <row r="52" spans="5:8" x14ac:dyDescent="0.25">
      <c r="E52" t="s">
        <v>383</v>
      </c>
      <c r="G52" t="s">
        <v>335</v>
      </c>
      <c r="H52" s="289">
        <v>-132172.57486865998</v>
      </c>
    </row>
    <row r="53" spans="5:8" x14ac:dyDescent="0.25">
      <c r="E53" s="37" t="s">
        <v>384</v>
      </c>
      <c r="F53" s="37"/>
      <c r="G53" s="37" t="s">
        <v>335</v>
      </c>
      <c r="H53" s="291">
        <v>-71947582.101246893</v>
      </c>
    </row>
    <row r="54" spans="5:8" x14ac:dyDescent="0.25">
      <c r="E54" t="s">
        <v>385</v>
      </c>
      <c r="G54" t="s">
        <v>335</v>
      </c>
      <c r="H54" s="102">
        <f>SUM(H47:H53)</f>
        <v>-80090378.14630188</v>
      </c>
    </row>
    <row r="55" spans="5:8" x14ac:dyDescent="0.25">
      <c r="H55" s="92"/>
    </row>
    <row r="56" spans="5:8" x14ac:dyDescent="0.25">
      <c r="E56" t="s">
        <v>386</v>
      </c>
      <c r="G56" t="s">
        <v>335</v>
      </c>
      <c r="H56" s="289">
        <v>2686665.5113926702</v>
      </c>
    </row>
    <row r="57" spans="5:8" x14ac:dyDescent="0.25">
      <c r="E57" t="s">
        <v>387</v>
      </c>
      <c r="G57" t="s">
        <v>335</v>
      </c>
      <c r="H57" s="289">
        <v>-557646.475760962</v>
      </c>
    </row>
    <row r="58" spans="5:8" x14ac:dyDescent="0.25">
      <c r="E58" t="s">
        <v>388</v>
      </c>
      <c r="G58" t="s">
        <v>335</v>
      </c>
      <c r="H58" s="289">
        <v>0</v>
      </c>
    </row>
    <row r="59" spans="5:8" x14ac:dyDescent="0.25">
      <c r="E59" t="s">
        <v>389</v>
      </c>
      <c r="G59" t="s">
        <v>335</v>
      </c>
      <c r="H59" s="289">
        <v>928961.27516092802</v>
      </c>
    </row>
    <row r="60" spans="5:8" x14ac:dyDescent="0.25">
      <c r="E60" t="s">
        <v>390</v>
      </c>
      <c r="G60" t="s">
        <v>335</v>
      </c>
      <c r="H60" s="289">
        <v>0</v>
      </c>
    </row>
    <row r="61" spans="5:8" x14ac:dyDescent="0.25">
      <c r="E61" t="s">
        <v>391</v>
      </c>
      <c r="G61" t="s">
        <v>335</v>
      </c>
      <c r="H61" s="289">
        <v>984600</v>
      </c>
    </row>
    <row r="62" spans="5:8" x14ac:dyDescent="0.25">
      <c r="E62" t="s">
        <v>392</v>
      </c>
      <c r="G62" t="s">
        <v>335</v>
      </c>
      <c r="H62" s="289">
        <v>0</v>
      </c>
    </row>
    <row r="63" spans="5:8" x14ac:dyDescent="0.25">
      <c r="E63" t="s">
        <v>393</v>
      </c>
      <c r="G63" t="s">
        <v>335</v>
      </c>
      <c r="H63" s="289">
        <v>43538.07</v>
      </c>
    </row>
    <row r="64" spans="5:8" x14ac:dyDescent="0.25">
      <c r="E64" t="s">
        <v>394</v>
      </c>
      <c r="G64" t="s">
        <v>335</v>
      </c>
      <c r="H64" s="289">
        <v>0</v>
      </c>
    </row>
    <row r="65" spans="5:8" x14ac:dyDescent="0.25">
      <c r="E65" t="s">
        <v>395</v>
      </c>
      <c r="G65" t="s">
        <v>335</v>
      </c>
      <c r="H65" s="289">
        <v>0</v>
      </c>
    </row>
    <row r="66" spans="5:8" x14ac:dyDescent="0.25">
      <c r="E66" s="37" t="s">
        <v>396</v>
      </c>
      <c r="F66" s="37"/>
      <c r="G66" s="37" t="s">
        <v>335</v>
      </c>
      <c r="H66" s="291">
        <v>0</v>
      </c>
    </row>
    <row r="67" spans="5:8" x14ac:dyDescent="0.25">
      <c r="E67" t="s">
        <v>397</v>
      </c>
      <c r="G67" t="s">
        <v>335</v>
      </c>
      <c r="H67" s="101">
        <f>SUM(H56:H66)</f>
        <v>4086118.380792636</v>
      </c>
    </row>
    <row r="68" spans="5:8" x14ac:dyDescent="0.25">
      <c r="H68" s="92"/>
    </row>
    <row r="69" spans="5:8" x14ac:dyDescent="0.25">
      <c r="E69" s="37" t="s">
        <v>398</v>
      </c>
      <c r="F69" s="37"/>
      <c r="G69" s="37" t="s">
        <v>335</v>
      </c>
      <c r="H69" s="291">
        <v>-1641138.0772502199</v>
      </c>
    </row>
    <row r="70" spans="5:8" x14ac:dyDescent="0.25">
      <c r="E70" t="s">
        <v>399</v>
      </c>
      <c r="G70" t="s">
        <v>335</v>
      </c>
      <c r="H70" s="101">
        <f>H69 + H67 + H54 + H45 + H44</f>
        <v>274973547.81818765</v>
      </c>
    </row>
    <row r="71" spans="5:8" x14ac:dyDescent="0.25">
      <c r="H71" s="92"/>
    </row>
    <row r="72" spans="5:8" x14ac:dyDescent="0.25">
      <c r="E72" t="s">
        <v>400</v>
      </c>
      <c r="G72" t="s">
        <v>335</v>
      </c>
      <c r="H72" s="289">
        <v>0</v>
      </c>
    </row>
    <row r="73" spans="5:8" x14ac:dyDescent="0.25">
      <c r="E73" t="s">
        <v>401</v>
      </c>
      <c r="G73" t="s">
        <v>335</v>
      </c>
      <c r="H73" s="289">
        <v>0</v>
      </c>
    </row>
    <row r="74" spans="5:8" x14ac:dyDescent="0.25">
      <c r="E74" t="s">
        <v>402</v>
      </c>
      <c r="G74" t="s">
        <v>335</v>
      </c>
      <c r="H74" s="289">
        <v>0</v>
      </c>
    </row>
    <row r="75" spans="5:8" x14ac:dyDescent="0.25">
      <c r="E75" t="s">
        <v>403</v>
      </c>
      <c r="G75" t="s">
        <v>335</v>
      </c>
      <c r="H75" s="289">
        <v>0</v>
      </c>
    </row>
    <row r="76" spans="5:8" x14ac:dyDescent="0.25">
      <c r="E76" s="37" t="s">
        <v>404</v>
      </c>
      <c r="F76" s="37"/>
      <c r="G76" s="37" t="s">
        <v>335</v>
      </c>
      <c r="H76" s="291">
        <v>0</v>
      </c>
    </row>
    <row r="77" spans="5:8" x14ac:dyDescent="0.25">
      <c r="E77" s="37" t="s">
        <v>405</v>
      </c>
      <c r="F77" s="37"/>
      <c r="G77" s="37" t="s">
        <v>335</v>
      </c>
      <c r="H77" s="103">
        <f>SUM(H72:H76)</f>
        <v>0</v>
      </c>
    </row>
    <row r="78" spans="5:8" x14ac:dyDescent="0.25">
      <c r="E78" t="s">
        <v>406</v>
      </c>
      <c r="G78" t="s">
        <v>335</v>
      </c>
      <c r="H78" s="102">
        <f>H70+H77</f>
        <v>274973547.81818765</v>
      </c>
    </row>
    <row r="79" spans="5:8" x14ac:dyDescent="0.25">
      <c r="H79" s="92"/>
    </row>
    <row r="80" spans="5:8" x14ac:dyDescent="0.25">
      <c r="E80" t="s">
        <v>407</v>
      </c>
      <c r="G80" t="s">
        <v>335</v>
      </c>
      <c r="H80" s="289">
        <v>6552422.8393999971</v>
      </c>
    </row>
    <row r="81" spans="3:27" x14ac:dyDescent="0.25">
      <c r="E81" t="s">
        <v>408</v>
      </c>
      <c r="G81" t="s">
        <v>335</v>
      </c>
      <c r="H81" s="289">
        <v>0</v>
      </c>
    </row>
    <row r="82" spans="3:27" x14ac:dyDescent="0.25">
      <c r="E82" t="s">
        <v>409</v>
      </c>
      <c r="G82" t="s">
        <v>335</v>
      </c>
      <c r="H82" s="289">
        <v>0</v>
      </c>
    </row>
    <row r="83" spans="3:27" x14ac:dyDescent="0.25">
      <c r="E83" s="37" t="s">
        <v>410</v>
      </c>
      <c r="F83" s="37"/>
      <c r="G83" s="37" t="s">
        <v>335</v>
      </c>
      <c r="H83" s="291">
        <v>0</v>
      </c>
    </row>
    <row r="84" spans="3:27" x14ac:dyDescent="0.25">
      <c r="E84" t="s">
        <v>411</v>
      </c>
      <c r="G84" t="s">
        <v>335</v>
      </c>
      <c r="H84" s="101">
        <f>SUM(H80:H83)</f>
        <v>6552422.8393999971</v>
      </c>
    </row>
    <row r="85" spans="3:27" x14ac:dyDescent="0.25">
      <c r="E85" s="23" t="s">
        <v>412</v>
      </c>
      <c r="F85" s="23"/>
      <c r="G85" s="23" t="s">
        <v>335</v>
      </c>
      <c r="H85" s="104">
        <f>H78-H84</f>
        <v>268421124.97878766</v>
      </c>
    </row>
    <row r="86" spans="3:27" x14ac:dyDescent="0.25">
      <c r="H86" s="105"/>
    </row>
    <row r="87" spans="3:27" x14ac:dyDescent="0.25">
      <c r="C87" s="31" t="str">
        <f ca="1">INDEX('Version control'!$H$34:$H$56,MATCH($A$1,'Version control'!$F$34:$F$56,0),1)&amp;"-D: Financial and general assumptions"</f>
        <v>Input 104-D: Financial and general assumptions</v>
      </c>
      <c r="D87" s="31"/>
      <c r="E87" s="31"/>
      <c r="F87" s="31"/>
      <c r="G87" s="99"/>
      <c r="H87" s="31"/>
      <c r="I87" s="31"/>
      <c r="J87" s="31"/>
      <c r="L87" s="30"/>
      <c r="M87" s="30"/>
      <c r="N87" s="30"/>
      <c r="O87" s="30"/>
      <c r="P87" s="30"/>
      <c r="Q87" s="30"/>
      <c r="R87" s="30"/>
      <c r="S87" s="30"/>
      <c r="T87" s="30"/>
      <c r="U87" s="30"/>
      <c r="V87" s="30"/>
      <c r="W87" s="30"/>
      <c r="X87" s="30"/>
      <c r="Y87" s="30"/>
      <c r="Z87" s="30"/>
      <c r="AA87" s="30"/>
    </row>
    <row r="89" spans="3:27" x14ac:dyDescent="0.25">
      <c r="E89" s="28" t="s">
        <v>413</v>
      </c>
      <c r="G89" t="s">
        <v>203</v>
      </c>
      <c r="H89" s="295">
        <v>3.7900000000000003E-2</v>
      </c>
      <c r="I89" t="s">
        <v>190</v>
      </c>
      <c r="J89" s="3" t="s">
        <v>201</v>
      </c>
    </row>
    <row r="90" spans="3:27" x14ac:dyDescent="0.25">
      <c r="E90" s="28" t="s">
        <v>128</v>
      </c>
      <c r="G90" s="28" t="s">
        <v>414</v>
      </c>
      <c r="H90" s="278">
        <v>365</v>
      </c>
    </row>
    <row r="91" spans="3:27" x14ac:dyDescent="0.25">
      <c r="E91" t="s">
        <v>415</v>
      </c>
      <c r="G91" t="s">
        <v>183</v>
      </c>
      <c r="H91" s="106">
        <f>days_in_year * hours_in_day</f>
        <v>8760</v>
      </c>
    </row>
    <row r="93" spans="3:27" x14ac:dyDescent="0.25">
      <c r="C93" s="31" t="str">
        <f ca="1">INDEX('Version control'!$H$34:$H$56,MATCH($A$1,'Version control'!$F$34:$F$56,0),1)&amp;"-E: Transmission exit charges"</f>
        <v>Input 104-E: Transmission exit charges</v>
      </c>
      <c r="D93" s="31"/>
      <c r="E93" s="31"/>
      <c r="F93" s="31"/>
      <c r="G93" s="99"/>
      <c r="H93" s="31"/>
      <c r="I93" s="31"/>
      <c r="J93" s="31"/>
      <c r="L93" s="30"/>
      <c r="M93" s="30"/>
      <c r="N93" s="30"/>
      <c r="O93" s="30"/>
      <c r="P93" s="30"/>
      <c r="Q93" s="30"/>
      <c r="R93" s="30"/>
      <c r="S93" s="30"/>
      <c r="T93" s="30"/>
      <c r="U93" s="30"/>
      <c r="V93" s="30"/>
      <c r="W93" s="30"/>
      <c r="X93" s="30"/>
      <c r="Y93" s="30"/>
      <c r="Z93" s="30"/>
      <c r="AA93" s="30"/>
    </row>
    <row r="95" spans="3:27" x14ac:dyDescent="0.25">
      <c r="E95" s="28" t="s">
        <v>416</v>
      </c>
      <c r="G95" t="s">
        <v>417</v>
      </c>
      <c r="H95" s="289">
        <v>24551211.28944638</v>
      </c>
      <c r="I95" t="s">
        <v>190</v>
      </c>
      <c r="J95" t="s">
        <v>418</v>
      </c>
    </row>
    <row r="96" spans="3:27" x14ac:dyDescent="0.25">
      <c r="H96" s="92"/>
    </row>
    <row r="97" spans="2:27" x14ac:dyDescent="0.25">
      <c r="C97" s="31" t="str">
        <f ca="1">INDEX('Version control'!$H$34:$H$56,MATCH($A$1,'Version control'!$F$34:$F$56,0),1)&amp;"-F: Other expenditure"</f>
        <v>Input 104-F: Other expenditure</v>
      </c>
      <c r="D97" s="31"/>
      <c r="E97" s="31"/>
      <c r="F97" s="31"/>
      <c r="G97" s="99"/>
      <c r="H97" s="93"/>
      <c r="I97" s="31"/>
      <c r="J97" s="31"/>
      <c r="L97" s="30"/>
      <c r="M97" s="30"/>
      <c r="N97" s="30"/>
      <c r="O97" s="30"/>
      <c r="P97" s="30"/>
      <c r="Q97" s="30"/>
      <c r="R97" s="30"/>
      <c r="S97" s="30"/>
      <c r="T97" s="30"/>
      <c r="U97" s="30"/>
      <c r="V97" s="30"/>
      <c r="W97" s="30"/>
      <c r="X97" s="30"/>
      <c r="Y97" s="30"/>
      <c r="Z97" s="30"/>
      <c r="AA97" s="30"/>
    </row>
    <row r="98" spans="2:27" x14ac:dyDescent="0.25">
      <c r="H98" s="92"/>
    </row>
    <row r="99" spans="2:27" x14ac:dyDescent="0.25">
      <c r="E99" s="32" t="s">
        <v>419</v>
      </c>
      <c r="F99" s="32"/>
      <c r="H99" s="92"/>
      <c r="I99" t="s">
        <v>190</v>
      </c>
      <c r="J99" t="s">
        <v>206</v>
      </c>
    </row>
    <row r="100" spans="2:27" x14ac:dyDescent="0.25">
      <c r="F100" s="64" t="s">
        <v>420</v>
      </c>
      <c r="G100" s="23" t="s">
        <v>417</v>
      </c>
      <c r="H100" s="288">
        <v>23606763.950936902</v>
      </c>
    </row>
    <row r="101" spans="2:27" x14ac:dyDescent="0.25">
      <c r="F101" s="28" t="s">
        <v>421</v>
      </c>
      <c r="G101" t="s">
        <v>417</v>
      </c>
      <c r="H101" s="289">
        <v>67635782.855627373</v>
      </c>
      <c r="R101" s="91"/>
      <c r="S101" s="91"/>
    </row>
    <row r="102" spans="2:27" x14ac:dyDescent="0.25">
      <c r="F102" s="67" t="s">
        <v>422</v>
      </c>
      <c r="G102" s="37" t="s">
        <v>417</v>
      </c>
      <c r="H102" s="291">
        <v>24192975.780000001</v>
      </c>
      <c r="R102" s="91"/>
      <c r="S102" s="91"/>
    </row>
    <row r="104" spans="2:27" x14ac:dyDescent="0.25">
      <c r="B104" s="30" t="s">
        <v>280</v>
      </c>
      <c r="C104" s="30"/>
      <c r="D104" s="30"/>
      <c r="E104" s="30"/>
      <c r="F104" s="30"/>
      <c r="G104" s="30"/>
      <c r="H104" s="30"/>
      <c r="I104" s="30"/>
      <c r="J104" s="30"/>
      <c r="L104" s="30"/>
      <c r="M104" s="30"/>
      <c r="N104" s="30"/>
      <c r="O104" s="30"/>
      <c r="P104" s="30"/>
      <c r="Q104" s="30"/>
      <c r="R104" s="30"/>
      <c r="S104" s="30"/>
      <c r="T104" s="30"/>
      <c r="U104" s="30"/>
      <c r="V104" s="30"/>
      <c r="W104" s="30"/>
      <c r="X104" s="30"/>
      <c r="Y104" s="30"/>
      <c r="Z104" s="30"/>
      <c r="AA104" s="30"/>
    </row>
    <row r="106" spans="2:27" x14ac:dyDescent="0.25">
      <c r="E106" t="s">
        <v>281</v>
      </c>
      <c r="G106" s="6" t="s">
        <v>56</v>
      </c>
      <c r="H106" s="24">
        <f t="array" ref="H106">SUM(IF(ISERROR(H6:H103), 1))</f>
        <v>0</v>
      </c>
    </row>
    <row r="108" spans="2:27" x14ac:dyDescent="0.25">
      <c r="E108" s="32" t="s">
        <v>423</v>
      </c>
    </row>
    <row r="109" spans="2:27" x14ac:dyDescent="0.25">
      <c r="F109" s="23" t="s">
        <v>424</v>
      </c>
      <c r="G109" s="73" t="s">
        <v>56</v>
      </c>
      <c r="H109" s="74">
        <f>IF(SUM(H16:H18) = hours_in_year, 0, 1)</f>
        <v>0</v>
      </c>
    </row>
    <row r="110" spans="2:27" x14ac:dyDescent="0.25">
      <c r="F110" s="37" t="s">
        <v>425</v>
      </c>
      <c r="G110" s="50" t="s">
        <v>56</v>
      </c>
      <c r="H110" s="75">
        <f>IF(SUM(H21:H23) = hours_in_year, 0, 1)</f>
        <v>0</v>
      </c>
    </row>
    <row r="112" spans="2:27" x14ac:dyDescent="0.25">
      <c r="E112" t="s">
        <v>289</v>
      </c>
      <c r="G112" s="6" t="s">
        <v>56</v>
      </c>
      <c r="H112" s="26">
        <f>SUM(H106,H109:H110)</f>
        <v>0</v>
      </c>
    </row>
    <row r="114" spans="2:27" x14ac:dyDescent="0.25">
      <c r="B114" s="30" t="s">
        <v>107</v>
      </c>
      <c r="C114" s="30"/>
      <c r="D114" s="30"/>
      <c r="E114" s="30"/>
      <c r="F114" s="30"/>
      <c r="G114" s="30"/>
      <c r="H114" s="30"/>
      <c r="I114" s="30"/>
      <c r="J114" s="30"/>
      <c r="L114" s="30"/>
      <c r="M114" s="30"/>
      <c r="N114" s="30"/>
      <c r="O114" s="30"/>
      <c r="P114" s="30"/>
      <c r="Q114" s="30"/>
      <c r="R114" s="30"/>
      <c r="S114" s="30"/>
      <c r="T114" s="30"/>
      <c r="U114" s="30"/>
      <c r="V114" s="30"/>
      <c r="W114" s="30"/>
      <c r="X114" s="30"/>
      <c r="Y114" s="30"/>
      <c r="Z114" s="30"/>
      <c r="AA114" s="30"/>
    </row>
  </sheetData>
  <sheetProtection sheet="1" objects="1" formatCells="0" formatColumns="0" formatRows="0" sort="0" autoFilter="0"/>
  <conditionalFormatting sqref="H106">
    <cfRule type="cellIs" dxfId="56" priority="4" operator="greaterThan">
      <formula>0</formula>
    </cfRule>
  </conditionalFormatting>
  <conditionalFormatting sqref="H109:H112">
    <cfRule type="cellIs" dxfId="55" priority="3" operator="greaterThan">
      <formula>0</formula>
    </cfRule>
  </conditionalFormatting>
  <conditionalFormatting sqref="H112">
    <cfRule type="cellIs" dxfId="54" priority="2" operator="greaterThan">
      <formula>0</formula>
    </cfRule>
  </conditionalFormatting>
  <conditionalFormatting sqref="A4:XFD4">
    <cfRule type="expression" dxfId="53" priority="1">
      <formula>LEFT($A$4,1) &lt;&gt; "0"</formula>
    </cfRule>
  </conditionalFormatting>
  <dataValidations count="5">
    <dataValidation type="decimal" allowBlank="1" showInputMessage="1" showErrorMessage="1" errorTitle="Invalid LDNO discount" error="Invalid LDNO discount (negative number or unused cell)." sqref="H30:H33">
      <formula1>0</formula1>
      <formula2>1</formula2>
    </dataValidation>
    <dataValidation type="decimal" allowBlank="1" showInputMessage="1" showErrorMessage="1" sqref="H90">
      <formula1>365</formula1>
      <formula2>366</formula2>
    </dataValidation>
    <dataValidation type="decimal" operator="greaterThanOrEqual" allowBlank="1" showInputMessage="1" showErrorMessage="1" sqref="H100:H102 H16:H18 H95 H21:H23">
      <formula1>0</formula1>
    </dataValidation>
    <dataValidation type="decimal" operator="greaterThanOrEqual" allowBlank="1" showInputMessage="1" showErrorMessage="1" error="The rate of return must be a non-negative percentage value." sqref="H89">
      <formula1>0</formula1>
    </dataValidation>
    <dataValidation type="whole" allowBlank="1" showInputMessage="1" showErrorMessage="1" sqref="H91">
      <formula1>0</formula1>
      <formula2>9999</formula2>
    </dataValidation>
  </dataValidations>
  <hyperlinks>
    <hyperlink ref="B5:F5" location="'Model map'!A1" display="Click here to return to model map"/>
  </hyperlinks>
  <pageMargins left="0.7" right="0.7" top="0.75" bottom="0.75" header="0.3" footer="0.3"/>
  <pageSetup paperSize="9" fitToHeight="0" orientation="portrait" r:id="rId1"/>
  <headerFooter>
    <oddHeader>&amp;L&amp;A&amp;C&amp;R&amp;P of &amp;N</oddHeader>
    <oddFooter>&amp;F</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E162FE946D2DC49B772FE47E464ED56" ma:contentTypeVersion="43" ma:contentTypeDescription="Create a new document." ma:contentTypeScope="" ma:versionID="3eda9f60ba35fa792978f47f221bc710">
  <xsd:schema xmlns:xsd="http://www.w3.org/2001/XMLSchema" xmlns:xs="http://www.w3.org/2001/XMLSchema" xmlns:p="http://schemas.microsoft.com/office/2006/metadata/properties" xmlns:ns2="c7312139-f4c2-453d-a4c8-c631b6303d87" xmlns:ns3="830862f3-40c2-43d5-9778-1909aaa95bc7" targetNamespace="http://schemas.microsoft.com/office/2006/metadata/properties" ma:root="true" ma:fieldsID="8ab4db3f37c2fb55e352b75920aaf867" ns2:_="" ns3:_="">
    <xsd:import namespace="c7312139-f4c2-453d-a4c8-c631b6303d87"/>
    <xsd:import namespace="830862f3-40c2-43d5-9778-1909aaa95bc7"/>
    <xsd:element name="properties">
      <xsd:complexType>
        <xsd:sequence>
          <xsd:element name="documentManagement">
            <xsd:complexType>
              <xsd:all>
                <xsd:element ref="ns2:DocType" minOccurs="0"/>
                <xsd:element ref="ns3:DocumentCategory" minOccurs="0"/>
                <xsd:element ref="ns2:Commitees" minOccurs="0"/>
                <xsd:element ref="ns2:ChangeProposal1" minOccurs="0"/>
                <xsd:element ref="ns2:Activities" minOccurs="0"/>
                <xsd:element ref="ns2:Issues" minOccurs="0"/>
                <xsd:element ref="ns2:DocNotes" minOccurs="0"/>
                <xsd:element ref="ns3:Restricted" minOccurs="0"/>
                <xsd:element ref="ns2:Confidential1" minOccurs="0"/>
                <xsd:element ref="ns2:PublishDate" minOccurs="0"/>
                <xsd:element ref="ns2:UnpublishDate" minOccurs="0"/>
                <xsd:element ref="ns2:DocVersion" minOccurs="0"/>
                <xsd:element ref="ns2:Archived" minOccurs="0"/>
                <xsd:element ref="ns2:Date_x0020_Archived" minOccurs="0"/>
                <xsd:element ref="ns2:DateLastActivated1" minOccurs="0"/>
                <xsd:element ref="ns2:DateLastDeactivated1" minOccurs="0"/>
                <xsd:element ref="ns2:SQLID" minOccurs="0"/>
                <xsd:element ref="ns2:_dlc_DocId" minOccurs="0"/>
                <xsd:element ref="ns2:_dlc_DocIdUrl" minOccurs="0"/>
                <xsd:element ref="ns2:_dlc_DocIdPersistId" minOccurs="0"/>
                <xsd:element ref="ns3:Related_x0020_Commitees_x0020__x0026__x0020_Groups_x003a_ID" minOccurs="0"/>
                <xsd:element ref="ns3:Related_x0020_Change_x0020_Proposals_x003a_ID" minOccurs="0"/>
                <xsd:element ref="ns3:Related_x0020_Activities_x003a_ID" minOccurs="0"/>
                <xsd:element ref="ns3:Related_x0020_Issues_x003a_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7312139-f4c2-453d-a4c8-c631b6303d87" elementFormDefault="qualified">
    <xsd:import namespace="http://schemas.microsoft.com/office/2006/documentManagement/types"/>
    <xsd:import namespace="http://schemas.microsoft.com/office/infopath/2007/PartnerControls"/>
    <xsd:element name="DocType" ma:index="2" nillable="true" ma:displayName="Document Type" ma:description="Select type of document" ma:indexed="true" ma:list="{e44f5265-7504-47b9-8500-c2f524d54778}" ma:internalName="DocType" ma:showField="Title" ma:web="c7312139-f4c2-453d-a4c8-c631b6303d87">
      <xsd:simpleType>
        <xsd:restriction base="dms:Lookup"/>
      </xsd:simpleType>
    </xsd:element>
    <xsd:element name="Commitees" ma:index="4" nillable="true" ma:displayName="Related Committees &amp; Groups" ma:description="Select any Committees and Groups related to this document" ma:list="{c4558e07-05f5-413e-8fc8-3371db0e06b8}" ma:internalName="Commite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ChangeProposal1" ma:index="5" nillable="true" ma:displayName="Related Change Proposals" ma:description="Select Change Proposals to which this document belongs." ma:list="{9d78ab6c-e5db-4bbc-aef9-166e344e593e}" ma:internalName="ChangeProposal1" ma:readOnly="false" ma:showField="DCP"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Activities" ma:index="6" nillable="true" ma:displayName="Related Activities" ma:description="Select any Related Activities" ma:list="{4c7ccd60-2e0f-4363-be6e-3f24309280e9}" ma:internalName="Activities" ma:readOnly="false" ma:showField="Title"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Issues" ma:index="7" nillable="true" ma:displayName="Related Issues" ma:description="Select any issues related to this document" ma:list="{fd71b149-47ba-4a21-af25-87beffb6e97e}" ma:internalName="Issues" ma:showField="Issue_x0020_Number"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DocNotes" ma:index="8" nillable="true" ma:displayName="Notes" ma:description="Add any notes related to this document" ma:internalName="DocNotes">
      <xsd:simpleType>
        <xsd:restriction base="dms:Note">
          <xsd:maxLength value="255"/>
        </xsd:restriction>
      </xsd:simpleType>
    </xsd:element>
    <xsd:element name="Confidential1" ma:index="10" nillable="true" ma:displayName="Confidential" ma:default="0" ma:description="Select if document is to be kept confidential to members of appropriate Change Proposal Working Group." ma:internalName="Confidential1">
      <xsd:simpleType>
        <xsd:restriction base="dms:Boolean"/>
      </xsd:simpleType>
    </xsd:element>
    <xsd:element name="PublishDate" ma:index="11" nillable="true" ma:displayName="Date Published" ma:description="Enter the date this document is to be published." ma:format="DateOnly" ma:indexed="true" ma:internalName="PublishDate">
      <xsd:simpleType>
        <xsd:restriction base="dms:DateTime"/>
      </xsd:simpleType>
    </xsd:element>
    <xsd:element name="UnpublishDate" ma:index="12" nillable="true" ma:displayName="Withdrawal Date" ma:description="Enter any date to automatically remove this document from publication." ma:format="DateOnly" ma:indexed="true" ma:internalName="UnpublishDate">
      <xsd:simpleType>
        <xsd:restriction base="dms:DateTime"/>
      </xsd:simpleType>
    </xsd:element>
    <xsd:element name="DocVersion" ma:index="13" nillable="true" ma:displayName="Version/Revision" ma:description="Enter version number for this document" ma:internalName="DocVersion">
      <xsd:simpleType>
        <xsd:restriction base="dms:Text">
          <xsd:maxLength value="255"/>
        </xsd:restriction>
      </xsd:simpleType>
    </xsd:element>
    <xsd:element name="Archived" ma:index="14" nillable="true" ma:displayName="Archived" ma:default="0" ma:description="Indicate if this record is to be archived." ma:indexed="true" ma:internalName="Archived">
      <xsd:simpleType>
        <xsd:restriction base="dms:Boolean"/>
      </xsd:simpleType>
    </xsd:element>
    <xsd:element name="Date_x0020_Archived" ma:index="15" nillable="true" ma:displayName="Date Archived" ma:description="Select date this record was archived." ma:format="DateOnly" ma:internalName="Date_x0020_Archived">
      <xsd:simpleType>
        <xsd:restriction base="dms:DateTime"/>
      </xsd:simpleType>
    </xsd:element>
    <xsd:element name="DateLastActivated1" ma:index="16" nillable="true" ma:displayName="Date Last Activated" ma:default="[today]" ma:description="Records date record was last activated" ma:format="DateOnly" ma:internalName="DateLastActivated1">
      <xsd:simpleType>
        <xsd:restriction base="dms:DateTime"/>
      </xsd:simpleType>
    </xsd:element>
    <xsd:element name="DateLastDeactivated1" ma:index="17" nillable="true" ma:displayName="Date Last Deactivated" ma:description="Records date record was last deactivated" ma:format="DateOnly" ma:internalName="DateLastDeactivated1">
      <xsd:simpleType>
        <xsd:restriction base="dms:DateTime"/>
      </xsd:simpleType>
    </xsd:element>
    <xsd:element name="SQLID" ma:index="18" nillable="true" ma:displayName="SQLID" ma:decimals="0" ma:description="Holds SQLID from old database." ma:internalName="SQLID" ma:percentage="FALSE">
      <xsd:simpleType>
        <xsd:restriction base="dms:Number"/>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830862f3-40c2-43d5-9778-1909aaa95bc7" elementFormDefault="qualified">
    <xsd:import namespace="http://schemas.microsoft.com/office/2006/documentManagement/types"/>
    <xsd:import namespace="http://schemas.microsoft.com/office/infopath/2007/PartnerControls"/>
    <xsd:element name="DocumentCategory" ma:index="3" nillable="true" ma:displayName="Document Category" ma:description="Select Document Category for this document" ma:indexed="true" ma:list="{84b421a0-f42d-4db4-ba8d-bd6d116602cf}" ma:internalName="DocumentCategory" ma:showField="Title" ma:web="c7312139-f4c2-453d-a4c8-c631b6303d87">
      <xsd:simpleType>
        <xsd:restriction base="dms:Lookup"/>
      </xsd:simpleType>
    </xsd:element>
    <xsd:element name="Restricted" ma:index="9" nillable="true" ma:displayName="Restricted" ma:default="0" ma:description="Restrict document publishing to registered website users only." ma:indexed="true" ma:internalName="Restricted">
      <xsd:simpleType>
        <xsd:restriction base="dms:Boolean"/>
      </xsd:simpleType>
    </xsd:element>
    <xsd:element name="Related_x0020_Commitees_x0020__x0026__x0020_Groups_x003a_ID" ma:index="28" nillable="true" ma:displayName="Related Commitees &amp; Groups:ID" ma:list="{c4558e07-05f5-413e-8fc8-3371db0e06b8}" ma:internalName="Related_x0020_Commitees_x0020__x0026__x0020_Group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Change_x0020_Proposals_x003a_ID" ma:index="29" nillable="true" ma:displayName="Related Change Proposals:ID" ma:list="{9d78ab6c-e5db-4bbc-aef9-166e344e593e}" ma:internalName="Related_x0020_Change_x0020_Proposal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Activities_x003a_ID" ma:index="30" nillable="true" ma:displayName="Related Activities:ID" ma:list="{4c7ccd60-2e0f-4363-be6e-3f24309280e9}" ma:internalName="Related_x0020_Activiti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element name="Related_x0020_Issues_x003a_ID" ma:index="31" nillable="true" ma:displayName="Related Issues:ID" ma:list="{fd71b149-47ba-4a21-af25-87beffb6e97e}" ma:internalName="Related_x0020_Issues_x003a_ID" ma:readOnly="true" ma:showField="ID" ma:web="c7312139-f4c2-453d-a4c8-c631b6303d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2"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UnpublishDate xmlns="c7312139-f4c2-453d-a4c8-c631b6303d87" xsi:nil="true"/>
    <Date_x0020_Archived xmlns="c7312139-f4c2-453d-a4c8-c631b6303d87" xsi:nil="true"/>
    <DocumentCategory xmlns="830862f3-40c2-43d5-9778-1909aaa95bc7">39</DocumentCategory>
    <DateLastActivated1 xmlns="c7312139-f4c2-453d-a4c8-c631b6303d87">2018-10-17T10:47:47+00:00</DateLastActivated1>
    <Commitees xmlns="c7312139-f4c2-453d-a4c8-c631b6303d87"/>
    <DocNotes xmlns="c7312139-f4c2-453d-a4c8-c631b6303d87" xsi:nil="true"/>
    <Activities xmlns="c7312139-f4c2-453d-a4c8-c631b6303d87"/>
    <Issues xmlns="c7312139-f4c2-453d-a4c8-c631b6303d87"/>
    <PublishDate xmlns="c7312139-f4c2-453d-a4c8-c631b6303d87">2018-10-15T23:00:00+00:00</PublishDate>
    <ChangeProposal1 xmlns="c7312139-f4c2-453d-a4c8-c631b6303d87"/>
    <Confidential1 xmlns="c7312139-f4c2-453d-a4c8-c631b6303d87">false</Confidential1>
    <DocType xmlns="c7312139-f4c2-453d-a4c8-c631b6303d87">11</DocType>
    <Restricted xmlns="830862f3-40c2-43d5-9778-1909aaa95bc7">false</Restricted>
    <DateLastDeactivated1 xmlns="c7312139-f4c2-453d-a4c8-c631b6303d87" xsi:nil="true"/>
    <DocVersion xmlns="c7312139-f4c2-453d-a4c8-c631b6303d87">v3</DocVersion>
    <Archived xmlns="c7312139-f4c2-453d-a4c8-c631b6303d87">false</Archived>
    <SQLID xmlns="c7312139-f4c2-453d-a4c8-c631b6303d87" xsi:nil="true"/>
  </documentManagement>
</p:properties>
</file>

<file path=customXml/itemProps1.xml><?xml version="1.0" encoding="utf-8"?>
<ds:datastoreItem xmlns:ds="http://schemas.openxmlformats.org/officeDocument/2006/customXml" ds:itemID="{EDE43E35-F0F6-4C04-A28F-0F78DB2BEC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7312139-f4c2-453d-a4c8-c631b6303d87"/>
    <ds:schemaRef ds:uri="830862f3-40c2-43d5-9778-1909aaa95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C62021B-6C1D-4876-B027-26EF8EAE7D5F}">
  <ds:schemaRefs>
    <ds:schemaRef ds:uri="http://schemas.microsoft.com/sharepoint/events"/>
  </ds:schemaRefs>
</ds:datastoreItem>
</file>

<file path=customXml/itemProps3.xml><?xml version="1.0" encoding="utf-8"?>
<ds:datastoreItem xmlns:ds="http://schemas.openxmlformats.org/officeDocument/2006/customXml" ds:itemID="{AD672EFB-D87C-4F0C-B881-1D86437C27CF}">
  <ds:schemaRefs>
    <ds:schemaRef ds:uri="http://schemas.microsoft.com/sharepoint/v3/contenttype/forms"/>
  </ds:schemaRefs>
</ds:datastoreItem>
</file>

<file path=customXml/itemProps4.xml><?xml version="1.0" encoding="utf-8"?>
<ds:datastoreItem xmlns:ds="http://schemas.openxmlformats.org/officeDocument/2006/customXml" ds:itemID="{40433340-7BEC-4F3D-99D4-81DABA0ADC90}">
  <ds:schemaRefs>
    <ds:schemaRef ds:uri="c7312139-f4c2-453d-a4c8-c631b6303d87"/>
    <ds:schemaRef ds:uri="830862f3-40c2-43d5-9778-1909aaa95bc7"/>
    <ds:schemaRef ds:uri="http://schemas.microsoft.com/office/2006/documentManagement/types"/>
    <ds:schemaRef ds:uri="http://purl.org/dc/dcmitype/"/>
    <ds:schemaRef ds:uri="http://schemas.openxmlformats.org/package/2006/metadata/core-properties"/>
    <ds:schemaRef ds:uri="http://purl.org/dc/elements/1.1/"/>
    <ds:schemaRef ds:uri="http://schemas.microsoft.com/office/2006/metadata/properties"/>
    <ds:schemaRef ds:uri="http://schemas.microsoft.com/office/infopath/2007/PartnerControl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11</vt:i4>
      </vt:variant>
    </vt:vector>
  </HeadingPairs>
  <TitlesOfParts>
    <vt:vector size="39" baseType="lpstr">
      <vt:lpstr>Cover</vt:lpstr>
      <vt:lpstr>Version control</vt:lpstr>
      <vt:lpstr>Model map</vt:lpstr>
      <vt:lpstr>Index</vt:lpstr>
      <vt:lpstr>Named ranges</vt:lpstr>
      <vt:lpstr>Fixed inputs</vt:lpstr>
      <vt:lpstr>Inputs by customer type</vt:lpstr>
      <vt:lpstr>Inputs by network level</vt:lpstr>
      <vt:lpstr>General inputs</vt:lpstr>
      <vt:lpstr>Standing charge factors</vt:lpstr>
      <vt:lpstr>Load &amp; loss characteristics</vt:lpstr>
      <vt:lpstr>Customer contributions</vt:lpstr>
      <vt:lpstr>Volume adjustments</vt:lpstr>
      <vt:lpstr>Pseudo-load coefficients</vt:lpstr>
      <vt:lpstr>System peak demand</vt:lpstr>
      <vt:lpstr>Service model assets</vt:lpstr>
      <vt:lpstr>Unit costs</vt:lpstr>
      <vt:lpstr>Initial unit rates</vt:lpstr>
      <vt:lpstr>Service model charges</vt:lpstr>
      <vt:lpstr>Unit rate charges</vt:lpstr>
      <vt:lpstr>Reactive power charges</vt:lpstr>
      <vt:lpstr>Capacity charges</vt:lpstr>
      <vt:lpstr>Fixed charges</vt:lpstr>
      <vt:lpstr>Revenue matching</vt:lpstr>
      <vt:lpstr>Rounding</vt:lpstr>
      <vt:lpstr>Net revenue summary</vt:lpstr>
      <vt:lpstr>Tariff summary</vt:lpstr>
      <vt:lpstr>Output to other models</vt:lpstr>
      <vt:lpstr>charging_year</vt:lpstr>
      <vt:lpstr>check_decimals</vt:lpstr>
      <vt:lpstr>days_in_year</vt:lpstr>
      <vt:lpstr>DNO_name</vt:lpstr>
      <vt:lpstr>hours_in_day</vt:lpstr>
      <vt:lpstr>hours_in_year</vt:lpstr>
      <vt:lpstr>hundred</vt:lpstr>
      <vt:lpstr>live_results_tariffs</vt:lpstr>
      <vt:lpstr>PowerFactor</vt:lpstr>
      <vt:lpstr>ten</vt:lpstr>
      <vt:lpstr>thousand</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CDCM_v3_20181016</dc:title>
  <dc:creator>Clark, Emma</dc:creator>
  <cp:lastModifiedBy>Smith, Bradley</cp:lastModifiedBy>
  <cp:revision/>
  <dcterms:created xsi:type="dcterms:W3CDTF">2017-07-12T09:37:31Z</dcterms:created>
  <dcterms:modified xsi:type="dcterms:W3CDTF">2018-12-25T15:59:03Z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0x010100DE162FE946D2DC49B772FE47E464ED56</vt:lpwstr>
  </property>
</Properties>
</file>