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filterPrivacy="1" codeName="ThisWorkbook" defaultThemeVersion="166925"/>
  <xr:revisionPtr revIDLastSave="1" documentId="8_{6878639D-FE4D-4572-9C5D-4F7D5237279F}" xr6:coauthVersionLast="47" xr6:coauthVersionMax="47" xr10:uidLastSave="{C8FC3535-09B4-4EAD-942D-7E9520019072}"/>
  <workbookProtection lockStructure="1"/>
  <bookViews>
    <workbookView xWindow="-110" yWindow="-110" windowWidth="19420" windowHeight="10420" tabRatio="870" xr2:uid="{00000000-000D-0000-FFFF-FFFF00000000}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Index!$F$11:$G$41</definedName>
    <definedName name="_xlnm._FilterDatabase" localSheetId="6" hidden="1">MEAV!$B$2:$B$149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3" i="41" l="1"/>
  <c r="G68" i="41"/>
  <c r="G66" i="41"/>
  <c r="G25" i="41"/>
  <c r="G24" i="41"/>
  <c r="H109" i="21"/>
  <c r="H113" i="21"/>
  <c r="H111" i="21"/>
  <c r="H41" i="21"/>
  <c r="H66" i="21"/>
  <c r="H125" i="21"/>
  <c r="J40" i="39" a="1"/>
  <c r="J40" i="39" s="1"/>
  <c r="O40" i="39"/>
  <c r="W40" i="39"/>
  <c r="AE40" i="39"/>
  <c r="AM40" i="39"/>
  <c r="J36" i="38" a="1"/>
  <c r="J36" i="38" s="1"/>
  <c r="K123" i="21" a="1"/>
  <c r="K123" i="21" s="1"/>
  <c r="K64" i="21" a="1"/>
  <c r="P64" i="21" s="1"/>
  <c r="K40" i="21" a="1"/>
  <c r="K40" i="21" s="1"/>
  <c r="H115" i="21" l="1"/>
  <c r="AR117" i="21" s="1"/>
  <c r="K19" i="21" a="1"/>
  <c r="K19" i="21" s="1"/>
  <c r="J60" i="21" a="1"/>
  <c r="J60" i="21" s="1"/>
  <c r="AL40" i="39"/>
  <c r="AD40" i="39"/>
  <c r="V40" i="39"/>
  <c r="N40" i="39"/>
  <c r="AC40" i="39"/>
  <c r="M40" i="39"/>
  <c r="AR40" i="39"/>
  <c r="AJ40" i="39"/>
  <c r="AB40" i="39"/>
  <c r="T40" i="39"/>
  <c r="L40" i="39"/>
  <c r="AP40" i="39"/>
  <c r="AH40" i="39"/>
  <c r="Z40" i="39"/>
  <c r="R40" i="39"/>
  <c r="AO40" i="39"/>
  <c r="AG40" i="39"/>
  <c r="Y40" i="39"/>
  <c r="Q40" i="39"/>
  <c r="AN40" i="39"/>
  <c r="AF40" i="39"/>
  <c r="X40" i="39"/>
  <c r="P40" i="39"/>
  <c r="U40" i="39"/>
  <c r="AQ40" i="39"/>
  <c r="AI40" i="39"/>
  <c r="AA40" i="39"/>
  <c r="S40" i="39"/>
  <c r="K40" i="39"/>
  <c r="AK40" i="39"/>
  <c r="AL36" i="38"/>
  <c r="AD36" i="38"/>
  <c r="N36" i="38"/>
  <c r="AK36" i="38"/>
  <c r="AC36" i="38"/>
  <c r="M36" i="38"/>
  <c r="AR36" i="38"/>
  <c r="AR38" i="38" s="1"/>
  <c r="AJ36" i="38"/>
  <c r="AB36" i="38"/>
  <c r="L36" i="38"/>
  <c r="AO36" i="38"/>
  <c r="AG36" i="38"/>
  <c r="Y36" i="38"/>
  <c r="Q36" i="38"/>
  <c r="AN36" i="38"/>
  <c r="AF36" i="38"/>
  <c r="X36" i="38"/>
  <c r="P36" i="38"/>
  <c r="W36" i="38"/>
  <c r="U36" i="38"/>
  <c r="AQ36" i="38"/>
  <c r="AI36" i="38"/>
  <c r="AA36" i="38"/>
  <c r="S36" i="38"/>
  <c r="K36" i="38"/>
  <c r="AM36" i="38"/>
  <c r="AE36" i="38"/>
  <c r="O36" i="38"/>
  <c r="V36" i="38"/>
  <c r="T36" i="38"/>
  <c r="AP36" i="38"/>
  <c r="AH36" i="38"/>
  <c r="Z36" i="38"/>
  <c r="R36" i="38"/>
  <c r="AP123" i="21"/>
  <c r="AH123" i="21"/>
  <c r="Z123" i="21"/>
  <c r="R123" i="21"/>
  <c r="AO123" i="21"/>
  <c r="AG123" i="21"/>
  <c r="Y123" i="21"/>
  <c r="Q123" i="21"/>
  <c r="AN123" i="21"/>
  <c r="AF123" i="21"/>
  <c r="X123" i="21"/>
  <c r="P123" i="21"/>
  <c r="AM123" i="21"/>
  <c r="AE123" i="21"/>
  <c r="W123" i="21"/>
  <c r="O123" i="21"/>
  <c r="AL123" i="21"/>
  <c r="AD123" i="21"/>
  <c r="V123" i="21"/>
  <c r="N123" i="21"/>
  <c r="AK123" i="21"/>
  <c r="AC123" i="21"/>
  <c r="U123" i="21"/>
  <c r="M123" i="21"/>
  <c r="AR123" i="21"/>
  <c r="AJ123" i="21"/>
  <c r="AB123" i="21"/>
  <c r="T123" i="21"/>
  <c r="L123" i="21"/>
  <c r="AQ123" i="21"/>
  <c r="AI123" i="21"/>
  <c r="AA123" i="21"/>
  <c r="S123" i="21"/>
  <c r="AM64" i="21"/>
  <c r="AE64" i="21"/>
  <c r="W64" i="21"/>
  <c r="O64" i="21"/>
  <c r="AL64" i="21"/>
  <c r="AD64" i="21"/>
  <c r="V64" i="21"/>
  <c r="N64" i="21"/>
  <c r="AK64" i="21"/>
  <c r="AC64" i="21"/>
  <c r="U64" i="21"/>
  <c r="M64" i="21"/>
  <c r="AR64" i="21"/>
  <c r="AJ64" i="21"/>
  <c r="AB64" i="21"/>
  <c r="T64" i="21"/>
  <c r="L64" i="21"/>
  <c r="AQ64" i="21"/>
  <c r="AI64" i="21"/>
  <c r="AA64" i="21"/>
  <c r="S64" i="21"/>
  <c r="K64" i="21"/>
  <c r="AP64" i="21"/>
  <c r="AH64" i="21"/>
  <c r="Z64" i="21"/>
  <c r="R64" i="21"/>
  <c r="Q64" i="21"/>
  <c r="AO64" i="21"/>
  <c r="AG64" i="21"/>
  <c r="Y64" i="21"/>
  <c r="AN64" i="21"/>
  <c r="AF64" i="21"/>
  <c r="X64" i="21"/>
  <c r="AQ40" i="21"/>
  <c r="AP40" i="21"/>
  <c r="AH40" i="21"/>
  <c r="Z40" i="21"/>
  <c r="R40" i="21"/>
  <c r="AO40" i="21"/>
  <c r="AG40" i="21"/>
  <c r="Y40" i="21"/>
  <c r="Q40" i="21"/>
  <c r="AN40" i="21"/>
  <c r="AF40" i="21"/>
  <c r="X40" i="21"/>
  <c r="P40" i="21"/>
  <c r="AM40" i="21"/>
  <c r="AE40" i="21"/>
  <c r="W40" i="21"/>
  <c r="O40" i="21"/>
  <c r="N40" i="21"/>
  <c r="M40" i="21"/>
  <c r="AL40" i="21"/>
  <c r="AD40" i="21"/>
  <c r="V40" i="21"/>
  <c r="AK40" i="21"/>
  <c r="AC40" i="21"/>
  <c r="U40" i="21"/>
  <c r="AR40" i="21"/>
  <c r="AJ40" i="21"/>
  <c r="AB40" i="21"/>
  <c r="T40" i="21"/>
  <c r="L40" i="21"/>
  <c r="AI40" i="21"/>
  <c r="AA40" i="21"/>
  <c r="S40" i="21"/>
  <c r="AO19" i="21" l="1"/>
  <c r="AH21" i="21"/>
  <c r="AK21" i="21"/>
  <c r="AQ20" i="21"/>
  <c r="AH19" i="21"/>
  <c r="AP22" i="21"/>
  <c r="AD21" i="21"/>
  <c r="AM19" i="21"/>
  <c r="Q20" i="21"/>
  <c r="V20" i="21"/>
  <c r="M22" i="21"/>
  <c r="AP21" i="21"/>
  <c r="AR19" i="21"/>
  <c r="AR31" i="21" s="1"/>
  <c r="M20" i="21"/>
  <c r="AN21" i="21"/>
  <c r="AF19" i="21"/>
  <c r="R60" i="21"/>
  <c r="K22" i="21"/>
  <c r="Z60" i="21"/>
  <c r="N20" i="21"/>
  <c r="AL20" i="21"/>
  <c r="AG20" i="21"/>
  <c r="AC22" i="21"/>
  <c r="W20" i="21"/>
  <c r="L22" i="21"/>
  <c r="AQ60" i="21"/>
  <c r="AN22" i="21"/>
  <c r="AJ20" i="21"/>
  <c r="AI20" i="21"/>
  <c r="AK20" i="21"/>
  <c r="T21" i="21"/>
  <c r="AO20" i="21"/>
  <c r="AK22" i="21"/>
  <c r="AD22" i="21"/>
  <c r="AE20" i="21"/>
  <c r="AA22" i="21"/>
  <c r="X20" i="21"/>
  <c r="T22" i="21"/>
  <c r="AP60" i="21"/>
  <c r="V60" i="21"/>
  <c r="U60" i="21"/>
  <c r="AN60" i="21"/>
  <c r="AD19" i="21"/>
  <c r="S20" i="21"/>
  <c r="AA21" i="21"/>
  <c r="Z22" i="21"/>
  <c r="AN19" i="21"/>
  <c r="W22" i="21"/>
  <c r="AE22" i="21"/>
  <c r="S21" i="21"/>
  <c r="AJ21" i="21"/>
  <c r="S19" i="21"/>
  <c r="O21" i="21"/>
  <c r="L19" i="21"/>
  <c r="AP20" i="21"/>
  <c r="AL22" i="21"/>
  <c r="AM20" i="21"/>
  <c r="AI22" i="21"/>
  <c r="AF20" i="21"/>
  <c r="AB22" i="21"/>
  <c r="N60" i="21"/>
  <c r="W60" i="21"/>
  <c r="AC60" i="21"/>
  <c r="Q60" i="21"/>
  <c r="L20" i="21"/>
  <c r="AG21" i="21"/>
  <c r="AQ21" i="21"/>
  <c r="AK19" i="21"/>
  <c r="M19" i="21"/>
  <c r="AM22" i="21"/>
  <c r="AL19" i="21"/>
  <c r="AI21" i="21"/>
  <c r="R22" i="21"/>
  <c r="AA60" i="21"/>
  <c r="P60" i="21"/>
  <c r="N22" i="21"/>
  <c r="AP19" i="21"/>
  <c r="X60" i="21"/>
  <c r="X22" i="21"/>
  <c r="AF22" i="21"/>
  <c r="U20" i="21"/>
  <c r="V22" i="21"/>
  <c r="P20" i="21"/>
  <c r="AH60" i="21"/>
  <c r="M60" i="21"/>
  <c r="AF60" i="21"/>
  <c r="N19" i="21"/>
  <c r="K21" i="21"/>
  <c r="AO21" i="21"/>
  <c r="AH20" i="21"/>
  <c r="AA19" i="21"/>
  <c r="W21" i="21"/>
  <c r="T19" i="21"/>
  <c r="P21" i="21"/>
  <c r="Q19" i="21"/>
  <c r="M21" i="21"/>
  <c r="AQ22" i="21"/>
  <c r="AN20" i="21"/>
  <c r="AJ22" i="21"/>
  <c r="AM60" i="21"/>
  <c r="L60" i="21"/>
  <c r="AK60" i="21"/>
  <c r="Y60" i="21"/>
  <c r="AB20" i="21"/>
  <c r="O22" i="21"/>
  <c r="Y22" i="21"/>
  <c r="Q21" i="21"/>
  <c r="AC19" i="21"/>
  <c r="AD20" i="21"/>
  <c r="R21" i="21"/>
  <c r="Q22" i="21"/>
  <c r="AH22" i="21"/>
  <c r="AI60" i="21"/>
  <c r="Y19" i="21"/>
  <c r="AG22" i="21"/>
  <c r="AJ60" i="21"/>
  <c r="AD60" i="21"/>
  <c r="Y20" i="21"/>
  <c r="U22" i="21"/>
  <c r="R20" i="21"/>
  <c r="O20" i="21"/>
  <c r="AL21" i="21"/>
  <c r="AR60" i="21"/>
  <c r="AE60" i="21"/>
  <c r="AC20" i="21"/>
  <c r="Y21" i="21"/>
  <c r="U19" i="21"/>
  <c r="Z20" i="21"/>
  <c r="S22" i="21"/>
  <c r="L21" i="21"/>
  <c r="AI19" i="21"/>
  <c r="AE21" i="21"/>
  <c r="AB19" i="21"/>
  <c r="X21" i="21"/>
  <c r="U21" i="21"/>
  <c r="R19" i="21"/>
  <c r="N21" i="21"/>
  <c r="AR22" i="21"/>
  <c r="AR34" i="21" s="1"/>
  <c r="AR49" i="21" s="1"/>
  <c r="K60" i="21"/>
  <c r="T60" i="21"/>
  <c r="AL60" i="21"/>
  <c r="AG60" i="21"/>
  <c r="AR20" i="21"/>
  <c r="AR32" i="21" s="1"/>
  <c r="AR47" i="21" s="1"/>
  <c r="O19" i="21"/>
  <c r="AO22" i="21"/>
  <c r="V19" i="21"/>
  <c r="K20" i="21"/>
  <c r="AB21" i="21"/>
  <c r="P22" i="21"/>
  <c r="AQ19" i="21"/>
  <c r="AM21" i="21"/>
  <c r="AJ19" i="21"/>
  <c r="AF21" i="21"/>
  <c r="AG19" i="21"/>
  <c r="AC21" i="21"/>
  <c r="Z19" i="21"/>
  <c r="V21" i="21"/>
  <c r="S60" i="21"/>
  <c r="AB60" i="21"/>
  <c r="O60" i="21"/>
  <c r="AO60" i="21"/>
  <c r="Z21" i="21"/>
  <c r="AE19" i="21"/>
  <c r="P19" i="21"/>
  <c r="T20" i="21"/>
  <c r="AA20" i="21"/>
  <c r="AR21" i="21"/>
  <c r="AR33" i="21" s="1"/>
  <c r="AR48" i="21" s="1"/>
  <c r="W19" i="21"/>
  <c r="X19" i="21"/>
  <c r="G62" i="41" l="1"/>
  <c r="G127" i="41" l="1"/>
  <c r="G126" i="41"/>
  <c r="G125" i="41"/>
  <c r="G124" i="41"/>
  <c r="G123" i="41"/>
  <c r="G122" i="4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7" i="41"/>
  <c r="G65" i="41"/>
  <c r="G64" i="41"/>
  <c r="G63" i="41"/>
  <c r="G61" i="41"/>
  <c r="G60" i="41"/>
  <c r="G59" i="41"/>
  <c r="G58" i="41"/>
  <c r="G57" i="41"/>
  <c r="G56" i="41"/>
  <c r="G55" i="41"/>
  <c r="G54" i="41"/>
  <c r="G53" i="41"/>
  <c r="G52" i="41"/>
  <c r="G51" i="41"/>
  <c r="G44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3" i="41"/>
  <c r="G22" i="41"/>
  <c r="G21" i="41"/>
  <c r="G20" i="41"/>
  <c r="G19" i="41"/>
  <c r="G18" i="41"/>
  <c r="G17" i="41"/>
  <c r="G16" i="41"/>
  <c r="G62" i="15" l="1"/>
  <c r="H17" i="8" l="1"/>
  <c r="H13" i="33" l="1"/>
  <c r="AP38" i="38" l="1"/>
  <c r="E40" i="21"/>
  <c r="E125" i="21"/>
  <c r="E66" i="21"/>
  <c r="E123" i="21"/>
  <c r="E64" i="21"/>
  <c r="G123" i="21"/>
  <c r="L53" i="20" l="1"/>
  <c r="M54" i="20"/>
  <c r="F21" i="24" l="1"/>
  <c r="F20" i="24"/>
  <c r="F19" i="24"/>
  <c r="F18" i="24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A2" i="21"/>
  <c r="A1" i="21"/>
  <c r="G133" i="15"/>
  <c r="G131" i="15"/>
  <c r="G130" i="15"/>
  <c r="G129" i="15"/>
  <c r="G128" i="15"/>
  <c r="G127" i="15"/>
  <c r="G124" i="15"/>
  <c r="G116" i="15"/>
  <c r="E116" i="15"/>
  <c r="G112" i="15"/>
  <c r="F112" i="15"/>
  <c r="G111" i="15"/>
  <c r="F111" i="15"/>
  <c r="G110" i="15"/>
  <c r="F110" i="15"/>
  <c r="G109" i="15"/>
  <c r="F109" i="15"/>
  <c r="G108" i="15"/>
  <c r="F108" i="15"/>
  <c r="E107" i="15"/>
  <c r="G88" i="15"/>
  <c r="G86" i="15"/>
  <c r="G85" i="15"/>
  <c r="G84" i="15"/>
  <c r="G83" i="15"/>
  <c r="G58" i="15"/>
  <c r="G56" i="15"/>
  <c r="G105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128" i="21" l="1"/>
  <c r="G62" i="38"/>
  <c r="G55" i="38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48" i="21"/>
  <c r="G28" i="38" s="1"/>
  <c r="G47" i="38"/>
  <c r="G32" i="21"/>
  <c r="G141" i="21"/>
  <c r="G21" i="38" s="1"/>
  <c r="G46" i="38"/>
  <c r="G90" i="21"/>
  <c r="G149" i="21"/>
  <c r="G29" i="38" s="1"/>
  <c r="G56" i="38"/>
  <c r="G69" i="21"/>
  <c r="G91" i="21"/>
  <c r="G150" i="21"/>
  <c r="G30" i="38" s="1"/>
  <c r="G57" i="38"/>
  <c r="G62" i="21"/>
  <c r="G92" i="21"/>
  <c r="G151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42" i="21"/>
  <c r="G22" i="38" s="1"/>
  <c r="G152" i="21"/>
  <c r="G32" i="38" s="1"/>
  <c r="G49" i="38"/>
  <c r="G41" i="20"/>
  <c r="G46" i="21"/>
  <c r="G94" i="21"/>
  <c r="G143" i="21"/>
  <c r="G23" i="38" s="1"/>
  <c r="G53" i="38"/>
  <c r="G20" i="21"/>
  <c r="G47" i="21"/>
  <c r="G97" i="21"/>
  <c r="G144" i="21"/>
  <c r="G24" i="38" s="1"/>
  <c r="G54" i="38"/>
  <c r="G21" i="21"/>
  <c r="G48" i="21"/>
  <c r="G98" i="21"/>
  <c r="G145" i="21"/>
  <c r="G43" i="38"/>
  <c r="AG32" i="15"/>
  <c r="X33" i="15"/>
  <c r="V44" i="15"/>
  <c r="AI45" i="15"/>
  <c r="AY46" i="15"/>
  <c r="BO45" i="15"/>
  <c r="CA45" i="15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S38" i="38"/>
  <c r="AE38" i="38"/>
  <c r="BB36" i="15"/>
  <c r="M45" i="15"/>
  <c r="Y45" i="15"/>
  <c r="AO46" i="15"/>
  <c r="BE47" i="15"/>
  <c r="BR45" i="15"/>
  <c r="CH47" i="15"/>
  <c r="T38" i="38"/>
  <c r="AF38" i="38"/>
  <c r="BL35" i="15"/>
  <c r="N46" i="15"/>
  <c r="AD46" i="15"/>
  <c r="BG47" i="15"/>
  <c r="BS46" i="15"/>
  <c r="CI45" i="15"/>
  <c r="V38" i="38"/>
  <c r="AI38" i="38"/>
  <c r="BX32" i="15"/>
  <c r="O47" i="15"/>
  <c r="AR44" i="15"/>
  <c r="BH47" i="15"/>
  <c r="BX44" i="15"/>
  <c r="CJ45" i="15"/>
  <c r="K38" i="38"/>
  <c r="W38" i="38"/>
  <c r="AJ38" i="38"/>
  <c r="CH35" i="15"/>
  <c r="P47" i="15"/>
  <c r="AF44" i="15"/>
  <c r="AV46" i="15"/>
  <c r="BI47" i="15"/>
  <c r="BY47" i="15"/>
  <c r="CK47" i="15"/>
  <c r="L38" i="38"/>
  <c r="X38" i="38"/>
  <c r="AL38" i="38"/>
  <c r="O36" i="15"/>
  <c r="U46" i="15"/>
  <c r="AG45" i="15"/>
  <c r="AW47" i="15"/>
  <c r="BJ44" i="15"/>
  <c r="BZ46" i="15"/>
  <c r="CP46" i="15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Q38" i="38"/>
  <c r="Y38" i="38"/>
  <c r="AG38" i="38"/>
  <c r="AO38" i="38"/>
  <c r="J38" i="38"/>
  <c r="R38" i="38"/>
  <c r="Z38" i="38"/>
  <c r="AH38" i="38"/>
  <c r="AQ38" i="38"/>
  <c r="M38" i="38"/>
  <c r="U38" i="38"/>
  <c r="AC38" i="38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32" i="21" l="1"/>
  <c r="AK47" i="21" s="1"/>
  <c r="K34" i="21"/>
  <c r="K49" i="21" s="1"/>
  <c r="AL32" i="21"/>
  <c r="AL47" i="21" s="1"/>
  <c r="AO20" i="15"/>
  <c r="AW20" i="15"/>
  <c r="T21" i="15"/>
  <c r="AB21" i="15"/>
  <c r="CF21" i="15"/>
  <c r="CN21" i="15"/>
  <c r="AD33" i="21"/>
  <c r="AL33" i="21"/>
  <c r="H95" i="22"/>
  <c r="U32" i="21"/>
  <c r="U47" i="21" s="1"/>
  <c r="BO21" i="15"/>
  <c r="Z20" i="15"/>
  <c r="AH20" i="15"/>
  <c r="M21" i="15"/>
  <c r="U21" i="15"/>
  <c r="BY21" i="15"/>
  <c r="CG21" i="15"/>
  <c r="W33" i="21"/>
  <c r="AE33" i="21"/>
  <c r="H20" i="22"/>
  <c r="H104" i="22"/>
  <c r="M32" i="21"/>
  <c r="M47" i="21" s="1"/>
  <c r="M33" i="21"/>
  <c r="J26" i="21"/>
  <c r="J32" i="21" s="1"/>
  <c r="J47" i="21" s="1"/>
  <c r="CE20" i="15"/>
  <c r="CM20" i="15"/>
  <c r="BJ21" i="15"/>
  <c r="BR21" i="15"/>
  <c r="AO32" i="21"/>
  <c r="AO47" i="21" s="1"/>
  <c r="P33" i="21"/>
  <c r="AM34" i="21"/>
  <c r="AM49" i="21" s="1"/>
  <c r="H21" i="20"/>
  <c r="AP21" i="15"/>
  <c r="AD32" i="21"/>
  <c r="AD47" i="21" s="1"/>
  <c r="AJ20" i="15"/>
  <c r="AR20" i="15"/>
  <c r="O21" i="15"/>
  <c r="W21" i="15"/>
  <c r="CA21" i="15"/>
  <c r="CI21" i="15"/>
  <c r="Y33" i="21"/>
  <c r="AG33" i="21"/>
  <c r="H58" i="22"/>
  <c r="L33" i="21"/>
  <c r="V32" i="21"/>
  <c r="V47" i="21" s="1"/>
  <c r="U20" i="15"/>
  <c r="AC20" i="15"/>
  <c r="CG20" i="15"/>
  <c r="CO20" i="15"/>
  <c r="BL21" i="15"/>
  <c r="BT21" i="15"/>
  <c r="R33" i="21"/>
  <c r="AO34" i="21"/>
  <c r="AO49" i="21" s="1"/>
  <c r="H23" i="20"/>
  <c r="R21" i="15"/>
  <c r="BN21" i="15"/>
  <c r="BT20" i="15"/>
  <c r="AA21" i="15"/>
  <c r="S20" i="15"/>
  <c r="H112" i="15"/>
  <c r="BJ20" i="15"/>
  <c r="BR20" i="15"/>
  <c r="AO21" i="15"/>
  <c r="AW21" i="15"/>
  <c r="T32" i="21"/>
  <c r="T47" i="21" s="1"/>
  <c r="AB32" i="21"/>
  <c r="AB47" i="21" s="1"/>
  <c r="R34" i="21"/>
  <c r="R49" i="21" s="1"/>
  <c r="Z34" i="21"/>
  <c r="Z49" i="21" s="1"/>
  <c r="AH21" i="15"/>
  <c r="L48" i="21" l="1"/>
  <c r="R48" i="21"/>
  <c r="AG48" i="21"/>
  <c r="Y48" i="21"/>
  <c r="AL48" i="21"/>
  <c r="AE48" i="21"/>
  <c r="M48" i="21"/>
  <c r="AD48" i="21"/>
  <c r="W48" i="21"/>
  <c r="P48" i="21"/>
  <c r="BJ24" i="15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32" i="21"/>
  <c r="L47" i="21" s="1"/>
  <c r="AG21" i="15"/>
  <c r="BB20" i="15"/>
  <c r="H94" i="22"/>
  <c r="AF20" i="15"/>
  <c r="BC20" i="15"/>
  <c r="AG34" i="21"/>
  <c r="AG49" i="21" s="1"/>
  <c r="AI32" i="21"/>
  <c r="AI47" i="21" s="1"/>
  <c r="BD21" i="15"/>
  <c r="BY20" i="15"/>
  <c r="BY24" i="15" s="1"/>
  <c r="M20" i="15"/>
  <c r="M24" i="15" s="1"/>
  <c r="CE21" i="15"/>
  <c r="CE24" i="15" s="1"/>
  <c r="CL21" i="15"/>
  <c r="H22" i="20"/>
  <c r="Q33" i="21"/>
  <c r="BS21" i="15"/>
  <c r="CN20" i="15"/>
  <c r="CN24" i="15" s="1"/>
  <c r="AB20" i="15"/>
  <c r="AB24" i="15" s="1"/>
  <c r="CA20" i="15"/>
  <c r="CA24" i="15" s="1"/>
  <c r="AE34" i="21"/>
  <c r="AE49" i="21" s="1"/>
  <c r="AG32" i="21"/>
  <c r="AG47" i="21" s="1"/>
  <c r="BB21" i="15"/>
  <c r="BW20" i="15"/>
  <c r="AX21" i="15"/>
  <c r="J28" i="21"/>
  <c r="J34" i="21" s="1"/>
  <c r="J49" i="21" s="1"/>
  <c r="O33" i="21"/>
  <c r="BQ21" i="15"/>
  <c r="CL20" i="15"/>
  <c r="R20" i="15"/>
  <c r="R24" i="15" s="1"/>
  <c r="S21" i="15"/>
  <c r="S24" i="15" s="1"/>
  <c r="CD21" i="15"/>
  <c r="H19" i="22"/>
  <c r="V33" i="21"/>
  <c r="BX21" i="15"/>
  <c r="L21" i="15"/>
  <c r="AG20" i="15"/>
  <c r="AI33" i="21"/>
  <c r="CK21" i="15"/>
  <c r="Y21" i="15"/>
  <c r="AT20" i="15"/>
  <c r="T34" i="21"/>
  <c r="T49" i="21" s="1"/>
  <c r="H116" i="15"/>
  <c r="Y34" i="21"/>
  <c r="Y49" i="21" s="1"/>
  <c r="AA32" i="21"/>
  <c r="AA47" i="21" s="1"/>
  <c r="AV21" i="15"/>
  <c r="BQ20" i="15"/>
  <c r="H111" i="15"/>
  <c r="AQ21" i="15"/>
  <c r="BF21" i="15"/>
  <c r="AN34" i="21"/>
  <c r="AN49" i="21" s="1"/>
  <c r="AQ32" i="21"/>
  <c r="AQ47" i="21" s="1"/>
  <c r="BK21" i="15"/>
  <c r="CF20" i="15"/>
  <c r="CF24" i="15" s="1"/>
  <c r="T20" i="15"/>
  <c r="T24" i="15" s="1"/>
  <c r="AY21" i="15"/>
  <c r="AE20" i="15"/>
  <c r="W34" i="21"/>
  <c r="W49" i="21" s="1"/>
  <c r="Y32" i="21"/>
  <c r="Y47" i="21" s="1"/>
  <c r="AT21" i="15"/>
  <c r="BO20" i="15"/>
  <c r="BO24" i="15" s="1"/>
  <c r="CM21" i="15"/>
  <c r="CM24" i="15" s="1"/>
  <c r="CI20" i="15"/>
  <c r="CI24" i="15" s="1"/>
  <c r="AL34" i="21"/>
  <c r="AL49" i="21" s="1"/>
  <c r="AN32" i="21"/>
  <c r="AN47" i="21" s="1"/>
  <c r="BI21" i="15"/>
  <c r="CD20" i="15"/>
  <c r="J20" i="15"/>
  <c r="BD20" i="15"/>
  <c r="Z21" i="15"/>
  <c r="Z24" i="15" s="1"/>
  <c r="J27" i="21"/>
  <c r="J33" i="21" s="1"/>
  <c r="N33" i="21"/>
  <c r="BP21" i="15"/>
  <c r="CK20" i="15"/>
  <c r="Y20" i="15"/>
  <c r="BG21" i="15"/>
  <c r="H74" i="22"/>
  <c r="AA33" i="21"/>
  <c r="CC21" i="15"/>
  <c r="Q21" i="15"/>
  <c r="AL20" i="15"/>
  <c r="AC33" i="21"/>
  <c r="AA34" i="21"/>
  <c r="AA49" i="21" s="1"/>
  <c r="Q34" i="21"/>
  <c r="Q49" i="21" s="1"/>
  <c r="S32" i="21"/>
  <c r="S47" i="21" s="1"/>
  <c r="AN21" i="15"/>
  <c r="BI20" i="15"/>
  <c r="K20" i="15"/>
  <c r="CB20" i="15"/>
  <c r="J21" i="15"/>
  <c r="AF34" i="21"/>
  <c r="AF49" i="21" s="1"/>
  <c r="AH32" i="21"/>
  <c r="AH47" i="21" s="1"/>
  <c r="BC21" i="15"/>
  <c r="BX20" i="15"/>
  <c r="L20" i="15"/>
  <c r="CJ20" i="15"/>
  <c r="O34" i="21"/>
  <c r="O49" i="21" s="1"/>
  <c r="Q32" i="21"/>
  <c r="Q47" i="21" s="1"/>
  <c r="AL21" i="15"/>
  <c r="BG20" i="15"/>
  <c r="AI21" i="15"/>
  <c r="AM20" i="15"/>
  <c r="AD34" i="21"/>
  <c r="AD49" i="21" s="1"/>
  <c r="AF32" i="21"/>
  <c r="AF47" i="21" s="1"/>
  <c r="BA21" i="15"/>
  <c r="BV20" i="15"/>
  <c r="P20" i="15"/>
  <c r="BK20" i="15"/>
  <c r="AK34" i="21"/>
  <c r="AK49" i="21" s="1"/>
  <c r="AM32" i="21"/>
  <c r="AM47" i="21" s="1"/>
  <c r="BH21" i="15"/>
  <c r="CC20" i="15"/>
  <c r="Q20" i="15"/>
  <c r="K21" i="15"/>
  <c r="BV21" i="15"/>
  <c r="H24" i="20"/>
  <c r="S33" i="21"/>
  <c r="BU21" i="15"/>
  <c r="CP20" i="15"/>
  <c r="AD20" i="15"/>
  <c r="N32" i="21"/>
  <c r="N47" i="21" s="1"/>
  <c r="T33" i="21"/>
  <c r="AQ33" i="21"/>
  <c r="K32" i="21"/>
  <c r="K47" i="21" s="1"/>
  <c r="AF21" i="15"/>
  <c r="BA20" i="15"/>
  <c r="AN20" i="15"/>
  <c r="AU20" i="15"/>
  <c r="X34" i="21"/>
  <c r="X49" i="21" s="1"/>
  <c r="Z32" i="21"/>
  <c r="Z47" i="21" s="1"/>
  <c r="AU21" i="15"/>
  <c r="BP20" i="15"/>
  <c r="H110" i="15"/>
  <c r="X20" i="15"/>
  <c r="AN33" i="21"/>
  <c r="CP21" i="15"/>
  <c r="AD21" i="15"/>
  <c r="AY20" i="15"/>
  <c r="BL20" i="15"/>
  <c r="BL24" i="15" s="1"/>
  <c r="V34" i="21"/>
  <c r="V49" i="21" s="1"/>
  <c r="X32" i="21"/>
  <c r="X47" i="21" s="1"/>
  <c r="AS21" i="15"/>
  <c r="BN20" i="15"/>
  <c r="BN24" i="15" s="1"/>
  <c r="AB34" i="21"/>
  <c r="AB49" i="21" s="1"/>
  <c r="O20" i="15"/>
  <c r="O24" i="15" s="1"/>
  <c r="AC34" i="21"/>
  <c r="AC49" i="21" s="1"/>
  <c r="AE32" i="21"/>
  <c r="AE47" i="21" s="1"/>
  <c r="AZ21" i="15"/>
  <c r="BU20" i="15"/>
  <c r="H27" i="24"/>
  <c r="AV20" i="15"/>
  <c r="AP20" i="15"/>
  <c r="AP24" i="15" s="1"/>
  <c r="AP34" i="21"/>
  <c r="AP49" i="21" s="1"/>
  <c r="AP33" i="21"/>
  <c r="AQ34" i="21"/>
  <c r="AQ49" i="21" s="1"/>
  <c r="K33" i="21"/>
  <c r="BM21" i="15"/>
  <c r="CH20" i="15"/>
  <c r="V20" i="15"/>
  <c r="AH33" i="21"/>
  <c r="CJ21" i="15"/>
  <c r="X21" i="15"/>
  <c r="AS20" i="15"/>
  <c r="AJ34" i="21"/>
  <c r="AJ49" i="21" s="1"/>
  <c r="H25" i="20"/>
  <c r="P34" i="21"/>
  <c r="P49" i="21" s="1"/>
  <c r="R32" i="21"/>
  <c r="R47" i="21" s="1"/>
  <c r="AM21" i="15"/>
  <c r="BH20" i="15"/>
  <c r="AQ20" i="15"/>
  <c r="AF33" i="21"/>
  <c r="CH21" i="15"/>
  <c r="V21" i="15"/>
  <c r="AI20" i="15"/>
  <c r="J25" i="21"/>
  <c r="J31" i="21" s="1"/>
  <c r="N34" i="21"/>
  <c r="N49" i="21" s="1"/>
  <c r="P32" i="21"/>
  <c r="P47" i="21" s="1"/>
  <c r="AK21" i="15"/>
  <c r="BF20" i="15"/>
  <c r="U33" i="21"/>
  <c r="AI34" i="21"/>
  <c r="AI49" i="21" s="1"/>
  <c r="U34" i="21"/>
  <c r="U49" i="21" s="1"/>
  <c r="W32" i="21"/>
  <c r="W47" i="21" s="1"/>
  <c r="AR21" i="15"/>
  <c r="AR24" i="15" s="1"/>
  <c r="BM20" i="15"/>
  <c r="H29" i="20"/>
  <c r="H28" i="24"/>
  <c r="BS20" i="15"/>
  <c r="AH34" i="21"/>
  <c r="AH49" i="21" s="1"/>
  <c r="AJ32" i="21"/>
  <c r="AJ47" i="21" s="1"/>
  <c r="BE21" i="15"/>
  <c r="BZ20" i="15"/>
  <c r="N20" i="15"/>
  <c r="BW21" i="15"/>
  <c r="H60" i="22"/>
  <c r="Z33" i="21"/>
  <c r="CB21" i="15"/>
  <c r="P21" i="15"/>
  <c r="AK20" i="15"/>
  <c r="AK33" i="21"/>
  <c r="S34" i="21"/>
  <c r="S49" i="21" s="1"/>
  <c r="AO33" i="21"/>
  <c r="AE21" i="15"/>
  <c r="AZ20" i="15"/>
  <c r="AA20" i="15"/>
  <c r="AA24" i="15" s="1"/>
  <c r="AC32" i="21"/>
  <c r="AC47" i="21" s="1"/>
  <c r="H21" i="22"/>
  <c r="X33" i="21"/>
  <c r="BZ21" i="15"/>
  <c r="N21" i="15"/>
  <c r="H109" i="15"/>
  <c r="AJ33" i="21"/>
  <c r="AM33" i="21"/>
  <c r="CO21" i="15"/>
  <c r="CO24" i="15" s="1"/>
  <c r="AC21" i="15"/>
  <c r="AC24" i="15" s="1"/>
  <c r="AX20" i="15"/>
  <c r="AB33" i="21"/>
  <c r="M34" i="21"/>
  <c r="M49" i="21" s="1"/>
  <c r="O32" i="21"/>
  <c r="O47" i="21" s="1"/>
  <c r="AJ21" i="15"/>
  <c r="AJ24" i="15" s="1"/>
  <c r="BE20" i="15"/>
  <c r="L34" i="21"/>
  <c r="L49" i="21" s="1"/>
  <c r="H93" i="22"/>
  <c r="W20" i="15"/>
  <c r="W24" i="15" s="1"/>
  <c r="H108" i="15"/>
  <c r="AX24" i="15" l="1"/>
  <c r="AM48" i="21"/>
  <c r="AK48" i="21"/>
  <c r="AH48" i="21"/>
  <c r="N48" i="21"/>
  <c r="Q48" i="21"/>
  <c r="J48" i="21"/>
  <c r="AA48" i="21"/>
  <c r="AI48" i="21"/>
  <c r="AJ48" i="21"/>
  <c r="U48" i="21"/>
  <c r="K48" i="21"/>
  <c r="AO48" i="21"/>
  <c r="AQ48" i="21"/>
  <c r="O48" i="21"/>
  <c r="S48" i="21"/>
  <c r="AF48" i="21"/>
  <c r="AB48" i="21"/>
  <c r="AP48" i="21"/>
  <c r="T48" i="21"/>
  <c r="AC48" i="21"/>
  <c r="V48" i="21"/>
  <c r="AN48" i="21"/>
  <c r="Z48" i="21"/>
  <c r="X48" i="21"/>
  <c r="BF24" i="15"/>
  <c r="AV24" i="15"/>
  <c r="CL24" i="15"/>
  <c r="Q24" i="15"/>
  <c r="BD24" i="15"/>
  <c r="Y24" i="15"/>
  <c r="H114" i="15"/>
  <c r="H118" i="15" s="1"/>
  <c r="H120" i="15" s="1"/>
  <c r="H49" i="20" s="1"/>
  <c r="N56" i="20" s="1"/>
  <c r="L24" i="15"/>
  <c r="BS24" i="15"/>
  <c r="BP24" i="15"/>
  <c r="BX24" i="15"/>
  <c r="AG24" i="15"/>
  <c r="BK24" i="15"/>
  <c r="BH24" i="15"/>
  <c r="BA24" i="15"/>
  <c r="AZ24" i="15"/>
  <c r="AY24" i="15"/>
  <c r="AQ24" i="15"/>
  <c r="P24" i="15"/>
  <c r="BI24" i="15"/>
  <c r="BQ24" i="15"/>
  <c r="N24" i="15"/>
  <c r="AS24" i="15"/>
  <c r="BU24" i="15"/>
  <c r="CC24" i="15"/>
  <c r="CK24" i="15"/>
  <c r="CD24" i="15"/>
  <c r="BG24" i="15"/>
  <c r="M58" i="20"/>
  <c r="AP32" i="21"/>
  <c r="AP47" i="21" s="1"/>
  <c r="AN24" i="15"/>
  <c r="AC31" i="21"/>
  <c r="P31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N55" i="20" l="1"/>
  <c r="N58" i="20" s="1"/>
  <c r="H59" i="20" s="1"/>
  <c r="H60" i="20" s="1"/>
  <c r="K40" i="20"/>
  <c r="H29" i="22"/>
  <c r="H27" i="22"/>
  <c r="M115" i="22"/>
  <c r="M118" i="22" s="1"/>
  <c r="M120" i="22" s="1"/>
  <c r="N115" i="22"/>
  <c r="N114" i="22"/>
  <c r="H53" i="15"/>
  <c r="H128" i="15" s="1"/>
  <c r="H52" i="15"/>
  <c r="H85" i="15"/>
  <c r="H56" i="15"/>
  <c r="H105" i="15" s="1"/>
  <c r="H124" i="15" s="1"/>
  <c r="H131" i="15" s="1"/>
  <c r="H84" i="15"/>
  <c r="H54" i="15"/>
  <c r="H129" i="15" s="1"/>
  <c r="H55" i="15"/>
  <c r="H130" i="15" s="1"/>
  <c r="H25" i="15"/>
  <c r="H83" i="15"/>
  <c r="H86" i="15"/>
  <c r="J40" i="20"/>
  <c r="H41" i="20" l="1"/>
  <c r="H42" i="20" s="1"/>
  <c r="H88" i="15"/>
  <c r="H89" i="15" s="1"/>
  <c r="H58" i="15"/>
  <c r="H62" i="15" s="1"/>
  <c r="H63" i="15" s="1"/>
  <c r="H127" i="15"/>
  <c r="H133" i="15" s="1"/>
  <c r="H134" i="15" s="1"/>
  <c r="H59" i="15"/>
  <c r="N118" i="22"/>
  <c r="N120" i="22" s="1"/>
  <c r="M62" i="20"/>
  <c r="M45" i="22" s="1"/>
  <c r="N62" i="20"/>
  <c r="N45" i="22" s="1"/>
  <c r="L62" i="20"/>
  <c r="L45" i="22" s="1"/>
  <c r="J62" i="20"/>
  <c r="K62" i="20"/>
  <c r="K45" i="22" s="1"/>
  <c r="L44" i="20" l="1"/>
  <c r="L35" i="22" s="1"/>
  <c r="J44" i="20"/>
  <c r="J35" i="22"/>
  <c r="N44" i="20"/>
  <c r="N35" i="22" s="1"/>
  <c r="K44" i="20"/>
  <c r="K35" i="22" s="1"/>
  <c r="M44" i="20"/>
  <c r="M35" i="22" s="1"/>
  <c r="H140" i="15"/>
  <c r="H84" i="21" s="1"/>
  <c r="H139" i="15"/>
  <c r="H83" i="21" s="1"/>
  <c r="H137" i="15"/>
  <c r="H81" i="21" s="1"/>
  <c r="H141" i="15"/>
  <c r="H85" i="21" s="1"/>
  <c r="H138" i="15"/>
  <c r="H82" i="21" s="1"/>
  <c r="H93" i="15"/>
  <c r="H164" i="22" s="1"/>
  <c r="H92" i="15"/>
  <c r="H95" i="15"/>
  <c r="H166" i="22" s="1"/>
  <c r="H94" i="15"/>
  <c r="H165" i="22" s="1"/>
  <c r="J45" i="22"/>
  <c r="H63" i="20"/>
  <c r="H136" i="22"/>
  <c r="H60" i="15"/>
  <c r="H45" i="20" l="1"/>
  <c r="H67" i="20" s="1"/>
  <c r="H163" i="22"/>
  <c r="H97" i="15"/>
  <c r="H143" i="15"/>
  <c r="H68" i="15"/>
  <c r="H76" i="21" s="1"/>
  <c r="H69" i="15"/>
  <c r="H77" i="21" s="1"/>
  <c r="H70" i="15"/>
  <c r="H78" i="21" s="1"/>
  <c r="H67" i="15"/>
  <c r="H75" i="21" s="1"/>
  <c r="H66" i="15"/>
  <c r="H74" i="21" s="1"/>
  <c r="H37" i="33" l="1"/>
  <c r="A4" i="20"/>
  <c r="H72" i="15"/>
  <c r="H75" i="15"/>
  <c r="H38" i="21" s="1"/>
  <c r="H76" i="15"/>
  <c r="H78" i="15" l="1"/>
  <c r="H147" i="15" s="1"/>
  <c r="H34" i="33" l="1"/>
  <c r="A4" i="15"/>
  <c r="AG126" i="21" l="1"/>
  <c r="AG130" i="21" s="1"/>
  <c r="AM126" i="21"/>
  <c r="AM130" i="21" s="1"/>
  <c r="AP126" i="21"/>
  <c r="AP130" i="21" s="1"/>
  <c r="O130" i="21"/>
  <c r="O126" i="21"/>
  <c r="P126" i="21"/>
  <c r="P130" i="21" s="1"/>
  <c r="L126" i="21"/>
  <c r="L130" i="21" s="1"/>
  <c r="Y130" i="21"/>
  <c r="Y126" i="21"/>
  <c r="AJ126" i="21"/>
  <c r="AJ130" i="21" s="1"/>
  <c r="N126" i="21"/>
  <c r="N130" i="21" s="1"/>
  <c r="Z126" i="21"/>
  <c r="Z130" i="21" s="1"/>
  <c r="AH126" i="21"/>
  <c r="AH130" i="21" s="1"/>
  <c r="V130" i="21"/>
  <c r="V126" i="21"/>
  <c r="AQ126" i="21"/>
  <c r="AQ130" i="21" s="1"/>
  <c r="AK126" i="21"/>
  <c r="AK130" i="21" s="1"/>
  <c r="AB130" i="21"/>
  <c r="AB126" i="21"/>
  <c r="AC126" i="21"/>
  <c r="AC130" i="21" s="1"/>
  <c r="U126" i="21"/>
  <c r="U130" i="21" s="1"/>
  <c r="S126" i="21"/>
  <c r="S130" i="21" s="1"/>
  <c r="AN126" i="21"/>
  <c r="AN130" i="21" s="1"/>
  <c r="AA130" i="21"/>
  <c r="AA126" i="21"/>
  <c r="M126" i="21"/>
  <c r="M130" i="21" s="1"/>
  <c r="AF126" i="21"/>
  <c r="AF130" i="21" s="1"/>
  <c r="R130" i="21"/>
  <c r="R126" i="21"/>
  <c r="T126" i="21"/>
  <c r="T130" i="21" s="1"/>
  <c r="AL126" i="21"/>
  <c r="AL130" i="21" s="1"/>
  <c r="Q126" i="21"/>
  <c r="Q130" i="21" s="1"/>
  <c r="W126" i="21"/>
  <c r="W130" i="21" s="1"/>
  <c r="K130" i="21"/>
  <c r="K126" i="21"/>
  <c r="AI126" i="21"/>
  <c r="AI130" i="21" s="1"/>
  <c r="AE126" i="21"/>
  <c r="AE130" i="21" s="1"/>
  <c r="X130" i="21"/>
  <c r="X126" i="21"/>
  <c r="AO126" i="21"/>
  <c r="AO130" i="21" s="1"/>
  <c r="AD126" i="21"/>
  <c r="AD130" i="21" s="1"/>
  <c r="AB42" i="21"/>
  <c r="AB45" i="21" s="1"/>
  <c r="L42" i="21"/>
  <c r="L45" i="21" s="1"/>
  <c r="Z42" i="21"/>
  <c r="Z45" i="21" s="1"/>
  <c r="AK42" i="21"/>
  <c r="AK45" i="21" s="1"/>
  <c r="R42" i="21"/>
  <c r="R45" i="21" s="1"/>
  <c r="Q42" i="21"/>
  <c r="Q45" i="21" s="1"/>
  <c r="AL42" i="21"/>
  <c r="AL45" i="21" s="1"/>
  <c r="AH42" i="21"/>
  <c r="AH45" i="21" s="1"/>
  <c r="T42" i="21"/>
  <c r="T45" i="21" s="1"/>
  <c r="AD42" i="21"/>
  <c r="AD45" i="21" s="1"/>
  <c r="K42" i="21"/>
  <c r="K45" i="21" s="1"/>
  <c r="K46" i="21" s="1"/>
  <c r="Y42" i="21"/>
  <c r="Y45" i="21" s="1"/>
  <c r="AC42" i="21"/>
  <c r="AC45" i="21" s="1"/>
  <c r="AM42" i="21"/>
  <c r="AM45" i="21" s="1"/>
  <c r="X42" i="21"/>
  <c r="X45" i="21" s="1"/>
  <c r="AE42" i="21"/>
  <c r="AE45" i="21" s="1"/>
  <c r="S42" i="21"/>
  <c r="S45" i="21" s="1"/>
  <c r="J42" i="21"/>
  <c r="AJ42" i="21"/>
  <c r="AJ45" i="21" s="1"/>
  <c r="AG42" i="21"/>
  <c r="AG45" i="21" s="1"/>
  <c r="U42" i="21"/>
  <c r="U45" i="21" s="1"/>
  <c r="P42" i="21"/>
  <c r="P45" i="21" s="1"/>
  <c r="W42" i="21"/>
  <c r="W45" i="21" s="1"/>
  <c r="O42" i="21"/>
  <c r="O45" i="21" s="1"/>
  <c r="AI42" i="21"/>
  <c r="AI45" i="21" s="1"/>
  <c r="V42" i="21"/>
  <c r="V45" i="21" s="1"/>
  <c r="N42" i="21"/>
  <c r="N45" i="21" s="1"/>
  <c r="AR42" i="21"/>
  <c r="AR45" i="21" s="1"/>
  <c r="M42" i="21"/>
  <c r="M45" i="21" s="1"/>
  <c r="AA42" i="21"/>
  <c r="AA45" i="21" s="1"/>
  <c r="AQ42" i="21"/>
  <c r="AQ45" i="21" s="1"/>
  <c r="AO42" i="21"/>
  <c r="AO45" i="21" s="1"/>
  <c r="AN42" i="21"/>
  <c r="AN45" i="21" s="1"/>
  <c r="AF42" i="21"/>
  <c r="AF45" i="21" s="1"/>
  <c r="AP42" i="21"/>
  <c r="AP45" i="21" s="1"/>
  <c r="AK67" i="21"/>
  <c r="L67" i="21"/>
  <c r="Z67" i="21"/>
  <c r="AP67" i="21"/>
  <c r="AH67" i="21"/>
  <c r="P67" i="21"/>
  <c r="AF67" i="21"/>
  <c r="AL67" i="21"/>
  <c r="T67" i="21"/>
  <c r="W67" i="21"/>
  <c r="AD67" i="21"/>
  <c r="AQ67" i="21"/>
  <c r="J67" i="21"/>
  <c r="O67" i="21"/>
  <c r="R67" i="21"/>
  <c r="AB67" i="21"/>
  <c r="AE67" i="21"/>
  <c r="AJ67" i="21"/>
  <c r="AM67" i="21"/>
  <c r="V67" i="21"/>
  <c r="Q67" i="21"/>
  <c r="AO67" i="21"/>
  <c r="M67" i="21"/>
  <c r="X67" i="21"/>
  <c r="S67" i="21"/>
  <c r="U67" i="21"/>
  <c r="Y67" i="21"/>
  <c r="AI67" i="21"/>
  <c r="AN67" i="21"/>
  <c r="K67" i="21"/>
  <c r="N67" i="21"/>
  <c r="AA67" i="21"/>
  <c r="AC67" i="21"/>
  <c r="AG67" i="21"/>
  <c r="AR67" i="21"/>
  <c r="J126" i="21"/>
  <c r="J130" i="21" s="1"/>
  <c r="AR126" i="21"/>
  <c r="AR130" i="21" s="1"/>
  <c r="J45" i="21"/>
  <c r="J46" i="21" s="1"/>
  <c r="V46" i="21" l="1"/>
  <c r="V51" i="21" s="1"/>
  <c r="V62" i="21" s="1"/>
  <c r="Q46" i="21"/>
  <c r="Q51" i="21" s="1"/>
  <c r="Q62" i="21" s="1"/>
  <c r="M46" i="21"/>
  <c r="M51" i="21" s="1"/>
  <c r="M62" i="21" s="1"/>
  <c r="U46" i="21"/>
  <c r="U51" i="21" s="1"/>
  <c r="U62" i="21" s="1"/>
  <c r="R46" i="21"/>
  <c r="R51" i="21" s="1"/>
  <c r="R62" i="21" s="1"/>
  <c r="AR46" i="21"/>
  <c r="AR51" i="21" s="1"/>
  <c r="AR62" i="21" s="1"/>
  <c r="AG46" i="21"/>
  <c r="Y46" i="21"/>
  <c r="Y51" i="21" s="1"/>
  <c r="Y62" i="21" s="1"/>
  <c r="AK46" i="21"/>
  <c r="AP46" i="21"/>
  <c r="AP51" i="21" s="1"/>
  <c r="AP62" i="21" s="1"/>
  <c r="J51" i="21"/>
  <c r="J62" i="21" s="1"/>
  <c r="L46" i="21"/>
  <c r="L51" i="21" s="1"/>
  <c r="L62" i="21" s="1"/>
  <c r="AI46" i="21"/>
  <c r="AI51" i="21" s="1"/>
  <c r="AI62" i="21" s="1"/>
  <c r="AO46" i="21"/>
  <c r="AO51" i="21" s="1"/>
  <c r="AO62" i="21" s="1"/>
  <c r="O46" i="21"/>
  <c r="O51" i="21" s="1"/>
  <c r="O62" i="21" s="1"/>
  <c r="AE46" i="21"/>
  <c r="AE51" i="21" s="1"/>
  <c r="AE62" i="21" s="1"/>
  <c r="AH46" i="21"/>
  <c r="H131" i="21"/>
  <c r="AQ46" i="21"/>
  <c r="AQ51" i="21" s="1"/>
  <c r="AQ62" i="21" s="1"/>
  <c r="AL46" i="21"/>
  <c r="Z46" i="21"/>
  <c r="Z51" i="21" s="1"/>
  <c r="Z62" i="21" s="1"/>
  <c r="AM46" i="21"/>
  <c r="AM51" i="21" s="1"/>
  <c r="AM62" i="21" s="1"/>
  <c r="AD46" i="21"/>
  <c r="AD51" i="21" s="1"/>
  <c r="AD62" i="21" s="1"/>
  <c r="AJ46" i="21"/>
  <c r="AJ51" i="21" s="1"/>
  <c r="AJ62" i="21" s="1"/>
  <c r="N46" i="21"/>
  <c r="N51" i="21" s="1"/>
  <c r="N62" i="21" s="1"/>
  <c r="AC46" i="21"/>
  <c r="AC51" i="21" s="1"/>
  <c r="AC62" i="21" s="1"/>
  <c r="AF46" i="21"/>
  <c r="AN46" i="21"/>
  <c r="AN51" i="21" s="1"/>
  <c r="AN62" i="21" s="1"/>
  <c r="S46" i="21"/>
  <c r="S51" i="21" s="1"/>
  <c r="S62" i="21" s="1"/>
  <c r="T46" i="21"/>
  <c r="AB46" i="21"/>
  <c r="AB51" i="21" s="1"/>
  <c r="AB62" i="21" s="1"/>
  <c r="P46" i="21"/>
  <c r="P51" i="21" s="1"/>
  <c r="P62" i="21" s="1"/>
  <c r="AA46" i="21"/>
  <c r="K51" i="21"/>
  <c r="K62" i="21" s="1"/>
  <c r="W46" i="21"/>
  <c r="X46" i="21"/>
  <c r="X51" i="21" s="1"/>
  <c r="X62" i="21" s="1"/>
  <c r="R69" i="21" l="1"/>
  <c r="AJ69" i="21"/>
  <c r="AN69" i="21"/>
  <c r="P69" i="21"/>
  <c r="P121" i="21" s="1"/>
  <c r="P128" i="21" s="1"/>
  <c r="AP69" i="21"/>
  <c r="AD69" i="21"/>
  <c r="AD121" i="21" s="1"/>
  <c r="AD128" i="21" s="1"/>
  <c r="AM69" i="21"/>
  <c r="AO69" i="21"/>
  <c r="AO121" i="21" s="1"/>
  <c r="AO128" i="21" s="1"/>
  <c r="L69" i="21"/>
  <c r="AR69" i="21"/>
  <c r="AR121" i="21" s="1"/>
  <c r="AR128" i="21" s="1"/>
  <c r="U69" i="21"/>
  <c r="U121" i="21" s="1"/>
  <c r="U128" i="21" s="1"/>
  <c r="Q69" i="21"/>
  <c r="Q121" i="21" s="1"/>
  <c r="Q128" i="21" s="1"/>
  <c r="Y69" i="21"/>
  <c r="Y121" i="21" s="1"/>
  <c r="Y128" i="21" s="1"/>
  <c r="AB69" i="21"/>
  <c r="AB121" i="21" s="1"/>
  <c r="AB128" i="21" s="1"/>
  <c r="O69" i="21"/>
  <c r="O121" i="21" s="1"/>
  <c r="O128" i="21" s="1"/>
  <c r="S69" i="21"/>
  <c r="S121" i="21" s="1"/>
  <c r="S128" i="21" s="1"/>
  <c r="K69" i="21"/>
  <c r="K121" i="21" s="1"/>
  <c r="K128" i="21" s="1"/>
  <c r="AC69" i="21"/>
  <c r="AC121" i="21" s="1"/>
  <c r="AC128" i="21" s="1"/>
  <c r="AQ69" i="21"/>
  <c r="X69" i="21"/>
  <c r="X121" i="21" s="1"/>
  <c r="X128" i="21" s="1"/>
  <c r="AI69" i="21"/>
  <c r="AI121" i="21" s="1"/>
  <c r="AI128" i="21" s="1"/>
  <c r="J69" i="21"/>
  <c r="J121" i="21" s="1"/>
  <c r="J128" i="21" s="1"/>
  <c r="AL51" i="21"/>
  <c r="AL62" i="21" s="1"/>
  <c r="AH51" i="21"/>
  <c r="AH62" i="21" s="1"/>
  <c r="AA51" i="21"/>
  <c r="AA62" i="21" s="1"/>
  <c r="T51" i="21"/>
  <c r="T62" i="21" s="1"/>
  <c r="AK51" i="21"/>
  <c r="AK62" i="21" s="1"/>
  <c r="AG51" i="21"/>
  <c r="AG62" i="21" s="1"/>
  <c r="Z69" i="21"/>
  <c r="Z121" i="21" s="1"/>
  <c r="Z128" i="21" s="1"/>
  <c r="M69" i="21"/>
  <c r="M121" i="21" s="1"/>
  <c r="M128" i="21" s="1"/>
  <c r="V69" i="21"/>
  <c r="V121" i="21" s="1"/>
  <c r="V128" i="21" s="1"/>
  <c r="N69" i="21"/>
  <c r="N121" i="21" s="1"/>
  <c r="N128" i="21" s="1"/>
  <c r="W51" i="21"/>
  <c r="W62" i="21" s="1"/>
  <c r="AF51" i="21"/>
  <c r="AF62" i="21" s="1"/>
  <c r="AE69" i="21"/>
  <c r="AE121" i="21" s="1"/>
  <c r="AE128" i="21" s="1"/>
  <c r="AM94" i="21" l="1"/>
  <c r="AM145" i="21" s="1"/>
  <c r="AM93" i="21"/>
  <c r="AM144" i="21" s="1"/>
  <c r="AM24" i="38" s="1"/>
  <c r="AM98" i="21"/>
  <c r="AM149" i="21" s="1"/>
  <c r="AM100" i="21"/>
  <c r="AM151" i="21" s="1"/>
  <c r="AM101" i="21"/>
  <c r="AM152" i="21" s="1"/>
  <c r="AM32" i="38" s="1"/>
  <c r="AM91" i="21"/>
  <c r="AM142" i="21" s="1"/>
  <c r="AM22" i="38" s="1"/>
  <c r="AM99" i="21"/>
  <c r="AM150" i="21" s="1"/>
  <c r="AM30" i="38" s="1"/>
  <c r="AM92" i="21"/>
  <c r="AM143" i="21" s="1"/>
  <c r="AM23" i="38" s="1"/>
  <c r="AM90" i="21"/>
  <c r="AM97" i="21"/>
  <c r="W69" i="21"/>
  <c r="W121" i="21" s="1"/>
  <c r="W128" i="21" s="1"/>
  <c r="AC100" i="21"/>
  <c r="AC151" i="21" s="1"/>
  <c r="AC90" i="21"/>
  <c r="AC141" i="21" s="1"/>
  <c r="AC21" i="38" s="1"/>
  <c r="AC97" i="21"/>
  <c r="AC148" i="21" s="1"/>
  <c r="AC99" i="21"/>
  <c r="AC150" i="21" s="1"/>
  <c r="AC30" i="38" s="1"/>
  <c r="AC101" i="21"/>
  <c r="AC152" i="21" s="1"/>
  <c r="AC32" i="38" s="1"/>
  <c r="AC91" i="21"/>
  <c r="AC142" i="21" s="1"/>
  <c r="AC22" i="38" s="1"/>
  <c r="AC92" i="21"/>
  <c r="AC143" i="21" s="1"/>
  <c r="AC23" i="38" s="1"/>
  <c r="AC94" i="21"/>
  <c r="AC145" i="21" s="1"/>
  <c r="AC98" i="21"/>
  <c r="AC149" i="21" s="1"/>
  <c r="AC93" i="21"/>
  <c r="AC144" i="21" s="1"/>
  <c r="AC24" i="38" s="1"/>
  <c r="AB94" i="21"/>
  <c r="AB145" i="21" s="1"/>
  <c r="AB101" i="21"/>
  <c r="AB152" i="21" s="1"/>
  <c r="AB32" i="38" s="1"/>
  <c r="AB98" i="21"/>
  <c r="AB149" i="21" s="1"/>
  <c r="AB97" i="21"/>
  <c r="AB148" i="21" s="1"/>
  <c r="AB100" i="21"/>
  <c r="AB151" i="21" s="1"/>
  <c r="AB99" i="21"/>
  <c r="AB150" i="21" s="1"/>
  <c r="AB30" i="38" s="1"/>
  <c r="AB91" i="21"/>
  <c r="AB142" i="21" s="1"/>
  <c r="AB22" i="38" s="1"/>
  <c r="AB92" i="21"/>
  <c r="AB143" i="21" s="1"/>
  <c r="AB23" i="38" s="1"/>
  <c r="AB90" i="21"/>
  <c r="AB141" i="21" s="1"/>
  <c r="AB21" i="38" s="1"/>
  <c r="AB93" i="21"/>
  <c r="AB144" i="21" s="1"/>
  <c r="AB24" i="38" s="1"/>
  <c r="AO100" i="21"/>
  <c r="AO151" i="21" s="1"/>
  <c r="AO94" i="21"/>
  <c r="AO145" i="21" s="1"/>
  <c r="AO101" i="21"/>
  <c r="AO152" i="21" s="1"/>
  <c r="AO32" i="38" s="1"/>
  <c r="AO97" i="21"/>
  <c r="AO148" i="21" s="1"/>
  <c r="AO98" i="21"/>
  <c r="AO149" i="21" s="1"/>
  <c r="AO90" i="21"/>
  <c r="AO141" i="21" s="1"/>
  <c r="AO21" i="38" s="1"/>
  <c r="AO99" i="21"/>
  <c r="AO150" i="21" s="1"/>
  <c r="AO30" i="38" s="1"/>
  <c r="AO93" i="21"/>
  <c r="AO144" i="21" s="1"/>
  <c r="AO24" i="38" s="1"/>
  <c r="AO92" i="21"/>
  <c r="AO143" i="21" s="1"/>
  <c r="AO23" i="38" s="1"/>
  <c r="AO91" i="21"/>
  <c r="AO142" i="21" s="1"/>
  <c r="AO22" i="38" s="1"/>
  <c r="K94" i="21"/>
  <c r="K145" i="21" s="1"/>
  <c r="K92" i="21"/>
  <c r="K143" i="21" s="1"/>
  <c r="K23" i="38" s="1"/>
  <c r="K91" i="21"/>
  <c r="K142" i="21" s="1"/>
  <c r="K22" i="38" s="1"/>
  <c r="K100" i="21"/>
  <c r="K151" i="21" s="1"/>
  <c r="K97" i="21"/>
  <c r="K148" i="21" s="1"/>
  <c r="K93" i="21"/>
  <c r="K144" i="21" s="1"/>
  <c r="K24" i="38" s="1"/>
  <c r="K101" i="21"/>
  <c r="K152" i="21" s="1"/>
  <c r="K32" i="38" s="1"/>
  <c r="K90" i="21"/>
  <c r="K141" i="21" s="1"/>
  <c r="K21" i="38" s="1"/>
  <c r="K98" i="21"/>
  <c r="K149" i="21" s="1"/>
  <c r="K99" i="21"/>
  <c r="K150" i="21" s="1"/>
  <c r="K30" i="38" s="1"/>
  <c r="Q94" i="21"/>
  <c r="Q145" i="21" s="1"/>
  <c r="Q100" i="21"/>
  <c r="Q151" i="21" s="1"/>
  <c r="Q99" i="21"/>
  <c r="Q150" i="21" s="1"/>
  <c r="Q30" i="38" s="1"/>
  <c r="Q91" i="21"/>
  <c r="Q142" i="21" s="1"/>
  <c r="Q22" i="38" s="1"/>
  <c r="Q92" i="21"/>
  <c r="Q143" i="21" s="1"/>
  <c r="Q23" i="38" s="1"/>
  <c r="Q98" i="21"/>
  <c r="Q149" i="21" s="1"/>
  <c r="Q90" i="21"/>
  <c r="Q141" i="21" s="1"/>
  <c r="Q21" i="38" s="1"/>
  <c r="Q97" i="21"/>
  <c r="Q148" i="21" s="1"/>
  <c r="Q93" i="21"/>
  <c r="Q144" i="21" s="1"/>
  <c r="Q24" i="38" s="1"/>
  <c r="Q101" i="21"/>
  <c r="Q152" i="21" s="1"/>
  <c r="Q32" i="38" s="1"/>
  <c r="P94" i="21"/>
  <c r="P145" i="21" s="1"/>
  <c r="P100" i="21"/>
  <c r="P151" i="21" s="1"/>
  <c r="P99" i="21"/>
  <c r="P150" i="21" s="1"/>
  <c r="P30" i="38" s="1"/>
  <c r="P90" i="21"/>
  <c r="P141" i="21" s="1"/>
  <c r="P21" i="38" s="1"/>
  <c r="P101" i="21"/>
  <c r="P152" i="21" s="1"/>
  <c r="P32" i="38" s="1"/>
  <c r="P98" i="21"/>
  <c r="P149" i="21" s="1"/>
  <c r="P97" i="21"/>
  <c r="P148" i="21" s="1"/>
  <c r="P93" i="21"/>
  <c r="P144" i="21" s="1"/>
  <c r="P24" i="38" s="1"/>
  <c r="P91" i="21"/>
  <c r="P142" i="21" s="1"/>
  <c r="P22" i="38" s="1"/>
  <c r="P92" i="21"/>
  <c r="P143" i="21" s="1"/>
  <c r="P23" i="38" s="1"/>
  <c r="AN94" i="21"/>
  <c r="AN145" i="21" s="1"/>
  <c r="AN100" i="21"/>
  <c r="AN151" i="21" s="1"/>
  <c r="AN93" i="21"/>
  <c r="AN144" i="21" s="1"/>
  <c r="AN24" i="38" s="1"/>
  <c r="AN92" i="21"/>
  <c r="AN143" i="21" s="1"/>
  <c r="AN23" i="38" s="1"/>
  <c r="AN99" i="21"/>
  <c r="AN150" i="21" s="1"/>
  <c r="AN30" i="38" s="1"/>
  <c r="AN91" i="21"/>
  <c r="AN142" i="21" s="1"/>
  <c r="AN22" i="38" s="1"/>
  <c r="AN97" i="21"/>
  <c r="AN101" i="21"/>
  <c r="AN152" i="21" s="1"/>
  <c r="AN32" i="38" s="1"/>
  <c r="AN90" i="21"/>
  <c r="AN98" i="21"/>
  <c r="AN149" i="21" s="1"/>
  <c r="U94" i="21"/>
  <c r="U145" i="21" s="1"/>
  <c r="U98" i="21"/>
  <c r="U149" i="21" s="1"/>
  <c r="U101" i="21"/>
  <c r="U152" i="21" s="1"/>
  <c r="U32" i="38" s="1"/>
  <c r="U97" i="21"/>
  <c r="U148" i="21" s="1"/>
  <c r="U92" i="21"/>
  <c r="U143" i="21" s="1"/>
  <c r="U23" i="38" s="1"/>
  <c r="U93" i="21"/>
  <c r="U144" i="21" s="1"/>
  <c r="U24" i="38" s="1"/>
  <c r="U100" i="21"/>
  <c r="U151" i="21" s="1"/>
  <c r="U99" i="21"/>
  <c r="U150" i="21" s="1"/>
  <c r="U30" i="38" s="1"/>
  <c r="U90" i="21"/>
  <c r="U141" i="21" s="1"/>
  <c r="U21" i="38" s="1"/>
  <c r="U91" i="21"/>
  <c r="U142" i="21" s="1"/>
  <c r="U22" i="38" s="1"/>
  <c r="AN121" i="21"/>
  <c r="AN128" i="21" s="1"/>
  <c r="AJ100" i="21"/>
  <c r="AJ151" i="21" s="1"/>
  <c r="AJ94" i="21"/>
  <c r="AJ145" i="21" s="1"/>
  <c r="AJ98" i="21"/>
  <c r="AJ149" i="21" s="1"/>
  <c r="AJ93" i="21"/>
  <c r="AJ144" i="21" s="1"/>
  <c r="AJ24" i="38" s="1"/>
  <c r="AJ97" i="21"/>
  <c r="AJ92" i="21"/>
  <c r="AJ143" i="21" s="1"/>
  <c r="AJ23" i="38" s="1"/>
  <c r="AJ90" i="21"/>
  <c r="AJ99" i="21"/>
  <c r="AJ150" i="21" s="1"/>
  <c r="AJ30" i="38" s="1"/>
  <c r="AJ101" i="21"/>
  <c r="AJ152" i="21" s="1"/>
  <c r="AJ32" i="38" s="1"/>
  <c r="AJ91" i="21"/>
  <c r="AJ142" i="21" s="1"/>
  <c r="AJ22" i="38" s="1"/>
  <c r="AL69" i="21"/>
  <c r="AL121" i="21" s="1"/>
  <c r="AL128" i="21" s="1"/>
  <c r="AM121" i="21"/>
  <c r="AM128" i="21" s="1"/>
  <c r="AE94" i="21"/>
  <c r="AE145" i="21" s="1"/>
  <c r="AE90" i="21"/>
  <c r="AE141" i="21" s="1"/>
  <c r="AE21" i="38" s="1"/>
  <c r="AE91" i="21"/>
  <c r="AE142" i="21" s="1"/>
  <c r="AE22" i="38" s="1"/>
  <c r="AE97" i="21"/>
  <c r="AE148" i="21" s="1"/>
  <c r="AE101" i="21"/>
  <c r="AE152" i="21" s="1"/>
  <c r="AE32" i="38" s="1"/>
  <c r="AE99" i="21"/>
  <c r="AE150" i="21" s="1"/>
  <c r="AE30" i="38" s="1"/>
  <c r="AE93" i="21"/>
  <c r="AE144" i="21" s="1"/>
  <c r="AE24" i="38" s="1"/>
  <c r="AE100" i="21"/>
  <c r="AE151" i="21" s="1"/>
  <c r="AE92" i="21"/>
  <c r="AE143" i="21" s="1"/>
  <c r="AE23" i="38" s="1"/>
  <c r="AE98" i="21"/>
  <c r="AE149" i="21" s="1"/>
  <c r="T69" i="21"/>
  <c r="T121" i="21" s="1"/>
  <c r="T128" i="21" s="1"/>
  <c r="AF69" i="21"/>
  <c r="AF121" i="21" s="1"/>
  <c r="AF128" i="21" s="1"/>
  <c r="V100" i="21"/>
  <c r="V151" i="21" s="1"/>
  <c r="V94" i="21"/>
  <c r="V145" i="21" s="1"/>
  <c r="V97" i="21"/>
  <c r="V148" i="21" s="1"/>
  <c r="V93" i="21"/>
  <c r="V144" i="21" s="1"/>
  <c r="V24" i="38" s="1"/>
  <c r="V90" i="21"/>
  <c r="V141" i="21" s="1"/>
  <c r="V21" i="38" s="1"/>
  <c r="V101" i="21"/>
  <c r="V152" i="21" s="1"/>
  <c r="V32" i="38" s="1"/>
  <c r="V98" i="21"/>
  <c r="V149" i="21" s="1"/>
  <c r="V92" i="21"/>
  <c r="V143" i="21" s="1"/>
  <c r="V23" i="38" s="1"/>
  <c r="V91" i="21"/>
  <c r="V142" i="21" s="1"/>
  <c r="V22" i="38" s="1"/>
  <c r="V99" i="21"/>
  <c r="V150" i="21" s="1"/>
  <c r="V30" i="38" s="1"/>
  <c r="Z94" i="21"/>
  <c r="Z145" i="21" s="1"/>
  <c r="Z91" i="21"/>
  <c r="Z142" i="21" s="1"/>
  <c r="Z22" i="38" s="1"/>
  <c r="Z98" i="21"/>
  <c r="Z149" i="21" s="1"/>
  <c r="Z101" i="21"/>
  <c r="Z152" i="21" s="1"/>
  <c r="Z32" i="38" s="1"/>
  <c r="Z93" i="21"/>
  <c r="Z144" i="21" s="1"/>
  <c r="Z24" i="38" s="1"/>
  <c r="Z100" i="21"/>
  <c r="Z151" i="21" s="1"/>
  <c r="Z99" i="21"/>
  <c r="Z150" i="21" s="1"/>
  <c r="Z30" i="38" s="1"/>
  <c r="Z92" i="21"/>
  <c r="Z143" i="21" s="1"/>
  <c r="Z23" i="38" s="1"/>
  <c r="Z90" i="21"/>
  <c r="Z141" i="21" s="1"/>
  <c r="Z21" i="38" s="1"/>
  <c r="Z97" i="21"/>
  <c r="Z148" i="21" s="1"/>
  <c r="AA69" i="21"/>
  <c r="AI94" i="21"/>
  <c r="AI145" i="21" s="1"/>
  <c r="AI100" i="21"/>
  <c r="AI151" i="21" s="1"/>
  <c r="AI91" i="21"/>
  <c r="AI142" i="21" s="1"/>
  <c r="AI22" i="38" s="1"/>
  <c r="AI92" i="21"/>
  <c r="AI143" i="21" s="1"/>
  <c r="AI23" i="38" s="1"/>
  <c r="AI99" i="21"/>
  <c r="AI150" i="21" s="1"/>
  <c r="AI30" i="38" s="1"/>
  <c r="AI101" i="21"/>
  <c r="AI152" i="21" s="1"/>
  <c r="AI32" i="38" s="1"/>
  <c r="AI97" i="21"/>
  <c r="AI148" i="21" s="1"/>
  <c r="AI98" i="21"/>
  <c r="AI149" i="21" s="1"/>
  <c r="AI93" i="21"/>
  <c r="AI144" i="21" s="1"/>
  <c r="AI24" i="38" s="1"/>
  <c r="AI90" i="21"/>
  <c r="AI141" i="21" s="1"/>
  <c r="AI21" i="38" s="1"/>
  <c r="O100" i="21"/>
  <c r="O151" i="21" s="1"/>
  <c r="O94" i="21"/>
  <c r="O145" i="21" s="1"/>
  <c r="O99" i="21"/>
  <c r="O150" i="21" s="1"/>
  <c r="O30" i="38" s="1"/>
  <c r="O90" i="21"/>
  <c r="O141" i="21" s="1"/>
  <c r="O21" i="38" s="1"/>
  <c r="O97" i="21"/>
  <c r="O148" i="21" s="1"/>
  <c r="O92" i="21"/>
  <c r="O143" i="21" s="1"/>
  <c r="O23" i="38" s="1"/>
  <c r="O101" i="21"/>
  <c r="O152" i="21" s="1"/>
  <c r="O32" i="38" s="1"/>
  <c r="O91" i="21"/>
  <c r="O142" i="21" s="1"/>
  <c r="O22" i="38" s="1"/>
  <c r="O93" i="21"/>
  <c r="O144" i="21" s="1"/>
  <c r="O24" i="38" s="1"/>
  <c r="O98" i="21"/>
  <c r="O149" i="21" s="1"/>
  <c r="AR98" i="21"/>
  <c r="AR149" i="21" s="1"/>
  <c r="AR93" i="21"/>
  <c r="AR144" i="21" s="1"/>
  <c r="AR24" i="38" s="1"/>
  <c r="AR100" i="21"/>
  <c r="AR151" i="21" s="1"/>
  <c r="AR97" i="21"/>
  <c r="AR148" i="21" s="1"/>
  <c r="AR99" i="21"/>
  <c r="AR150" i="21" s="1"/>
  <c r="AR30" i="38" s="1"/>
  <c r="AR90" i="21"/>
  <c r="AR141" i="21" s="1"/>
  <c r="AR21" i="38" s="1"/>
  <c r="AR92" i="21"/>
  <c r="AR143" i="21" s="1"/>
  <c r="AR23" i="38" s="1"/>
  <c r="AR91" i="21"/>
  <c r="AR142" i="21" s="1"/>
  <c r="AR22" i="38" s="1"/>
  <c r="AR94" i="21"/>
  <c r="AR145" i="21" s="1"/>
  <c r="AR101" i="21"/>
  <c r="AR152" i="21" s="1"/>
  <c r="AR32" i="38" s="1"/>
  <c r="AD94" i="21"/>
  <c r="AD145" i="21" s="1"/>
  <c r="AD100" i="21"/>
  <c r="AD151" i="21" s="1"/>
  <c r="AD90" i="21"/>
  <c r="AD141" i="21" s="1"/>
  <c r="AD21" i="38" s="1"/>
  <c r="AD97" i="21"/>
  <c r="AD148" i="21" s="1"/>
  <c r="AD91" i="21"/>
  <c r="AD142" i="21" s="1"/>
  <c r="AD22" i="38" s="1"/>
  <c r="AD101" i="21"/>
  <c r="AD152" i="21" s="1"/>
  <c r="AD32" i="38" s="1"/>
  <c r="AD93" i="21"/>
  <c r="AD144" i="21" s="1"/>
  <c r="AD24" i="38" s="1"/>
  <c r="AD99" i="21"/>
  <c r="AD150" i="21" s="1"/>
  <c r="AD30" i="38" s="1"/>
  <c r="AD98" i="21"/>
  <c r="AD149" i="21" s="1"/>
  <c r="AD92" i="21"/>
  <c r="AD143" i="21" s="1"/>
  <c r="AD23" i="38" s="1"/>
  <c r="AJ121" i="21"/>
  <c r="AJ128" i="21" s="1"/>
  <c r="J92" i="21"/>
  <c r="J143" i="21" s="1"/>
  <c r="J23" i="38" s="1"/>
  <c r="J98" i="21"/>
  <c r="J149" i="21" s="1"/>
  <c r="J94" i="21"/>
  <c r="J145" i="21" s="1"/>
  <c r="J100" i="21"/>
  <c r="J151" i="21" s="1"/>
  <c r="J101" i="21"/>
  <c r="J152" i="21" s="1"/>
  <c r="J32" i="38" s="1"/>
  <c r="J90" i="21"/>
  <c r="J141" i="21" s="1"/>
  <c r="J93" i="21"/>
  <c r="J144" i="21" s="1"/>
  <c r="J24" i="38" s="1"/>
  <c r="J91" i="21"/>
  <c r="J142" i="21" s="1"/>
  <c r="J22" i="38" s="1"/>
  <c r="J97" i="21"/>
  <c r="J148" i="21" s="1"/>
  <c r="J99" i="21"/>
  <c r="J150" i="21" s="1"/>
  <c r="J30" i="38" s="1"/>
  <c r="Y100" i="21"/>
  <c r="Y151" i="21" s="1"/>
  <c r="Y94" i="21"/>
  <c r="Y145" i="21" s="1"/>
  <c r="Y91" i="21"/>
  <c r="Y142" i="21" s="1"/>
  <c r="Y22" i="38" s="1"/>
  <c r="Y99" i="21"/>
  <c r="Y150" i="21" s="1"/>
  <c r="Y30" i="38" s="1"/>
  <c r="Y90" i="21"/>
  <c r="Y141" i="21" s="1"/>
  <c r="Y21" i="38" s="1"/>
  <c r="Y98" i="21"/>
  <c r="Y149" i="21" s="1"/>
  <c r="Y93" i="21"/>
  <c r="Y144" i="21" s="1"/>
  <c r="Y24" i="38" s="1"/>
  <c r="Y97" i="21"/>
  <c r="Y148" i="21" s="1"/>
  <c r="Y101" i="21"/>
  <c r="Y152" i="21" s="1"/>
  <c r="Y32" i="38" s="1"/>
  <c r="Y92" i="21"/>
  <c r="Y143" i="21" s="1"/>
  <c r="Y23" i="38" s="1"/>
  <c r="AH69" i="21"/>
  <c r="N94" i="21"/>
  <c r="N145" i="21" s="1"/>
  <c r="N100" i="21"/>
  <c r="N151" i="21" s="1"/>
  <c r="N91" i="21"/>
  <c r="N142" i="21" s="1"/>
  <c r="N22" i="38" s="1"/>
  <c r="N93" i="21"/>
  <c r="N144" i="21" s="1"/>
  <c r="N24" i="38" s="1"/>
  <c r="N92" i="21"/>
  <c r="N143" i="21" s="1"/>
  <c r="N23" i="38" s="1"/>
  <c r="N90" i="21"/>
  <c r="N141" i="21" s="1"/>
  <c r="N21" i="38" s="1"/>
  <c r="N101" i="21"/>
  <c r="N152" i="21" s="1"/>
  <c r="N32" i="38" s="1"/>
  <c r="N97" i="21"/>
  <c r="N148" i="21" s="1"/>
  <c r="N99" i="21"/>
  <c r="N150" i="21" s="1"/>
  <c r="N30" i="38" s="1"/>
  <c r="N98" i="21"/>
  <c r="N149" i="21" s="1"/>
  <c r="S101" i="21"/>
  <c r="S152" i="21" s="1"/>
  <c r="S32" i="38" s="1"/>
  <c r="S100" i="21"/>
  <c r="S151" i="21" s="1"/>
  <c r="S94" i="21"/>
  <c r="S145" i="21" s="1"/>
  <c r="S93" i="21"/>
  <c r="S144" i="21" s="1"/>
  <c r="S24" i="38" s="1"/>
  <c r="S91" i="21"/>
  <c r="S142" i="21" s="1"/>
  <c r="S22" i="38" s="1"/>
  <c r="S92" i="21"/>
  <c r="S143" i="21" s="1"/>
  <c r="S23" i="38" s="1"/>
  <c r="S90" i="21"/>
  <c r="S141" i="21" s="1"/>
  <c r="S21" i="38" s="1"/>
  <c r="S98" i="21"/>
  <c r="S149" i="21" s="1"/>
  <c r="S97" i="21"/>
  <c r="S148" i="21" s="1"/>
  <c r="S99" i="21"/>
  <c r="S150" i="21" s="1"/>
  <c r="S30" i="38" s="1"/>
  <c r="AG69" i="21"/>
  <c r="AG121" i="21" s="1"/>
  <c r="AG128" i="21" s="1"/>
  <c r="AQ94" i="21"/>
  <c r="AQ145" i="21" s="1"/>
  <c r="AQ100" i="21"/>
  <c r="AQ151" i="21" s="1"/>
  <c r="AQ92" i="21"/>
  <c r="AQ143" i="21" s="1"/>
  <c r="AQ23" i="38" s="1"/>
  <c r="AQ101" i="21"/>
  <c r="AQ152" i="21" s="1"/>
  <c r="AQ32" i="38" s="1"/>
  <c r="AQ97" i="21"/>
  <c r="AQ93" i="21"/>
  <c r="AQ144" i="21" s="1"/>
  <c r="AQ24" i="38" s="1"/>
  <c r="AQ90" i="21"/>
  <c r="AQ98" i="21"/>
  <c r="AQ149" i="21" s="1"/>
  <c r="AQ99" i="21"/>
  <c r="AQ150" i="21" s="1"/>
  <c r="AQ30" i="38" s="1"/>
  <c r="AQ91" i="21"/>
  <c r="AQ142" i="21" s="1"/>
  <c r="AQ22" i="38" s="1"/>
  <c r="L100" i="21"/>
  <c r="L151" i="21" s="1"/>
  <c r="L94" i="21"/>
  <c r="L145" i="21" s="1"/>
  <c r="L91" i="21"/>
  <c r="L142" i="21" s="1"/>
  <c r="L22" i="38" s="1"/>
  <c r="L92" i="21"/>
  <c r="L143" i="21" s="1"/>
  <c r="L23" i="38" s="1"/>
  <c r="L90" i="21"/>
  <c r="L101" i="21"/>
  <c r="L152" i="21" s="1"/>
  <c r="L32" i="38" s="1"/>
  <c r="L98" i="21"/>
  <c r="L149" i="21" s="1"/>
  <c r="L97" i="21"/>
  <c r="L99" i="21"/>
  <c r="L150" i="21" s="1"/>
  <c r="L30" i="38" s="1"/>
  <c r="L93" i="21"/>
  <c r="L144" i="21" s="1"/>
  <c r="L24" i="38" s="1"/>
  <c r="AP97" i="21"/>
  <c r="AP90" i="21"/>
  <c r="AP98" i="21"/>
  <c r="AP149" i="21" s="1"/>
  <c r="AP94" i="21"/>
  <c r="AP145" i="21" s="1"/>
  <c r="AP99" i="21"/>
  <c r="AP150" i="21" s="1"/>
  <c r="AP30" i="38" s="1"/>
  <c r="AP100" i="21"/>
  <c r="AP151" i="21" s="1"/>
  <c r="AP91" i="21"/>
  <c r="AP142" i="21" s="1"/>
  <c r="AP22" i="38" s="1"/>
  <c r="AP101" i="21"/>
  <c r="AP152" i="21" s="1"/>
  <c r="AP32" i="38" s="1"/>
  <c r="AP92" i="21"/>
  <c r="AP93" i="21"/>
  <c r="AP144" i="21" s="1"/>
  <c r="AP24" i="38" s="1"/>
  <c r="R94" i="21"/>
  <c r="R145" i="21" s="1"/>
  <c r="R100" i="21"/>
  <c r="R151" i="21" s="1"/>
  <c r="R92" i="21"/>
  <c r="R143" i="21" s="1"/>
  <c r="R23" i="38" s="1"/>
  <c r="R101" i="21"/>
  <c r="R152" i="21" s="1"/>
  <c r="R32" i="38" s="1"/>
  <c r="R98" i="21"/>
  <c r="R149" i="21" s="1"/>
  <c r="R90" i="21"/>
  <c r="R97" i="21"/>
  <c r="R99" i="21"/>
  <c r="R150" i="21" s="1"/>
  <c r="R30" i="38" s="1"/>
  <c r="R91" i="21"/>
  <c r="R142" i="21" s="1"/>
  <c r="R22" i="38" s="1"/>
  <c r="R93" i="21"/>
  <c r="R144" i="21" s="1"/>
  <c r="R24" i="38" s="1"/>
  <c r="M94" i="21"/>
  <c r="M145" i="21" s="1"/>
  <c r="M100" i="21"/>
  <c r="M151" i="21" s="1"/>
  <c r="M93" i="21"/>
  <c r="M144" i="21" s="1"/>
  <c r="M24" i="38" s="1"/>
  <c r="M91" i="21"/>
  <c r="M142" i="21" s="1"/>
  <c r="M22" i="38" s="1"/>
  <c r="M92" i="21"/>
  <c r="M143" i="21" s="1"/>
  <c r="M23" i="38" s="1"/>
  <c r="M99" i="21"/>
  <c r="M150" i="21" s="1"/>
  <c r="M30" i="38" s="1"/>
  <c r="M90" i="21"/>
  <c r="M141" i="21" s="1"/>
  <c r="M21" i="38" s="1"/>
  <c r="M98" i="21"/>
  <c r="M149" i="21" s="1"/>
  <c r="M97" i="21"/>
  <c r="M148" i="21" s="1"/>
  <c r="M101" i="21"/>
  <c r="M152" i="21" s="1"/>
  <c r="M32" i="38" s="1"/>
  <c r="AK69" i="21"/>
  <c r="AK121" i="21" s="1"/>
  <c r="AK128" i="21" s="1"/>
  <c r="X94" i="21"/>
  <c r="X145" i="21" s="1"/>
  <c r="X100" i="21"/>
  <c r="X151" i="21" s="1"/>
  <c r="X98" i="21"/>
  <c r="X149" i="21" s="1"/>
  <c r="X101" i="21"/>
  <c r="X152" i="21" s="1"/>
  <c r="X32" i="38" s="1"/>
  <c r="X90" i="21"/>
  <c r="X141" i="21" s="1"/>
  <c r="X21" i="38" s="1"/>
  <c r="X97" i="21"/>
  <c r="X148" i="21" s="1"/>
  <c r="X91" i="21"/>
  <c r="X142" i="21" s="1"/>
  <c r="X22" i="38" s="1"/>
  <c r="X93" i="21"/>
  <c r="X144" i="21" s="1"/>
  <c r="X24" i="38" s="1"/>
  <c r="X99" i="21"/>
  <c r="X150" i="21" s="1"/>
  <c r="X30" i="38" s="1"/>
  <c r="X92" i="21"/>
  <c r="X143" i="21" s="1"/>
  <c r="X23" i="38" s="1"/>
  <c r="AQ121" i="21"/>
  <c r="AQ128" i="21" s="1"/>
  <c r="L121" i="21"/>
  <c r="L128" i="21" s="1"/>
  <c r="AP121" i="21"/>
  <c r="AP128" i="21" s="1"/>
  <c r="R121" i="21"/>
  <c r="R128" i="21" s="1"/>
  <c r="AR25" i="38" l="1"/>
  <c r="AR21" i="39"/>
  <c r="AR27" i="39" s="1"/>
  <c r="AP141" i="21"/>
  <c r="AP143" i="21"/>
  <c r="AP23" i="38" s="1"/>
  <c r="AR29" i="38"/>
  <c r="AR24" i="39"/>
  <c r="AR30" i="39" s="1"/>
  <c r="AR31" i="38"/>
  <c r="AR22" i="39"/>
  <c r="AR28" i="39" s="1"/>
  <c r="AR28" i="38"/>
  <c r="AR23" i="39"/>
  <c r="AR29" i="39" s="1"/>
  <c r="L141" i="21"/>
  <c r="L21" i="38" s="1"/>
  <c r="R141" i="21"/>
  <c r="R21" i="38" s="1"/>
  <c r="L148" i="21"/>
  <c r="L23" i="39" s="1"/>
  <c r="L29" i="39" s="1"/>
  <c r="X25" i="38"/>
  <c r="X21" i="39"/>
  <c r="X27" i="39" s="1"/>
  <c r="R148" i="21"/>
  <c r="AP148" i="21"/>
  <c r="AQ148" i="21"/>
  <c r="S23" i="39"/>
  <c r="S29" i="39" s="1"/>
  <c r="S28" i="38"/>
  <c r="J28" i="38"/>
  <c r="J23" i="39"/>
  <c r="J29" i="39" s="1"/>
  <c r="AD28" i="38"/>
  <c r="AD23" i="39"/>
  <c r="AD29" i="39" s="1"/>
  <c r="AI22" i="39"/>
  <c r="AI28" i="39" s="1"/>
  <c r="AI31" i="38"/>
  <c r="Z31" i="38"/>
  <c r="Z22" i="39"/>
  <c r="Z28" i="39" s="1"/>
  <c r="AF94" i="21"/>
  <c r="AF145" i="21" s="1"/>
  <c r="AF100" i="21"/>
  <c r="AF151" i="21" s="1"/>
  <c r="AF98" i="21"/>
  <c r="AF149" i="21" s="1"/>
  <c r="AF99" i="21"/>
  <c r="AF150" i="21" s="1"/>
  <c r="AF30" i="38" s="1"/>
  <c r="AF92" i="21"/>
  <c r="AF143" i="21" s="1"/>
  <c r="AF23" i="38" s="1"/>
  <c r="AF97" i="21"/>
  <c r="AF148" i="21" s="1"/>
  <c r="AF91" i="21"/>
  <c r="AF142" i="21" s="1"/>
  <c r="AF22" i="38" s="1"/>
  <c r="AF101" i="21"/>
  <c r="AF152" i="21" s="1"/>
  <c r="AF32" i="38" s="1"/>
  <c r="AF93" i="21"/>
  <c r="AF144" i="21" s="1"/>
  <c r="AF24" i="38" s="1"/>
  <c r="AF90" i="21"/>
  <c r="AF141" i="21" s="1"/>
  <c r="AF21" i="38" s="1"/>
  <c r="AJ29" i="38"/>
  <c r="AJ24" i="39"/>
  <c r="AJ30" i="39" s="1"/>
  <c r="P22" i="39"/>
  <c r="P28" i="39" s="1"/>
  <c r="P31" i="38"/>
  <c r="L21" i="39"/>
  <c r="L27" i="39" s="1"/>
  <c r="L25" i="38"/>
  <c r="S29" i="38"/>
  <c r="S24" i="39"/>
  <c r="S30" i="39" s="1"/>
  <c r="N29" i="38"/>
  <c r="N24" i="39"/>
  <c r="N30" i="39" s="1"/>
  <c r="N31" i="38"/>
  <c r="N22" i="39"/>
  <c r="N28" i="39" s="1"/>
  <c r="Y29" i="38"/>
  <c r="Y24" i="39"/>
  <c r="Y30" i="39" s="1"/>
  <c r="AI25" i="38"/>
  <c r="AI21" i="39"/>
  <c r="AI27" i="39" s="1"/>
  <c r="V24" i="39"/>
  <c r="V30" i="39" s="1"/>
  <c r="V29" i="38"/>
  <c r="AJ25" i="38"/>
  <c r="AJ21" i="39"/>
  <c r="AJ27" i="39" s="1"/>
  <c r="AN148" i="21"/>
  <c r="P21" i="39"/>
  <c r="P27" i="39" s="1"/>
  <c r="P25" i="38"/>
  <c r="K23" i="39"/>
  <c r="K29" i="39" s="1"/>
  <c r="K28" i="38"/>
  <c r="AB21" i="39"/>
  <c r="AB27" i="39" s="1"/>
  <c r="AB25" i="38"/>
  <c r="AC23" i="39"/>
  <c r="AC29" i="39" s="1"/>
  <c r="AC28" i="38"/>
  <c r="AD22" i="39"/>
  <c r="AD28" i="39" s="1"/>
  <c r="AD31" i="38"/>
  <c r="AI29" i="38"/>
  <c r="AI24" i="39"/>
  <c r="AI30" i="39" s="1"/>
  <c r="AA94" i="21"/>
  <c r="AA145" i="21" s="1"/>
  <c r="AA100" i="21"/>
  <c r="AA151" i="21" s="1"/>
  <c r="AA97" i="21"/>
  <c r="AA92" i="21"/>
  <c r="AA143" i="21" s="1"/>
  <c r="AA23" i="38" s="1"/>
  <c r="AA91" i="21"/>
  <c r="AA142" i="21" s="1"/>
  <c r="AA22" i="38" s="1"/>
  <c r="AA98" i="21"/>
  <c r="AA149" i="21" s="1"/>
  <c r="AA90" i="21"/>
  <c r="AA99" i="21"/>
  <c r="AA150" i="21" s="1"/>
  <c r="AA30" i="38" s="1"/>
  <c r="AA101" i="21"/>
  <c r="AA152" i="21" s="1"/>
  <c r="AA32" i="38" s="1"/>
  <c r="AA93" i="21"/>
  <c r="AA144" i="21" s="1"/>
  <c r="AA24" i="38" s="1"/>
  <c r="AE28" i="38"/>
  <c r="AE23" i="39"/>
  <c r="AE29" i="39" s="1"/>
  <c r="AJ22" i="39"/>
  <c r="AJ28" i="39" s="1"/>
  <c r="AJ31" i="38"/>
  <c r="U23" i="39"/>
  <c r="U29" i="39" s="1"/>
  <c r="U28" i="38"/>
  <c r="Q31" i="38"/>
  <c r="Q22" i="39"/>
  <c r="Q28" i="39" s="1"/>
  <c r="K31" i="38"/>
  <c r="K22" i="39"/>
  <c r="K28" i="39" s="1"/>
  <c r="N21" i="39"/>
  <c r="N27" i="39" s="1"/>
  <c r="N25" i="38"/>
  <c r="M22" i="39"/>
  <c r="M28" i="39" s="1"/>
  <c r="M31" i="38"/>
  <c r="AP22" i="39"/>
  <c r="AP28" i="39" s="1"/>
  <c r="AP31" i="38"/>
  <c r="AQ22" i="39"/>
  <c r="AQ28" i="39" s="1"/>
  <c r="AQ31" i="38"/>
  <c r="N28" i="38"/>
  <c r="N23" i="39"/>
  <c r="N29" i="39" s="1"/>
  <c r="AH100" i="21"/>
  <c r="AH151" i="21" s="1"/>
  <c r="AH94" i="21"/>
  <c r="AH145" i="21" s="1"/>
  <c r="AH98" i="21"/>
  <c r="AH149" i="21" s="1"/>
  <c r="AH92" i="21"/>
  <c r="AH143" i="21" s="1"/>
  <c r="AH23" i="38" s="1"/>
  <c r="AH91" i="21"/>
  <c r="AH142" i="21" s="1"/>
  <c r="AH22" i="38" s="1"/>
  <c r="AH99" i="21"/>
  <c r="AH150" i="21" s="1"/>
  <c r="AH30" i="38" s="1"/>
  <c r="AH90" i="21"/>
  <c r="AH101" i="21"/>
  <c r="AH152" i="21" s="1"/>
  <c r="AH32" i="38" s="1"/>
  <c r="AH93" i="21"/>
  <c r="AH144" i="21" s="1"/>
  <c r="AH24" i="38" s="1"/>
  <c r="AH97" i="21"/>
  <c r="J21" i="38"/>
  <c r="AD24" i="39"/>
  <c r="AD30" i="39" s="1"/>
  <c r="AD29" i="38"/>
  <c r="AD21" i="39"/>
  <c r="AD27" i="39" s="1"/>
  <c r="AD25" i="38"/>
  <c r="O28" i="38"/>
  <c r="O23" i="39"/>
  <c r="O29" i="39" s="1"/>
  <c r="AI28" i="38"/>
  <c r="AI23" i="39"/>
  <c r="AI29" i="39" s="1"/>
  <c r="AA121" i="21"/>
  <c r="AA128" i="21" s="1"/>
  <c r="Z29" i="38"/>
  <c r="Z24" i="39"/>
  <c r="Z30" i="39" s="1"/>
  <c r="T100" i="21"/>
  <c r="T151" i="21" s="1"/>
  <c r="T93" i="21"/>
  <c r="T144" i="21" s="1"/>
  <c r="T24" i="38" s="1"/>
  <c r="T91" i="21"/>
  <c r="T142" i="21" s="1"/>
  <c r="T22" i="38" s="1"/>
  <c r="T92" i="21"/>
  <c r="T143" i="21" s="1"/>
  <c r="T23" i="38" s="1"/>
  <c r="T90" i="21"/>
  <c r="T141" i="21" s="1"/>
  <c r="T21" i="38" s="1"/>
  <c r="T97" i="21"/>
  <c r="T148" i="21" s="1"/>
  <c r="T98" i="21"/>
  <c r="T149" i="21" s="1"/>
  <c r="T99" i="21"/>
  <c r="T150" i="21" s="1"/>
  <c r="T30" i="38" s="1"/>
  <c r="T101" i="21"/>
  <c r="T152" i="21" s="1"/>
  <c r="T32" i="38" s="1"/>
  <c r="T94" i="21"/>
  <c r="T145" i="21" s="1"/>
  <c r="P23" i="39"/>
  <c r="P29" i="39" s="1"/>
  <c r="P28" i="38"/>
  <c r="Q21" i="39"/>
  <c r="Q27" i="39" s="1"/>
  <c r="Q25" i="38"/>
  <c r="AO24" i="39"/>
  <c r="AO30" i="39" s="1"/>
  <c r="AO29" i="38"/>
  <c r="AC24" i="39"/>
  <c r="AC30" i="39" s="1"/>
  <c r="AC29" i="38"/>
  <c r="AC22" i="39"/>
  <c r="AC28" i="39" s="1"/>
  <c r="AC31" i="38"/>
  <c r="R24" i="39"/>
  <c r="R30" i="39" s="1"/>
  <c r="R29" i="38"/>
  <c r="AH121" i="21"/>
  <c r="AH128" i="21" s="1"/>
  <c r="Z28" i="38"/>
  <c r="Z23" i="39"/>
  <c r="Z29" i="39" s="1"/>
  <c r="AE29" i="38"/>
  <c r="AE24" i="39"/>
  <c r="AE30" i="39" s="1"/>
  <c r="AJ141" i="21"/>
  <c r="AJ21" i="38" s="1"/>
  <c r="U29" i="38"/>
  <c r="U24" i="39"/>
  <c r="U30" i="39" s="1"/>
  <c r="P24" i="39"/>
  <c r="P30" i="39" s="1"/>
  <c r="P29" i="38"/>
  <c r="Q28" i="38"/>
  <c r="Q23" i="39"/>
  <c r="Q29" i="39" s="1"/>
  <c r="AO28" i="38"/>
  <c r="AO23" i="39"/>
  <c r="AO29" i="39" s="1"/>
  <c r="AC21" i="39"/>
  <c r="AC27" i="39" s="1"/>
  <c r="AC25" i="38"/>
  <c r="AM31" i="38"/>
  <c r="AM22" i="39"/>
  <c r="AM28" i="39" s="1"/>
  <c r="X28" i="38"/>
  <c r="X23" i="39"/>
  <c r="X29" i="39" s="1"/>
  <c r="M28" i="38"/>
  <c r="M23" i="39"/>
  <c r="M29" i="39" s="1"/>
  <c r="M21" i="39"/>
  <c r="M27" i="39" s="1"/>
  <c r="M25" i="38"/>
  <c r="L24" i="39"/>
  <c r="L30" i="39" s="1"/>
  <c r="L29" i="38"/>
  <c r="AQ21" i="39"/>
  <c r="AQ27" i="39" s="1"/>
  <c r="AQ25" i="38"/>
  <c r="M24" i="39"/>
  <c r="M30" i="39" s="1"/>
  <c r="M29" i="38"/>
  <c r="R31" i="38"/>
  <c r="R22" i="39"/>
  <c r="R28" i="39" s="1"/>
  <c r="AP25" i="38"/>
  <c r="AP21" i="39"/>
  <c r="AP27" i="39" s="1"/>
  <c r="AQ24" i="39"/>
  <c r="AQ30" i="39" s="1"/>
  <c r="AQ29" i="38"/>
  <c r="AG100" i="21"/>
  <c r="AG151" i="21" s="1"/>
  <c r="AG94" i="21"/>
  <c r="AG145" i="21" s="1"/>
  <c r="AG98" i="21"/>
  <c r="AG149" i="21" s="1"/>
  <c r="AG92" i="21"/>
  <c r="AG143" i="21" s="1"/>
  <c r="AG23" i="38" s="1"/>
  <c r="AG90" i="21"/>
  <c r="AG141" i="21" s="1"/>
  <c r="AG21" i="38" s="1"/>
  <c r="AG93" i="21"/>
  <c r="AG144" i="21" s="1"/>
  <c r="AG24" i="38" s="1"/>
  <c r="AG99" i="21"/>
  <c r="AG150" i="21" s="1"/>
  <c r="AG30" i="38" s="1"/>
  <c r="AG101" i="21"/>
  <c r="AG152" i="21" s="1"/>
  <c r="AG32" i="38" s="1"/>
  <c r="AG97" i="21"/>
  <c r="AG148" i="21" s="1"/>
  <c r="AG91" i="21"/>
  <c r="AG142" i="21" s="1"/>
  <c r="AG22" i="38" s="1"/>
  <c r="Y21" i="39"/>
  <c r="Y27" i="39" s="1"/>
  <c r="Y25" i="38"/>
  <c r="J31" i="38"/>
  <c r="J22" i="39"/>
  <c r="J28" i="39" s="1"/>
  <c r="Z25" i="38"/>
  <c r="Z21" i="39"/>
  <c r="Z27" i="39" s="1"/>
  <c r="V28" i="38"/>
  <c r="V23" i="39"/>
  <c r="V29" i="39" s="1"/>
  <c r="AE25" i="38"/>
  <c r="AE21" i="39"/>
  <c r="AE27" i="39" s="1"/>
  <c r="U25" i="38"/>
  <c r="U21" i="39"/>
  <c r="U27" i="39" s="1"/>
  <c r="K24" i="39"/>
  <c r="K30" i="39" s="1"/>
  <c r="K29" i="38"/>
  <c r="K21" i="39"/>
  <c r="K27" i="39" s="1"/>
  <c r="K25" i="38"/>
  <c r="AB22" i="39"/>
  <c r="AB28" i="39" s="1"/>
  <c r="AB31" i="38"/>
  <c r="W91" i="21"/>
  <c r="W142" i="21" s="1"/>
  <c r="W22" i="38" s="1"/>
  <c r="W98" i="21"/>
  <c r="W149" i="21" s="1"/>
  <c r="W97" i="21"/>
  <c r="W148" i="21" s="1"/>
  <c r="W92" i="21"/>
  <c r="W143" i="21" s="1"/>
  <c r="W23" i="38" s="1"/>
  <c r="W101" i="21"/>
  <c r="W152" i="21" s="1"/>
  <c r="W32" i="38" s="1"/>
  <c r="W90" i="21"/>
  <c r="W141" i="21" s="1"/>
  <c r="W21" i="38" s="1"/>
  <c r="W94" i="21"/>
  <c r="W145" i="21" s="1"/>
  <c r="W99" i="21"/>
  <c r="W150" i="21" s="1"/>
  <c r="W30" i="38" s="1"/>
  <c r="W100" i="21"/>
  <c r="W151" i="21" s="1"/>
  <c r="W93" i="21"/>
  <c r="W144" i="21" s="1"/>
  <c r="W24" i="38" s="1"/>
  <c r="AM24" i="39"/>
  <c r="AM30" i="39" s="1"/>
  <c r="AM29" i="38"/>
  <c r="AK94" i="21"/>
  <c r="AK145" i="21" s="1"/>
  <c r="AK97" i="21"/>
  <c r="AK148" i="21" s="1"/>
  <c r="AK99" i="21"/>
  <c r="AK150" i="21" s="1"/>
  <c r="AK30" i="38" s="1"/>
  <c r="AK100" i="21"/>
  <c r="AK151" i="21" s="1"/>
  <c r="AK92" i="21"/>
  <c r="AK143" i="21" s="1"/>
  <c r="AK23" i="38" s="1"/>
  <c r="AK91" i="21"/>
  <c r="AK142" i="21" s="1"/>
  <c r="AK22" i="38" s="1"/>
  <c r="AK93" i="21"/>
  <c r="AK144" i="21" s="1"/>
  <c r="AK24" i="38" s="1"/>
  <c r="AK98" i="21"/>
  <c r="AK149" i="21" s="1"/>
  <c r="AK101" i="21"/>
  <c r="AK152" i="21" s="1"/>
  <c r="AK32" i="38" s="1"/>
  <c r="AK90" i="21"/>
  <c r="AK141" i="21" s="1"/>
  <c r="AK21" i="38" s="1"/>
  <c r="X24" i="39"/>
  <c r="X30" i="39" s="1"/>
  <c r="X29" i="38"/>
  <c r="AP24" i="39"/>
  <c r="AP30" i="39" s="1"/>
  <c r="AP29" i="38"/>
  <c r="Y22" i="39"/>
  <c r="Y28" i="39" s="1"/>
  <c r="Y31" i="38"/>
  <c r="O29" i="38"/>
  <c r="O24" i="39"/>
  <c r="O30" i="39" s="1"/>
  <c r="O21" i="39"/>
  <c r="O27" i="39" s="1"/>
  <c r="O25" i="38"/>
  <c r="V21" i="39"/>
  <c r="V27" i="39" s="1"/>
  <c r="V25" i="38"/>
  <c r="AE22" i="39"/>
  <c r="AE28" i="39" s="1"/>
  <c r="AE31" i="38"/>
  <c r="AJ148" i="21"/>
  <c r="AN29" i="38"/>
  <c r="AN24" i="39"/>
  <c r="AN30" i="39" s="1"/>
  <c r="AN22" i="39"/>
  <c r="AN28" i="39" s="1"/>
  <c r="AN31" i="38"/>
  <c r="Q24" i="39"/>
  <c r="Q30" i="39" s="1"/>
  <c r="Q29" i="38"/>
  <c r="AO25" i="38"/>
  <c r="AO21" i="39"/>
  <c r="AO27" i="39" s="1"/>
  <c r="AB23" i="39"/>
  <c r="AB29" i="39" s="1"/>
  <c r="AB28" i="38"/>
  <c r="AM148" i="21"/>
  <c r="L22" i="39"/>
  <c r="L28" i="39" s="1"/>
  <c r="L31" i="38"/>
  <c r="R21" i="39"/>
  <c r="R27" i="39" s="1"/>
  <c r="R25" i="38"/>
  <c r="AQ141" i="21"/>
  <c r="AQ21" i="38" s="1"/>
  <c r="S21" i="39"/>
  <c r="S27" i="39" s="1"/>
  <c r="S25" i="38"/>
  <c r="J25" i="38"/>
  <c r="J21" i="39"/>
  <c r="J27" i="39" s="1"/>
  <c r="X22" i="39"/>
  <c r="X28" i="39" s="1"/>
  <c r="X31" i="38"/>
  <c r="AP21" i="38"/>
  <c r="S22" i="39"/>
  <c r="S28" i="39" s="1"/>
  <c r="S31" i="38"/>
  <c r="Y23" i="39"/>
  <c r="Y29" i="39" s="1"/>
  <c r="Y28" i="38"/>
  <c r="J24" i="39"/>
  <c r="J30" i="39" s="1"/>
  <c r="J29" i="38"/>
  <c r="O22" i="39"/>
  <c r="O28" i="39" s="1"/>
  <c r="O31" i="38"/>
  <c r="V22" i="39"/>
  <c r="V28" i="39" s="1"/>
  <c r="V31" i="38"/>
  <c r="AL94" i="21"/>
  <c r="AL145" i="21" s="1"/>
  <c r="AL100" i="21"/>
  <c r="AL151" i="21" s="1"/>
  <c r="AL92" i="21"/>
  <c r="AL143" i="21" s="1"/>
  <c r="AL23" i="38" s="1"/>
  <c r="AL90" i="21"/>
  <c r="AL141" i="21" s="1"/>
  <c r="AL21" i="38" s="1"/>
  <c r="AL93" i="21"/>
  <c r="AL144" i="21" s="1"/>
  <c r="AL24" i="38" s="1"/>
  <c r="AL91" i="21"/>
  <c r="AL142" i="21" s="1"/>
  <c r="AL22" i="38" s="1"/>
  <c r="AL97" i="21"/>
  <c r="AL148" i="21" s="1"/>
  <c r="AL101" i="21"/>
  <c r="AL152" i="21" s="1"/>
  <c r="AL32" i="38" s="1"/>
  <c r="AL99" i="21"/>
  <c r="AL150" i="21" s="1"/>
  <c r="AL30" i="38" s="1"/>
  <c r="AL98" i="21"/>
  <c r="AL149" i="21" s="1"/>
  <c r="U22" i="39"/>
  <c r="U28" i="39" s="1"/>
  <c r="U31" i="38"/>
  <c r="AN141" i="21"/>
  <c r="AN21" i="38" s="1"/>
  <c r="AN21" i="39"/>
  <c r="AN27" i="39" s="1"/>
  <c r="AN25" i="38"/>
  <c r="AO22" i="39"/>
  <c r="AO28" i="39" s="1"/>
  <c r="AO31" i="38"/>
  <c r="AB24" i="39"/>
  <c r="AB30" i="39" s="1"/>
  <c r="AB29" i="38"/>
  <c r="AM141" i="21"/>
  <c r="AM21" i="38" s="1"/>
  <c r="AM25" i="38"/>
  <c r="AM21" i="39"/>
  <c r="AM27" i="39" s="1"/>
  <c r="L28" i="38" l="1"/>
  <c r="AA148" i="21"/>
  <c r="AA28" i="38" s="1"/>
  <c r="AH148" i="21"/>
  <c r="AH28" i="38" s="1"/>
  <c r="H55" i="38"/>
  <c r="H45" i="38"/>
  <c r="H44" i="38"/>
  <c r="H46" i="38"/>
  <c r="H57" i="38"/>
  <c r="AA141" i="21"/>
  <c r="AA21" i="38" s="1"/>
  <c r="AL28" i="38"/>
  <c r="AL23" i="39"/>
  <c r="AL29" i="39" s="1"/>
  <c r="AK24" i="39"/>
  <c r="AK30" i="39" s="1"/>
  <c r="AK29" i="38"/>
  <c r="AH24" i="39"/>
  <c r="AH30" i="39" s="1"/>
  <c r="AH29" i="38"/>
  <c r="AN23" i="39"/>
  <c r="AN29" i="39" s="1"/>
  <c r="AN28" i="38"/>
  <c r="W23" i="39"/>
  <c r="W29" i="39" s="1"/>
  <c r="W28" i="38"/>
  <c r="T21" i="39"/>
  <c r="T27" i="39" s="1"/>
  <c r="T25" i="38"/>
  <c r="AH21" i="39"/>
  <c r="AH27" i="39" s="1"/>
  <c r="AH25" i="38"/>
  <c r="AA22" i="39"/>
  <c r="AA28" i="39" s="1"/>
  <c r="AA31" i="38"/>
  <c r="W29" i="38"/>
  <c r="W24" i="39"/>
  <c r="W30" i="39" s="1"/>
  <c r="T31" i="38"/>
  <c r="T22" i="39"/>
  <c r="T28" i="39" s="1"/>
  <c r="AH22" i="39"/>
  <c r="AH28" i="39" s="1"/>
  <c r="AH31" i="38"/>
  <c r="AA25" i="38"/>
  <c r="AA21" i="39"/>
  <c r="AA27" i="39" s="1"/>
  <c r="AF28" i="38"/>
  <c r="AF23" i="39"/>
  <c r="AF29" i="39" s="1"/>
  <c r="AQ23" i="39"/>
  <c r="AQ29" i="39" s="1"/>
  <c r="AQ28" i="38"/>
  <c r="AL25" i="38"/>
  <c r="AL21" i="39"/>
  <c r="AL27" i="39" s="1"/>
  <c r="T24" i="39"/>
  <c r="T30" i="39" s="1"/>
  <c r="T29" i="38"/>
  <c r="AH141" i="21"/>
  <c r="AH21" i="38" s="1"/>
  <c r="AP28" i="38"/>
  <c r="AP23" i="39"/>
  <c r="AP29" i="39" s="1"/>
  <c r="AL24" i="39"/>
  <c r="AL30" i="39" s="1"/>
  <c r="AL29" i="38"/>
  <c r="AL31" i="38"/>
  <c r="AL22" i="39"/>
  <c r="AL28" i="39" s="1"/>
  <c r="W22" i="39"/>
  <c r="W28" i="39" s="1"/>
  <c r="W31" i="38"/>
  <c r="AM28" i="38"/>
  <c r="AM23" i="39"/>
  <c r="AM29" i="39" s="1"/>
  <c r="AK22" i="39"/>
  <c r="AK28" i="39" s="1"/>
  <c r="AK31" i="38"/>
  <c r="W25" i="38"/>
  <c r="W21" i="39"/>
  <c r="W27" i="39" s="1"/>
  <c r="AG29" i="38"/>
  <c r="AG24" i="39"/>
  <c r="AG30" i="39" s="1"/>
  <c r="T23" i="39"/>
  <c r="T29" i="39" s="1"/>
  <c r="T28" i="38"/>
  <c r="AA24" i="39"/>
  <c r="AA30" i="39" s="1"/>
  <c r="AA29" i="38"/>
  <c r="AF29" i="38"/>
  <c r="AF24" i="39"/>
  <c r="AF30" i="39" s="1"/>
  <c r="R23" i="39"/>
  <c r="R29" i="39" s="1"/>
  <c r="R28" i="38"/>
  <c r="AK23" i="39"/>
  <c r="AK29" i="39" s="1"/>
  <c r="AK28" i="38"/>
  <c r="AG21" i="39"/>
  <c r="AG27" i="39" s="1"/>
  <c r="AG25" i="38"/>
  <c r="AF22" i="39"/>
  <c r="AF28" i="39" s="1"/>
  <c r="AF31" i="38"/>
  <c r="AJ28" i="38"/>
  <c r="AJ23" i="39"/>
  <c r="AJ29" i="39" s="1"/>
  <c r="AK25" i="38"/>
  <c r="AK21" i="39"/>
  <c r="AK27" i="39" s="1"/>
  <c r="AG23" i="39"/>
  <c r="AG29" i="39" s="1"/>
  <c r="AG28" i="38"/>
  <c r="AG22" i="39"/>
  <c r="AG28" i="39" s="1"/>
  <c r="AG31" i="38"/>
  <c r="AF21" i="39"/>
  <c r="AF27" i="39" s="1"/>
  <c r="AF25" i="38"/>
  <c r="AH23" i="39" l="1"/>
  <c r="AH29" i="39" s="1"/>
  <c r="AA23" i="39"/>
  <c r="AA29" i="39" s="1"/>
  <c r="H45" i="39" s="1"/>
  <c r="H43" i="38"/>
  <c r="H44" i="39"/>
  <c r="H50" i="39" s="1"/>
  <c r="H155" i="21"/>
  <c r="H154" i="21"/>
  <c r="H56" i="38"/>
  <c r="H43" i="39"/>
  <c r="H49" i="39" s="1"/>
  <c r="H36" i="39"/>
  <c r="H54" i="38"/>
  <c r="H53" i="38"/>
  <c r="H46" i="39"/>
  <c r="H35" i="39"/>
  <c r="H47" i="38"/>
  <c r="H38" i="39"/>
  <c r="H37" i="39" l="1"/>
  <c r="H49" i="38"/>
  <c r="H50" i="38" s="1"/>
  <c r="H56" i="39"/>
  <c r="H70" i="36" s="1"/>
  <c r="H159" i="21"/>
  <c r="H35" i="33" s="1"/>
  <c r="H51" i="39"/>
  <c r="H59" i="38"/>
  <c r="H60" i="38" s="1"/>
  <c r="H57" i="39"/>
  <c r="H30" i="24" s="1"/>
  <c r="H62" i="38" l="1"/>
  <c r="H63" i="38" s="1"/>
  <c r="A4" i="21"/>
  <c r="H58" i="39"/>
  <c r="H31" i="24" s="1"/>
  <c r="H53" i="39"/>
  <c r="H62" i="39" s="1"/>
  <c r="H78" i="38"/>
  <c r="K43" i="22" s="1"/>
  <c r="H81" i="38"/>
  <c r="N43" i="22" s="1"/>
  <c r="H77" i="38"/>
  <c r="H80" i="38"/>
  <c r="M43" i="22" s="1"/>
  <c r="H79" i="38"/>
  <c r="L43" i="22" s="1"/>
  <c r="H69" i="38"/>
  <c r="K33" i="22" s="1"/>
  <c r="H71" i="38"/>
  <c r="M33" i="22" s="1"/>
  <c r="H70" i="38"/>
  <c r="L33" i="22" s="1"/>
  <c r="H72" i="38"/>
  <c r="N33" i="22" s="1"/>
  <c r="H68" i="38"/>
  <c r="A4" i="39" l="1"/>
  <c r="H39" i="33"/>
  <c r="L78" i="22"/>
  <c r="L47" i="22"/>
  <c r="L70" i="22" s="1"/>
  <c r="M78" i="22"/>
  <c r="M47" i="22"/>
  <c r="M70" i="22" s="1"/>
  <c r="H83" i="38"/>
  <c r="J43" i="22"/>
  <c r="N47" i="22"/>
  <c r="N70" i="22" s="1"/>
  <c r="N78" i="22"/>
  <c r="K78" i="22"/>
  <c r="K47" i="22"/>
  <c r="K70" i="22" s="1"/>
  <c r="M77" i="22"/>
  <c r="M37" i="22"/>
  <c r="M69" i="22" s="1"/>
  <c r="L37" i="22"/>
  <c r="L69" i="22" s="1"/>
  <c r="L77" i="22"/>
  <c r="H74" i="38"/>
  <c r="J33" i="22"/>
  <c r="K77" i="22"/>
  <c r="K37" i="22"/>
  <c r="K69" i="22" s="1"/>
  <c r="N37" i="22"/>
  <c r="N69" i="22" s="1"/>
  <c r="N77" i="22"/>
  <c r="K83" i="22" l="1"/>
  <c r="K129" i="22" s="1"/>
  <c r="M84" i="22"/>
  <c r="M130" i="22" s="1"/>
  <c r="M83" i="22"/>
  <c r="M129" i="22" s="1"/>
  <c r="N83" i="22"/>
  <c r="N129" i="22" s="1"/>
  <c r="H87" i="38"/>
  <c r="H36" i="33" s="1"/>
  <c r="N84" i="22"/>
  <c r="N130" i="22" s="1"/>
  <c r="J78" i="22"/>
  <c r="J47" i="22"/>
  <c r="K84" i="22"/>
  <c r="K130" i="22" s="1"/>
  <c r="L84" i="22"/>
  <c r="L130" i="22" s="1"/>
  <c r="L83" i="22"/>
  <c r="L129" i="22" s="1"/>
  <c r="J37" i="22"/>
  <c r="J77" i="22"/>
  <c r="A4" i="38" l="1"/>
  <c r="H49" i="22"/>
  <c r="J70" i="22"/>
  <c r="J84" i="22" s="1"/>
  <c r="J130" i="22" s="1"/>
  <c r="J69" i="22"/>
  <c r="J83" i="22" s="1"/>
  <c r="J129" i="22" s="1"/>
  <c r="H39" i="22"/>
  <c r="H134" i="22" l="1"/>
  <c r="J146" i="22" s="1"/>
  <c r="H18" i="24" s="1"/>
  <c r="H133" i="22"/>
  <c r="L146" i="22" l="1"/>
  <c r="H20" i="24" s="1"/>
  <c r="K146" i="22"/>
  <c r="H19" i="24" s="1"/>
  <c r="M146" i="22"/>
  <c r="H21" i="24" s="1"/>
  <c r="H140" i="22"/>
  <c r="H150" i="22" s="1"/>
  <c r="N146" i="22"/>
  <c r="H139" i="22"/>
  <c r="H149" i="22" s="1"/>
  <c r="K145" i="22"/>
  <c r="N145" i="22"/>
  <c r="M145" i="22"/>
  <c r="H171" i="22" s="1"/>
  <c r="H182" i="22" s="1"/>
  <c r="H23" i="36" s="1"/>
  <c r="L145" i="22"/>
  <c r="H170" i="22" s="1"/>
  <c r="H183" i="22" s="1"/>
  <c r="H24" i="36" s="1"/>
  <c r="J145" i="22"/>
  <c r="H39" i="24" l="1"/>
  <c r="H23" i="23" s="1"/>
  <c r="H37" i="24"/>
  <c r="H21" i="23" s="1"/>
  <c r="H169" i="22"/>
  <c r="H184" i="22" s="1"/>
  <c r="H25" i="36" s="1"/>
  <c r="J60" i="36" s="1"/>
  <c r="H154" i="22"/>
  <c r="H23" i="24"/>
  <c r="H43" i="24" s="1"/>
  <c r="H36" i="24"/>
  <c r="H20" i="23" s="1"/>
  <c r="H38" i="24"/>
  <c r="H22" i="23" s="1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158" i="22"/>
  <c r="H83" i="36" s="1"/>
  <c r="H153" i="22"/>
  <c r="H188" i="22" l="1"/>
  <c r="H38" i="33" s="1"/>
  <c r="M60" i="36"/>
  <c r="K60" i="36"/>
  <c r="L60" i="36"/>
  <c r="H41" i="33"/>
  <c r="A4" i="24"/>
  <c r="K46" i="36"/>
  <c r="K47" i="36" s="1"/>
  <c r="J56" i="36"/>
  <c r="H74" i="36"/>
  <c r="M56" i="36"/>
  <c r="H85" i="36"/>
  <c r="L56" i="36"/>
  <c r="L46" i="36"/>
  <c r="L47" i="36" s="1"/>
  <c r="K56" i="36"/>
  <c r="M46" i="36"/>
  <c r="M47" i="36" s="1"/>
  <c r="J46" i="36"/>
  <c r="J47" i="36" s="1"/>
  <c r="K59" i="36"/>
  <c r="J59" i="36"/>
  <c r="L59" i="36"/>
  <c r="M59" i="36"/>
  <c r="K58" i="36"/>
  <c r="M58" i="36"/>
  <c r="J58" i="36"/>
  <c r="L58" i="36"/>
  <c r="H76" i="36"/>
  <c r="J57" i="36"/>
  <c r="M57" i="36"/>
  <c r="L57" i="36"/>
  <c r="K57" i="36"/>
  <c r="A4" i="22" l="1"/>
  <c r="L94" i="36"/>
  <c r="L105" i="36" s="1"/>
  <c r="H33" i="23" s="1"/>
  <c r="L98" i="36"/>
  <c r="L109" i="36" s="1"/>
  <c r="H57" i="23" s="1"/>
  <c r="L96" i="36"/>
  <c r="L107" i="36" s="1"/>
  <c r="H45" i="23" s="1"/>
  <c r="L95" i="36"/>
  <c r="L106" i="36" s="1"/>
  <c r="H39" i="23" s="1"/>
  <c r="L97" i="36"/>
  <c r="L108" i="36" s="1"/>
  <c r="H51" i="23" s="1"/>
  <c r="J98" i="36"/>
  <c r="J109" i="36" s="1"/>
  <c r="H55" i="23" s="1"/>
  <c r="J97" i="36"/>
  <c r="J108" i="36" s="1"/>
  <c r="H49" i="23" s="1"/>
  <c r="J96" i="36"/>
  <c r="J107" i="36" s="1"/>
  <c r="H43" i="23" s="1"/>
  <c r="J95" i="36"/>
  <c r="J106" i="36" s="1"/>
  <c r="H37" i="23" s="1"/>
  <c r="H48" i="36"/>
  <c r="H113" i="36" s="1"/>
  <c r="J94" i="36"/>
  <c r="J105" i="36" s="1"/>
  <c r="H31" i="23" s="1"/>
  <c r="M94" i="36"/>
  <c r="M105" i="36" s="1"/>
  <c r="H34" i="23" s="1"/>
  <c r="M98" i="36"/>
  <c r="M109" i="36" s="1"/>
  <c r="H58" i="23" s="1"/>
  <c r="M97" i="36"/>
  <c r="M108" i="36" s="1"/>
  <c r="H52" i="23" s="1"/>
  <c r="M96" i="36"/>
  <c r="M107" i="36" s="1"/>
  <c r="H46" i="23" s="1"/>
  <c r="M95" i="36"/>
  <c r="M106" i="36" s="1"/>
  <c r="H40" i="23" s="1"/>
  <c r="K98" i="36"/>
  <c r="K109" i="36" s="1"/>
  <c r="H56" i="23" s="1"/>
  <c r="K94" i="36"/>
  <c r="K105" i="36" s="1"/>
  <c r="H32" i="23" s="1"/>
  <c r="K97" i="36"/>
  <c r="K108" i="36" s="1"/>
  <c r="H50" i="23" s="1"/>
  <c r="K96" i="36"/>
  <c r="K107" i="36" s="1"/>
  <c r="H44" i="23" s="1"/>
  <c r="K95" i="36"/>
  <c r="K106" i="36" s="1"/>
  <c r="H38" i="23" s="1"/>
  <c r="H40" i="33" l="1"/>
  <c r="H42" i="33" s="1"/>
  <c r="A4" i="33" s="1"/>
  <c r="A4" i="36"/>
</calcChain>
</file>

<file path=xl/sharedStrings.xml><?xml version="1.0" encoding="utf-8"?>
<sst xmlns="http://schemas.openxmlformats.org/spreadsheetml/2006/main" count="2986" uniqueCount="793">
  <si>
    <t>PCDM charging model</t>
  </si>
  <si>
    <t>Release for 2024/25 charge setting</t>
  </si>
  <si>
    <t>DISCLAIMER</t>
  </si>
  <si>
    <t>Neither the authors nor Cambridge Economic Policy Associates/TNEI accept or assume any responsibility or duty of care to any third party.</t>
  </si>
  <si>
    <t>© All rights reserved by Cambridge Economic Policy Associates Ltd (CEPA) and TNEI Services Ltd (TNEI).</t>
  </si>
  <si>
    <t>Charging year:</t>
  </si>
  <si>
    <t>2024/25</t>
  </si>
  <si>
    <t>DNO name:</t>
  </si>
  <si>
    <t>Data version:</t>
  </si>
  <si>
    <t>Notes:</t>
  </si>
  <si>
    <t>[enter DNO comments, if any]</t>
  </si>
  <si>
    <t>Key:</t>
  </si>
  <si>
    <t>Format</t>
  </si>
  <si>
    <t>Description</t>
  </si>
  <si>
    <t>Cell intentionally blank</t>
  </si>
  <si>
    <t>Value</t>
  </si>
  <si>
    <t>Hardcoded input</t>
  </si>
  <si>
    <t>User input</t>
  </si>
  <si>
    <t>Model output</t>
  </si>
  <si>
    <t>Calculation</t>
  </si>
  <si>
    <t>Value from another worksheet</t>
  </si>
  <si>
    <t>Value used on another worksheet</t>
  </si>
  <si>
    <t>Issue identified in a check</t>
  </si>
  <si>
    <t>Text</t>
  </si>
  <si>
    <t>Label</t>
  </si>
  <si>
    <t>Annotation</t>
  </si>
  <si>
    <t>Column heading</t>
  </si>
  <si>
    <t>Level 1 heading</t>
  </si>
  <si>
    <t>Level 2 heading</t>
  </si>
  <si>
    <t>Level 3 and 4 heading</t>
  </si>
  <si>
    <t>Sheet tab colour</t>
  </si>
  <si>
    <t>Information sheet</t>
  </si>
  <si>
    <t>Input sheet</t>
  </si>
  <si>
    <t>Calculation sheet</t>
  </si>
  <si>
    <t>Output sheet</t>
  </si>
  <si>
    <t>Model version</t>
  </si>
  <si>
    <t>Model date:</t>
  </si>
  <si>
    <t>Development stage:</t>
  </si>
  <si>
    <t>Model number:</t>
  </si>
  <si>
    <t>DCUSA text version:</t>
  </si>
  <si>
    <t>DCUSA text schedule:</t>
  </si>
  <si>
    <t>Version log</t>
  </si>
  <si>
    <t>Model date</t>
  </si>
  <si>
    <t>Development stage</t>
  </si>
  <si>
    <t>Model number</t>
  </si>
  <si>
    <t>DCUSA text version</t>
  </si>
  <si>
    <t>DCUSA text schedule</t>
  </si>
  <si>
    <t>Author</t>
  </si>
  <si>
    <t>Description of changes</t>
  </si>
  <si>
    <t>Pre-release</t>
  </si>
  <si>
    <t>2019-20 pre-release plus Expert Panel clarifications</t>
  </si>
  <si>
    <t>Schedule 29</t>
  </si>
  <si>
    <t>CEPA-TNEI</t>
  </si>
  <si>
    <t>-</t>
  </si>
  <si>
    <t>DCUSA v10.3 (released 28/06/2018)</t>
  </si>
  <si>
    <t>References to DCUSA text updated to comply with version 10.3 (released 28/06/2018).</t>
  </si>
  <si>
    <t>DCUSA v10.3 (released 28/06/2018) + DCP 306</t>
  </si>
  <si>
    <t>Updated for DCP 306.</t>
  </si>
  <si>
    <t>Release for charge setting</t>
  </si>
  <si>
    <t>01 April 2020 DCUSA Charging Methodologies Pre-Release (released 09/10/2018)</t>
  </si>
  <si>
    <t>Updated references to legal text version.</t>
  </si>
  <si>
    <t>Attachment A_01 April 2021 Charging Methodologies Pre-Release_Issued October 2019 (shared 10/10/2019)</t>
  </si>
  <si>
    <t>01 April 2022 Charging Methodologies Pre-Release – October 2020 (Schedules 16, 17, 18, 20 and 29) DCP 361</t>
  </si>
  <si>
    <t>Updated references to legal text version. Rounding tolerance added to check on "Expensed" sheet.</t>
  </si>
  <si>
    <t>Attachment A_Charging Methodologies Pre-Release_01042023 (shared 15/11/2021)</t>
  </si>
  <si>
    <t xml:space="preserve">Release for charge setting. Cover sheet, version control and annotation changes only. </t>
  </si>
  <si>
    <t>DCP395 Option 1 Legal Text 270122 (shared 31/01/2022)</t>
  </si>
  <si>
    <t>Updated for DCP 395.</t>
  </si>
  <si>
    <t>Attachment A_2024-25 Charging Methodologies Pre-Release (shared 06/10/2022)</t>
  </si>
  <si>
    <t>Release for charge setting including DCP 395.</t>
  </si>
  <si>
    <t>Model checks</t>
  </si>
  <si>
    <t>Issues identified by in-built model checks, by sheet</t>
  </si>
  <si>
    <t>MEAV</t>
  </si>
  <si>
    <t>number of issues</t>
  </si>
  <si>
    <t>Expenditure</t>
  </si>
  <si>
    <t>Expensed</t>
  </si>
  <si>
    <t>Capitalised</t>
  </si>
  <si>
    <t>Rev allocation</t>
  </si>
  <si>
    <t>Direct</t>
  </si>
  <si>
    <t>EDCM discounts</t>
  </si>
  <si>
    <t>CDCM discounts</t>
  </si>
  <si>
    <t>Total</t>
  </si>
  <si>
    <t>Version log lists</t>
  </si>
  <si>
    <t>Development stages</t>
  </si>
  <si>
    <t>Working draft</t>
  </si>
  <si>
    <t>Interim release</t>
  </si>
  <si>
    <t>…</t>
  </si>
  <si>
    <t>End of sheet</t>
  </si>
  <si>
    <t>Map</t>
  </si>
  <si>
    <t>Model map</t>
  </si>
  <si>
    <t>This sheet contains links to each sheet of the model and the main sections within them.</t>
  </si>
  <si>
    <t>It also contains links to more granular sections within the sheets for inputs, calculations and outputs.</t>
  </si>
  <si>
    <t>Index of sheets and main sections</t>
  </si>
  <si>
    <t>The following table provides links to all the sheets within this model and the main sections within them.</t>
  </si>
  <si>
    <t>Sheet</t>
  </si>
  <si>
    <t>Section</t>
  </si>
  <si>
    <t>Cover</t>
  </si>
  <si>
    <t>Version control</t>
  </si>
  <si>
    <t/>
  </si>
  <si>
    <t>Fixed inputs</t>
  </si>
  <si>
    <t>DNO inputs</t>
  </si>
  <si>
    <t>Output to other models</t>
  </si>
  <si>
    <t>Index of inputs, calculation sections and outputs</t>
  </si>
  <si>
    <t>The following table provides links to each input, calculation and output section. Each has a unique identifier for ease of reference.</t>
  </si>
  <si>
    <t>Click here to return to model map</t>
  </si>
  <si>
    <t>Units</t>
  </si>
  <si>
    <t>Constant</t>
  </si>
  <si>
    <t>Legal text reference</t>
  </si>
  <si>
    <t>This sheet contains inputs that are universal or set in the DCUSA text.</t>
  </si>
  <si>
    <t>Universal values</t>
  </si>
  <si>
    <t>This section contains universal constants used in this model.</t>
  </si>
  <si>
    <t>Input 401-A: Universal values</t>
  </si>
  <si>
    <t>One million</t>
  </si>
  <si>
    <t>scalar</t>
  </si>
  <si>
    <t>Inputs from DCUSA text</t>
  </si>
  <si>
    <t>This section contains input values drawn from the DCUSA text, which do not vary by DNO.</t>
  </si>
  <si>
    <t>Input 401-B: EDCM discount cap</t>
  </si>
  <si>
    <t>A cap on EDCM discounts is explicitly specified in the DCUSA text.</t>
  </si>
  <si>
    <t>EDCM discount cap</t>
  </si>
  <si>
    <t>%</t>
  </si>
  <si>
    <t>&gt;</t>
  </si>
  <si>
    <t>Paragraph 46</t>
  </si>
  <si>
    <t>Input 401-C: Network length splits for EDCM</t>
  </si>
  <si>
    <t>Network length split values, used to share costs between parties at the boundary level, are specified as 100%</t>
  </si>
  <si>
    <t>in the DCUSA text.</t>
  </si>
  <si>
    <t>Network length split for 132kV</t>
  </si>
  <si>
    <t>Network length split for EHV</t>
  </si>
  <si>
    <t>Input 401-D: Allocation rules allocation key</t>
  </si>
  <si>
    <t>The Allocation rules table in the DCUSA text currently specifies one of three options to allocate expenditure between</t>
  </si>
  <si>
    <t xml:space="preserve">network levels. No allocation option is specified for the first category as its inputs are defined separately. </t>
  </si>
  <si>
    <t>Please note that the model treats "Deduct from revenue," "Do not allocate" and blank values as the same.</t>
  </si>
  <si>
    <t>Allocation rules allocation key options (for data validation)</t>
  </si>
  <si>
    <t>Option 1</t>
  </si>
  <si>
    <t>option</t>
  </si>
  <si>
    <t>Option 2</t>
  </si>
  <si>
    <t>Deduct from revenue</t>
  </si>
  <si>
    <t>Option 3</t>
  </si>
  <si>
    <t>Do not allocate</t>
  </si>
  <si>
    <t>Option 4</t>
  </si>
  <si>
    <t>LV Services</t>
  </si>
  <si>
    <t>MEAV allocation option name</t>
  </si>
  <si>
    <t>selection</t>
  </si>
  <si>
    <t>LV Services allocation option name</t>
  </si>
  <si>
    <t>Allocation rules allocation key, by cost category</t>
  </si>
  <si>
    <t>Table "Allocation rules"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</si>
  <si>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</si>
  <si>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</si>
  <si>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</si>
  <si>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</si>
  <si>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</si>
  <si>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</si>
  <si>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</si>
  <si>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</si>
  <si>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</si>
  <si>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</si>
  <si>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</si>
  <si>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</si>
  <si>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</si>
  <si>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</si>
  <si>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</si>
  <si>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</si>
  <si>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</si>
  <si>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</si>
  <si>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</si>
  <si>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</si>
  <si>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</si>
  <si>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</si>
  <si>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</si>
  <si>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</si>
  <si>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</si>
  <si>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</si>
  <si>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</si>
  <si>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</si>
  <si>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</si>
  <si>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</si>
  <si>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</si>
  <si>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Pension deficit repair payments by related parties</t>
  </si>
  <si>
    <t>Non activity costs and reconciling amounts - Ofgem licence fees</t>
  </si>
  <si>
    <t>Paragraph 6 &amp; Paragraph 11A</t>
  </si>
  <si>
    <t>Non activity costs and reconciling amounts - Other costs</t>
  </si>
  <si>
    <t>Pass-through Smart Meter Communication Licence Costs</t>
  </si>
  <si>
    <t>Paragraph 6 &amp; Paragraph 11B</t>
  </si>
  <si>
    <t>Input 401-E: Allocation rules percentage capitalised</t>
  </si>
  <si>
    <t xml:space="preserve">The Allocation rules table in the DCUSA text sets out capitalisation rates by expenditure category to calculate estimates </t>
  </si>
  <si>
    <t>of operating expenditure.</t>
  </si>
  <si>
    <t>Allocation rules percentage capitalised, by cost category</t>
  </si>
  <si>
    <t>Input 401-F: Allocation rules direct cost indicator</t>
  </si>
  <si>
    <t xml:space="preserve">The DCUSA text specifies flags to identify if an expenditure category is "direct." The resulting "direct proportion" </t>
  </si>
  <si>
    <t>is used to split costs where the LDNO boundary is at a circuits level.</t>
  </si>
  <si>
    <t>Direct cost indicator options (for data validation)</t>
  </si>
  <si>
    <t>flag</t>
  </si>
  <si>
    <t>Direct cost indicator, by cost category</t>
  </si>
  <si>
    <t>Input 401-G: Mapping of MEAV asset categories to network levels</t>
  </si>
  <si>
    <t>The DCUSA text provides a mapping of 85 MEAV asset categories to one of five network levels.</t>
  </si>
  <si>
    <t>Network level allocation options (for data validation)</t>
  </si>
  <si>
    <t>network level</t>
  </si>
  <si>
    <t>LV services</t>
  </si>
  <si>
    <t>LV mains</t>
  </si>
  <si>
    <t>HV/LV</t>
  </si>
  <si>
    <t>HV</t>
  </si>
  <si>
    <t>Option 5</t>
  </si>
  <si>
    <t>EHV and 132kV</t>
  </si>
  <si>
    <t>Mapping of MEAV asset categories to network levels</t>
  </si>
  <si>
    <t>Table "Mapping of assets to network levels"</t>
  </si>
  <si>
    <t>LV mains overhead lines</t>
  </si>
  <si>
    <t>LV services overhead lines</t>
  </si>
  <si>
    <t>LV overhead support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</si>
  <si>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</si>
  <si>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</si>
  <si>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</si>
  <si>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</si>
  <si>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</si>
  <si>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</si>
  <si>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</si>
  <si>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</si>
  <si>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</si>
  <si>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</si>
  <si>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overhead line, open</t>
  </si>
  <si>
    <t>6.6/11kV overhead line, covered</t>
  </si>
  <si>
    <t>20kV overhead line, open</t>
  </si>
  <si>
    <t>20kV overhead line, covered</t>
  </si>
  <si>
    <t>6.6/11kV overhead support</t>
  </si>
  <si>
    <t>20kV overhead support</t>
  </si>
  <si>
    <t>6.6/11kV underground cable</t>
  </si>
  <si>
    <t>20kV underground cable</t>
  </si>
  <si>
    <t>HV submarine cable</t>
  </si>
  <si>
    <t>6.6/11kV circuit breaker pole-mounted</t>
  </si>
  <si>
    <t>6.6/11kV circuit breaker ground-mounted</t>
  </si>
  <si>
    <t>6.6/11kV switch pole-mounted</t>
  </si>
  <si>
    <t>6.6/11kV switch ground-mounted</t>
  </si>
  <si>
    <t>6.6/11kV ring main unit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</si>
  <si>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</si>
  <si>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</si>
  <si>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</si>
  <si>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</si>
  <si>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</si>
  <si>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</si>
  <si>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ring main unit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</si>
  <si>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</si>
  <si>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</si>
  <si>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</si>
  <si>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</si>
  <si>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</si>
  <si>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</si>
  <si>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overhead pole line</t>
  </si>
  <si>
    <t>33kV overhead tower line</t>
  </si>
  <si>
    <t>66kV overhead pole line</t>
  </si>
  <si>
    <t>66kV overhead tower line</t>
  </si>
  <si>
    <t>33kV pole</t>
  </si>
  <si>
    <t>33kV tower</t>
  </si>
  <si>
    <t>66kV pole</t>
  </si>
  <si>
    <t>66kV tower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</si>
  <si>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</si>
  <si>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</si>
  <si>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</si>
  <si>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</si>
  <si>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</si>
  <si>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</si>
  <si>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</si>
  <si>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33kV circuit breaker, indoors</t>
  </si>
  <si>
    <t>33kV circuit breaker, outdoors</t>
  </si>
  <si>
    <t>33kV switch, ground-mounted</t>
  </si>
  <si>
    <t>33kV switch, pole-mounted</t>
  </si>
  <si>
    <t>33kV ring main unit</t>
  </si>
  <si>
    <t>33kV other switchgear</t>
  </si>
  <si>
    <t>66kV circuit breaker, indoors and outdoors</t>
  </si>
  <si>
    <t>66kV other switchgear</t>
  </si>
  <si>
    <t>33kV transformer, pole-mounted</t>
  </si>
  <si>
    <t>33kV transformer, ground mounted</t>
  </si>
  <si>
    <t>33kV auxiliary transformer</t>
  </si>
  <si>
    <t>66kV transformer</t>
  </si>
  <si>
    <t>66kV auxiliary transformer</t>
  </si>
  <si>
    <t>132kV overhead line pole conductor</t>
  </si>
  <si>
    <t>132kV overhead line tower conductor</t>
  </si>
  <si>
    <t>132kV pole</t>
  </si>
  <si>
    <t>132kV tower</t>
  </si>
  <si>
    <t>132kV tower fittings</t>
  </si>
  <si>
    <t>132kV underground cable, non-pressurised</t>
  </si>
  <si>
    <t>132kV underground cable, oil</t>
  </si>
  <si>
    <t>132kV underground cable, gas</t>
  </si>
  <si>
    <t>132kV submarine cable</t>
  </si>
  <si>
    <t>132kV circuit breaker, indoors and outdoors</t>
  </si>
  <si>
    <t>132kV other switchgear</t>
  </si>
  <si>
    <t>132kV transformer</t>
  </si>
  <si>
    <t>132kV auxiliary transformer</t>
  </si>
  <si>
    <t>132kV/EHV remote terminal unit, pole-mounted</t>
  </si>
  <si>
    <t>132kV/EHV remote terminal unit, ground-mounted</t>
  </si>
  <si>
    <t>HV remote terminal unit, pole-mounted</t>
  </si>
  <si>
    <t>HV remote terminal unit, ground-mounted</t>
  </si>
  <si>
    <t>Input 401-H: Extended mapping of MEAV asset categories to network levels</t>
  </si>
  <si>
    <t xml:space="preserve">The DCUSA text provides an extended mapping of 85 MEAV asset categories to four EHV network levels for use in </t>
  </si>
  <si>
    <t>the calculation of EDCM discounts.</t>
  </si>
  <si>
    <t>Extended network level allocation options (for data validation)</t>
  </si>
  <si>
    <t>EHV</t>
  </si>
  <si>
    <t>132kV/EHV</t>
  </si>
  <si>
    <t>EHV/HV</t>
  </si>
  <si>
    <t>132kV</t>
  </si>
  <si>
    <t>Extended mapping of MEAV asset categories to network levels</t>
  </si>
  <si>
    <t>Table "MEAV EDCM mapping"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</si>
  <si>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</si>
  <si>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</si>
  <si>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</si>
  <si>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Paragraph 26</t>
  </si>
  <si>
    <t>LV</t>
  </si>
  <si>
    <t>Input 401-J: Losses coefficient for the calculation of adjustment factors for units distributed</t>
  </si>
  <si>
    <t>The DCUSA text specifies losses coefficients for the calculation of units flowing.</t>
  </si>
  <si>
    <t>Losses coefficient for the calculation of adjustment factors for units distributed, by network level</t>
  </si>
  <si>
    <t>Input 401-K: Network levels included in the calculation of "S", by user type and network level</t>
  </si>
  <si>
    <t xml:space="preserve">This table sets out flags to explicitly show what network levels are assumed to be included in all-the-way tariffs for </t>
  </si>
  <si>
    <t>different users.</t>
  </si>
  <si>
    <t>Network levels included in the calculation of "S", by user type and network level</t>
  </si>
  <si>
    <t>LV demand</t>
  </si>
  <si>
    <t>LV substation demand or LV generation</t>
  </si>
  <si>
    <t>HV demand or LV substation generation</t>
  </si>
  <si>
    <t>HV generation</t>
  </si>
  <si>
    <t>Input 401-L: Decimal places for error checks</t>
  </si>
  <si>
    <t>Decimals of precision for error checks</t>
  </si>
  <si>
    <t>integer</t>
  </si>
  <si>
    <t>This sheet contains inputs specific to each DNO or updated each year.</t>
  </si>
  <si>
    <t>Nominated Calculation Agent inputs</t>
  </si>
  <si>
    <t>This section contains inputs provided by the Nominated Calculation Agent each year.</t>
  </si>
  <si>
    <t>Input 402-A: LV mains split</t>
  </si>
  <si>
    <t>A LV mains split value should be provided by the Nominated Calculation Agent each year. This value may vary by DNO.</t>
  </si>
  <si>
    <t>LV mains split</t>
  </si>
  <si>
    <t>Paragraphs 33, 34 &amp; 35</t>
  </si>
  <si>
    <t>Input 402-B: HV split</t>
  </si>
  <si>
    <t xml:space="preserve">A HV split value should be provided by the Nominated Calculation Agent each year. This value should be the </t>
  </si>
  <si>
    <t>same for all DNOs.</t>
  </si>
  <si>
    <t>HV split</t>
  </si>
  <si>
    <t>Paragraphs 36 &amp; 37</t>
  </si>
  <si>
    <t>Inputs from other charging models</t>
  </si>
  <si>
    <t>This section contains input values from the DNO's CDCM and EDCM models.</t>
  </si>
  <si>
    <t>Input 402-C: CDCM notional asset values</t>
  </si>
  <si>
    <t>Notional asset values should be imported each year from the latest CDCM model.</t>
  </si>
  <si>
    <t>The CDCM output reference is Output 102-A.</t>
  </si>
  <si>
    <t>CDCM notional EHV asset values</t>
  </si>
  <si>
    <t>Paragraphs 4 (f) &amp; 8</t>
  </si>
  <si>
    <t>£</t>
  </si>
  <si>
    <t>132kV/HV</t>
  </si>
  <si>
    <t>Input 402-D: CDCM smart meter communication licence costs</t>
  </si>
  <si>
    <t>The smart meter communication licence costs are imported from the CDCM, which takes them from Schedule 15.</t>
  </si>
  <si>
    <t>The CDCM output reference is Output 102-B.</t>
  </si>
  <si>
    <t>Paragraph 5 (e)</t>
  </si>
  <si>
    <t>Input 402-E: EDCM notional asset value</t>
  </si>
  <si>
    <t>This notional asset value should be imported each year from the latest EDCM model.</t>
  </si>
  <si>
    <t>The output reference for the EDCM (LRIC) model is Output 207-B; it is Output 307-B for the EDCM (FCP) model.</t>
  </si>
  <si>
    <t>EDCM notional asset value, total</t>
  </si>
  <si>
    <t>Paragraph 4 (e)</t>
  </si>
  <si>
    <t>Inflation indices</t>
  </si>
  <si>
    <t>This section contains inputs used to adjust costs for inflation.</t>
  </si>
  <si>
    <t>Input 402-F: Inflation indices</t>
  </si>
  <si>
    <t>Inflation indices should be entered for the charging year, and for 2007/08.</t>
  </si>
  <si>
    <t>Price indexation in 2007/08</t>
  </si>
  <si>
    <t>Price indexation in current charging year</t>
  </si>
  <si>
    <t>Other DNO-specific inputs</t>
  </si>
  <si>
    <t>This section contains other DNO-specific inputs.</t>
  </si>
  <si>
    <t>Input 402-G: MEAV asset count</t>
  </si>
  <si>
    <t xml:space="preserve">The DNO provides asset counts for each of the following 85 asset types. Where noted in the label, values </t>
  </si>
  <si>
    <t>are provided as km rather than asset counts.</t>
  </si>
  <si>
    <t>MEAV asset count (km if noted), by asset type</t>
  </si>
  <si>
    <t>Paragraph 7</t>
  </si>
  <si>
    <t>LV main overhead line km</t>
  </si>
  <si>
    <t>units</t>
  </si>
  <si>
    <t>LV service overhead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</si>
  <si>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</si>
  <si>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</si>
  <si>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</si>
  <si>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</si>
  <si>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</si>
  <si>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</si>
  <si>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</si>
  <si>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</si>
  <si>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</si>
  <si>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</si>
  <si>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</si>
  <si>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</si>
  <si>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open km</t>
  </si>
  <si>
    <t>20kV overhead covered km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</si>
  <si>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</si>
  <si>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</si>
  <si>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</si>
  <si>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</si>
  <si>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</si>
  <si>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</si>
  <si>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</si>
  <si>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</si>
  <si>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</si>
  <si>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</si>
  <si>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</si>
  <si>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</si>
  <si>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</si>
  <si>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</si>
  <si>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</si>
  <si>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</si>
  <si>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</si>
  <si>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</si>
  <si>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</si>
  <si>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</si>
  <si>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</si>
  <si>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</si>
  <si>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</si>
  <si>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</si>
  <si>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</si>
  <si>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</si>
  <si>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</si>
  <si>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</si>
  <si>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</si>
  <si>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</si>
  <si>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</si>
  <si>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</si>
  <si>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66kV breaker</t>
  </si>
  <si>
    <t>33kV transformer pole-mounted</t>
  </si>
  <si>
    <t>33kV transformer ground-mounted</t>
  </si>
  <si>
    <t>132kV overhead pole conductor km</t>
  </si>
  <si>
    <t xml:space="preserve">132kV overhead tower conductor km 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</si>
  <si>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</si>
  <si>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</si>
  <si>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</si>
  <si>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</si>
  <si>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</si>
  <si>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</si>
  <si>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</si>
  <si>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</si>
  <si>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</si>
  <si>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Input 402-H: MEAV per unit</t>
  </si>
  <si>
    <t>The DNO provides per unit modern equivalent asset values (MEAV) for each of the following 85 asset types.</t>
  </si>
  <si>
    <t>MEAV per unit, by asset type</t>
  </si>
  <si>
    <t>Paragraphs 4 (d) &amp; 5 (d)</t>
  </si>
  <si>
    <t>£ per unit</t>
  </si>
  <si>
    <t>Input 402-I: 2007/08 RRP expenditure, by cost category</t>
  </si>
  <si>
    <t>The DNO provides expenditure values for the following 33 cost categories using 2007/08 regulatory reporting</t>
  </si>
  <si>
    <t>pack (RRP) data.</t>
  </si>
  <si>
    <t>2007/08 RRP expenditure, by cost category</t>
  </si>
  <si>
    <t>Paragraphs 4 (a) &amp; 5 (a)</t>
  </si>
  <si>
    <t>£ per year</t>
  </si>
  <si>
    <t>System Mapping - Cartographical</t>
  </si>
  <si>
    <t>Input 402-J: 2007/08 RRP expenditure, by network level and cost category</t>
  </si>
  <si>
    <t xml:space="preserve">The DNO provides expenditure values split by network level for the following 33 cost categories using </t>
  </si>
  <si>
    <t>2007/08 RRP data.</t>
  </si>
  <si>
    <t>2007/08 RRP expenditure, by network level and cost category</t>
  </si>
  <si>
    <t>Paragraphs 4 (a), 5 (a) &amp; 6</t>
  </si>
  <si>
    <t>Input 402-K: Adjusted 2007/08 load related new connections &amp; reinforcement (net of contributions)</t>
  </si>
  <si>
    <t xml:space="preserve">The DNO provides values for the following four network levels based on the 2007/08 RRP and ten-year averages </t>
  </si>
  <si>
    <t>of forecast business plan questionnaire (FBPQ) data.</t>
  </si>
  <si>
    <t>Adjusted 2007/08 load related new connections &amp; reinforcement (net of contributions), by network level</t>
  </si>
  <si>
    <t>Paragraphs 4 (a), 4 (c), 5 (a), 5 (b) and 9</t>
  </si>
  <si>
    <t>Input 402-L: Net capex (2005/06 to 2014/15)</t>
  </si>
  <si>
    <t xml:space="preserve">The DNO provides ten-year net capex values for the following five network levels, including adjustments </t>
  </si>
  <si>
    <t>specified in the DCUSA text.</t>
  </si>
  <si>
    <t>Net capex (2005/06 to 2014/15), by network level</t>
  </si>
  <si>
    <t>Paragraphs 4 (c), 5 (c), 13, 14, 16, 17, 18</t>
  </si>
  <si>
    <t>LV/HV</t>
  </si>
  <si>
    <t>Input 402-M: LV services share of LV net capex</t>
  </si>
  <si>
    <t xml:space="preserve">The DNO provides the ratio of net capital expenditure on total condition based replacement costs for LV mains to </t>
  </si>
  <si>
    <t>the sum of LV mains and LV services.</t>
  </si>
  <si>
    <t>LV services share of LV net capex</t>
  </si>
  <si>
    <t>Paragraph 19</t>
  </si>
  <si>
    <t>Input 402-N: Price control allowed revenue</t>
  </si>
  <si>
    <t>The DNO provides a disaggregation of price control allowed revenue into the following three categories.</t>
  </si>
  <si>
    <t>Price control allowed revenue, by component (2005/06 to 2009/10)</t>
  </si>
  <si>
    <t>Paragraphs 3 (a), 5 &amp; 20</t>
  </si>
  <si>
    <t>Aggregate return allowance</t>
  </si>
  <si>
    <t>Aggregate depreciation allowance</t>
  </si>
  <si>
    <t>Aggregate operating allowance</t>
  </si>
  <si>
    <t>Input 402-O: 2007/08 total allowed revenue</t>
  </si>
  <si>
    <t>The DNO provides the value of total price control revenue for 2007/08.</t>
  </si>
  <si>
    <t>2007/08 total allowed revenue</t>
  </si>
  <si>
    <t>Paragraph 21</t>
  </si>
  <si>
    <t>Input 402-P: 2007/08 net incentive revenue</t>
  </si>
  <si>
    <t>The DNO provides the value of the net amount earned under price control financial incentive schemes in 2007/08.</t>
  </si>
  <si>
    <t>2007/08 net incentive revenue</t>
  </si>
  <si>
    <t>Input 402-Q: Additional DNO revenue</t>
  </si>
  <si>
    <t xml:space="preserve">The DNO provides the value of additional annual DNO revenue relating to customer contributions, calculated </t>
  </si>
  <si>
    <t>using ten years of FBPQ data.</t>
  </si>
  <si>
    <t>Additional DNO revenue</t>
  </si>
  <si>
    <t>Paragraphs 4 (c), 5 (b) &amp; 23</t>
  </si>
  <si>
    <t>Input 402-R: 2007/08 units distributed, by network level</t>
  </si>
  <si>
    <t>The DNO provides RRP values for units distributed during 2007/08 for each of the following three network levels.</t>
  </si>
  <si>
    <t>2007/08 units distributed, by network level</t>
  </si>
  <si>
    <t>Paragraphs 4 (a), 5 (a) and 26</t>
  </si>
  <si>
    <t>GWh per year</t>
  </si>
  <si>
    <t>Input 402-S: 2007/08 network losses</t>
  </si>
  <si>
    <t>The DNO provides the RRP value of network losses in 2007/08.</t>
  </si>
  <si>
    <t>2007/08 network losses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</si>
  <si>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</si>
  <si>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</si>
  <si>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>The calculations on this sheet relate to Schedule 29 paragraphs 7, 8, 38 and 39.</t>
  </si>
  <si>
    <t xml:space="preserve">Network level MEAV values are calculated using asset-specific MEAV values, asset counts and a mapping of </t>
  </si>
  <si>
    <t>assets to network levels set out in the DCUSA text.</t>
  </si>
  <si>
    <t>Section 401-A: MEAV by asset type</t>
  </si>
  <si>
    <t>MEAV, by asset type</t>
  </si>
  <si>
    <t>£m</t>
  </si>
  <si>
    <t>Total MEAV</t>
  </si>
  <si>
    <t>Section 401-B: Mapping of asset types to network levels</t>
  </si>
  <si>
    <t>Network level allocation flag, by asset type and network level</t>
  </si>
  <si>
    <t>Check expenditure category is allocated to a single level</t>
  </si>
  <si>
    <t>Sum of checks</t>
  </si>
  <si>
    <t>EHV and 132kV network level allocation flag, by asset type and network level</t>
  </si>
  <si>
    <t>Paragraph 39</t>
  </si>
  <si>
    <t>Section 401-C: MEAV shares, by asset type and network level</t>
  </si>
  <si>
    <t>MEAV, by network level</t>
  </si>
  <si>
    <t>LV MEAV is greater than zero</t>
  </si>
  <si>
    <t>TRUE/FALSE</t>
  </si>
  <si>
    <t>Total MEAV is greater than zero</t>
  </si>
  <si>
    <t>Difference in MEAV value before and after allocation to levels</t>
  </si>
  <si>
    <t>Check MEAV value equal before and after allocation to levels</t>
  </si>
  <si>
    <t>Share of total MEAV, by network level</t>
  </si>
  <si>
    <t>Check sum to 100%</t>
  </si>
  <si>
    <t>Share of LV MEAV, by network level</t>
  </si>
  <si>
    <t>n/a</t>
  </si>
  <si>
    <t>Services share of LV MEAV</t>
  </si>
  <si>
    <t>Mains share of LV MEAV</t>
  </si>
  <si>
    <t>Section 401-D: MEAV shares from extended mapping, by asset type and network level</t>
  </si>
  <si>
    <t>Share of EHV and 132kV MEAV, by network level</t>
  </si>
  <si>
    <t>Paragraphs 38 &amp; 39</t>
  </si>
  <si>
    <t>Total EHV and 132kV MEAV</t>
  </si>
  <si>
    <t>Total EHV and 132kV MEAV is greater than zero</t>
  </si>
  <si>
    <t>"EHV/HV allocation"</t>
  </si>
  <si>
    <t>"EHV allocation"</t>
  </si>
  <si>
    <t>"132kV/EHV allocation"</t>
  </si>
  <si>
    <t>"132kV allocation"</t>
  </si>
  <si>
    <t>Adjusted MEAV</t>
  </si>
  <si>
    <t>MEAV values at the EHV and 132kV level are adjusted as part of the calculation of CDCM user discounts.</t>
  </si>
  <si>
    <t>Section 401-E: EHV reduction ratio</t>
  </si>
  <si>
    <t>Unadjusted MEAV (EHV and 132kV)</t>
  </si>
  <si>
    <t>Notional EHV and 132 kV asset value</t>
  </si>
  <si>
    <t>Paragraph 8</t>
  </si>
  <si>
    <t>Sum of notional asset values is greater than zero</t>
  </si>
  <si>
    <t>EHV reduction rate</t>
  </si>
  <si>
    <t>Section 401-F: Adjusted MEAV</t>
  </si>
  <si>
    <t>Adjusted MEAV (EHV and 132kV)</t>
  </si>
  <si>
    <t>Adjusted MEAV, by network level</t>
  </si>
  <si>
    <t>Total adjusted MEAV</t>
  </si>
  <si>
    <t>Total adjusted MEAV is greater than zero</t>
  </si>
  <si>
    <t>Share of total adjusted MEAV, by network level</t>
  </si>
  <si>
    <t>Checks</t>
  </si>
  <si>
    <t>This sheet contains calculations to allocate expenditure to different network levels.</t>
  </si>
  <si>
    <t>The calculations on this sheet relate to Schedule 29 paragraphs 6, 7 and 9 and the "Allocation rules" table.</t>
  </si>
  <si>
    <t>Expenditure allocated based on RRP</t>
  </si>
  <si>
    <t>Some costs are allocated to network levels based on RRP data.</t>
  </si>
  <si>
    <t>Section 402-A: Expenditure allocated to cost category based on RRP (without LV split)</t>
  </si>
  <si>
    <t>2007/08 RRP expenditure, by cost category and network level</t>
  </si>
  <si>
    <t>Adjusted 2007/08 RRP expenditure, by cost category and network level</t>
  </si>
  <si>
    <t>Expenditure allocated to cost category based on RRP, by network level</t>
  </si>
  <si>
    <t>Paragraphs 6, 9  &amp; "Allocation rules" table</t>
  </si>
  <si>
    <t>Section 402-B: Expenditure allocated to cost category based on RRP (with LV split)</t>
  </si>
  <si>
    <t>MEAV allocation flag</t>
  </si>
  <si>
    <t>See User Guide</t>
  </si>
  <si>
    <t>Expenditure allocated to cost category based on RRP (with LV split), by network level</t>
  </si>
  <si>
    <t>Total expenditure allocated to a network level</t>
  </si>
  <si>
    <t>Expenditure allocated based on MEAV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</si>
  <si>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</si>
  <si>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</si>
  <si>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>Section 402-C: Expenditure for allocation based on MEAV</t>
  </si>
  <si>
    <t>Remaining expenditure for allocation</t>
  </si>
  <si>
    <t>Expenditure to be allocated based on MEAV</t>
  </si>
  <si>
    <t>Section 402-D: MEAV allocation shares</t>
  </si>
  <si>
    <t>Section 402-E: Expenditure allocated based on MEAV</t>
  </si>
  <si>
    <t>Expenditure allocated based on unadjusted MEAV, by network level</t>
  </si>
  <si>
    <t>Expenditure allocated based on adjusted MEAV, by network level</t>
  </si>
  <si>
    <t>Allocation to LV Services</t>
  </si>
  <si>
    <t>Certain categories of expenditure are allocated directly to the LV Services network level.</t>
  </si>
  <si>
    <t>Section 402-F: Smart meter communication licence costs</t>
  </si>
  <si>
    <t>Price index adjuster (inverted)</t>
  </si>
  <si>
    <t>Pass-through Smart Meter Communication Licence Costs expressed in 2007/08 prices</t>
  </si>
  <si>
    <t>Section 402-G: Expenditure allocated to LV Services</t>
  </si>
  <si>
    <t>LV Services allocation flag</t>
  </si>
  <si>
    <t>Expenditure to be allocated to LV Services</t>
  </si>
  <si>
    <t>Check for double allocation of expenditure to LV services</t>
  </si>
  <si>
    <t>Total expenditure allocated</t>
  </si>
  <si>
    <t xml:space="preserve">Expenditure allocated to network levels based on RRP data and using MEAV are combined. CDCM and EDCM discounts </t>
  </si>
  <si>
    <t>use different MEAV-based allocations.</t>
  </si>
  <si>
    <t>Section 402-H: Total expenditure allocated for discounts</t>
  </si>
  <si>
    <t>Total expenditure allocated, by network level and cost category (EDCM)</t>
  </si>
  <si>
    <t>Paragraphs 6 &amp; 7</t>
  </si>
  <si>
    <t>LV services (EDCM)</t>
  </si>
  <si>
    <t>LV mains (EDCM)</t>
  </si>
  <si>
    <t>HV/LV (EDCM)</t>
  </si>
  <si>
    <t>HV (EDCM)</t>
  </si>
  <si>
    <t>EHV and 132kV (EDCM)</t>
  </si>
  <si>
    <t>Total expenditure allocated, by network level and cost category (CDCM)</t>
  </si>
  <si>
    <t>LV services (CDCM)</t>
  </si>
  <si>
    <t>LV mains (CDCM)</t>
  </si>
  <si>
    <t>HV/LV (CDCM)</t>
  </si>
  <si>
    <t>HV (CDCM)</t>
  </si>
  <si>
    <t>EHV and 132kV (CDCM)</t>
  </si>
  <si>
    <t>Check total expenditure allocated is greater than zero</t>
  </si>
  <si>
    <t>Check expenditure allocated is equal to the nearest £ per year</t>
  </si>
  <si>
    <t xml:space="preserve">This sheet contains calculations of "expensed proportions" used to allocate the operating expenditure proportion of DNO </t>
  </si>
  <si>
    <t>revenue to network levels.</t>
  </si>
  <si>
    <t>The calculations on this sheet relate to Schedule 29 paragraphs 10 and 11.</t>
  </si>
  <si>
    <t>Expensed proportions</t>
  </si>
  <si>
    <t xml:space="preserve">Expensed proportions are calculated based on the expenditure allocated to each network level and a capitalisation </t>
  </si>
  <si>
    <t>rate, which varies by cost category.</t>
  </si>
  <si>
    <t>Section 403-A: Total expenditure allocated</t>
  </si>
  <si>
    <t>Section 403-B: Share expensed</t>
  </si>
  <si>
    <t>Share of expenditure capitalised</t>
  </si>
  <si>
    <t>Share of expenditure expensed</t>
  </si>
  <si>
    <t>Paragraph 10</t>
  </si>
  <si>
    <t>Section 403-C: Value expensed</t>
  </si>
  <si>
    <t>Expensed proportion of total expenditure allocated, by network level (EDCM)</t>
  </si>
  <si>
    <t>Total allocated costs not capitalised (EDCM)</t>
  </si>
  <si>
    <t>Paragraph 11</t>
  </si>
  <si>
    <t>Total greater than zero</t>
  </si>
  <si>
    <t>Expensed proportion of total expenditure allocated, by network level (CDCM)</t>
  </si>
  <si>
    <t>Total expenditure allocated not capitalised (CDCM)</t>
  </si>
  <si>
    <t>Total expenditure allocated not capitalised is greater than zero</t>
  </si>
  <si>
    <t>Difference between CDCM and EDCM costs not capitalised</t>
  </si>
  <si>
    <t>Check costs allocated are equivalent</t>
  </si>
  <si>
    <t>Section 403-D: Expensed proportions</t>
  </si>
  <si>
    <t>Expensed proportions, by network level (EDCM)</t>
  </si>
  <si>
    <t>Expensed proportions, by network level (CDCM)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</si>
  <si>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</si>
  <si>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</si>
  <si>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The calculations on this sheet relate to Schedule 29 paragraphs 14, 15 and 19.</t>
  </si>
  <si>
    <t>Capitalised proportions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</si>
  <si>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</si>
  <si>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</si>
  <si>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>Section 404-A: Net capex (2005/06 to 2014/15)</t>
  </si>
  <si>
    <t>Section 404-B: Capitalised proportions (EDCM)</t>
  </si>
  <si>
    <t>LV mains share of LV net capex</t>
  </si>
  <si>
    <t>Mapping of net capex input network levels to PCDM network levels (EDCM)</t>
  </si>
  <si>
    <t>Net capex, by network level</t>
  </si>
  <si>
    <t>Paragraph 14</t>
  </si>
  <si>
    <t>Total net capex</t>
  </si>
  <si>
    <t>Capitalised proportions, by network level (EDCM)</t>
  </si>
  <si>
    <t>Section 404-C: Capitalised proportions (CDCM)</t>
  </si>
  <si>
    <t>Mapping of net capex input network levels to PCDM network levels (CDCM)</t>
  </si>
  <si>
    <t>Paragraph 15</t>
  </si>
  <si>
    <t>Net capex (adjusted), by network level</t>
  </si>
  <si>
    <t>Total net capex (adjusted)</t>
  </si>
  <si>
    <t>Capitalised proportions, by network level (CDCM)</t>
  </si>
  <si>
    <t>This sheet contains calculations of revenue allocations to each network level.</t>
  </si>
  <si>
    <t>The calculations on this sheet relate to Schedule 29 paragraphs 12, 20-23, 26-28, 39 and 46.</t>
  </si>
  <si>
    <t>Shares of allowed revenue by network level</t>
  </si>
  <si>
    <t>Expensed and capitalised proportions are used to allocate components of allowed revenue to network levels.</t>
  </si>
  <si>
    <t>Section 405-A: Breakdown of allowed revenue</t>
  </si>
  <si>
    <t>Price control allowed revenue (2005/06 to 2009/10)</t>
  </si>
  <si>
    <t>Paragraph 20</t>
  </si>
  <si>
    <t>Allowed revenue is greater than zero</t>
  </si>
  <si>
    <t>Opex share of allowed revenue</t>
  </si>
  <si>
    <t>Depreciation and return share of allowed revenue</t>
  </si>
  <si>
    <t>Section 405-B: Share of allowed revenue by network level (EDCM)</t>
  </si>
  <si>
    <t>Share of allowed revenue, by network level (EDCM)</t>
  </si>
  <si>
    <t>Section 405-C: Share of allowed revenue by network level (CDCM)</t>
  </si>
  <si>
    <t>Share of allowed revenue, by network level (CDCM)</t>
  </si>
  <si>
    <t>Revenue by network level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</si>
  <si>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</si>
  <si>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</si>
  <si>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Section 405-D: Revenue to share</t>
  </si>
  <si>
    <t>2007/08 transmission exit charges</t>
  </si>
  <si>
    <t xml:space="preserve">Revenue not to share </t>
  </si>
  <si>
    <t>Paragraphs 12 &amp; 21</t>
  </si>
  <si>
    <t>Adjusted total revenue to share</t>
  </si>
  <si>
    <t>Adjusted total revenue to share, by network level</t>
  </si>
  <si>
    <t>Paragraph 22</t>
  </si>
  <si>
    <t>EDCM</t>
  </si>
  <si>
    <t>CDCM</t>
  </si>
  <si>
    <t>Section 405-E: Additional DNO revenue shares</t>
  </si>
  <si>
    <t>Additional DNO revenue share, by network level</t>
  </si>
  <si>
    <t>Paragraph 23</t>
  </si>
  <si>
    <t>Section 405-F: Revenue allocation</t>
  </si>
  <si>
    <t>Revenue allocation, by network level</t>
  </si>
  <si>
    <t>Units flowing</t>
  </si>
  <si>
    <t>Units flowing through each network level (loss-adjusted to LV) are calculated for the rescaling of revenue allocations.</t>
  </si>
  <si>
    <t>Section 405-G: Revenue allocation</t>
  </si>
  <si>
    <t>"U"</t>
  </si>
  <si>
    <t>GWh</t>
  </si>
  <si>
    <t>Sum of "U" and losses is greater than zero</t>
  </si>
  <si>
    <t>Loss adjustment factors, by network level</t>
  </si>
  <si>
    <t>EHV and 132kV units distributed</t>
  </si>
  <si>
    <t>HV units distributed</t>
  </si>
  <si>
    <t>LV units distributed</t>
  </si>
  <si>
    <t>Units flowing, loss adjusted to LV</t>
  </si>
  <si>
    <t>Paragraph 27</t>
  </si>
  <si>
    <t>Units flowing, loss adjusted to LV greater than zero</t>
  </si>
  <si>
    <t>Revenue per unit</t>
  </si>
  <si>
    <t>Revenue allocated to network levels is rescaled using volumes loss-adjusted to LV.</t>
  </si>
  <si>
    <t>Section 405-H: Revenue per unit</t>
  </si>
  <si>
    <t>Revenue to share per unit, by network level and charging model</t>
  </si>
  <si>
    <t>Paragraph 24</t>
  </si>
  <si>
    <t>£/GWh per year</t>
  </si>
  <si>
    <t>Revenue to share per unit, all network levels, by charging model</t>
  </si>
  <si>
    <t>Paragraph 28</t>
  </si>
  <si>
    <t>Revenue not to share per unit</t>
  </si>
  <si>
    <t>Sum of revenue to share and not to share per unit is greater than zero</t>
  </si>
  <si>
    <t>Section 405-I: Shares of revenue per unit</t>
  </si>
  <si>
    <t>Allocation, by network level and charging model</t>
  </si>
  <si>
    <t>Revenue not to share allocation, by charging model</t>
  </si>
  <si>
    <t>Section 405-J: U</t>
  </si>
  <si>
    <t>Section 405-K: Extended network level allocation (EDCM only)</t>
  </si>
  <si>
    <t>Allocation (EDCM), by network level</t>
  </si>
  <si>
    <t>Allocation (EDCM), by network level (re-ordered)</t>
  </si>
  <si>
    <t>Sum of all sheet checks</t>
  </si>
  <si>
    <t>Non-load new &amp; replacement assets
(net of contributions)</t>
  </si>
  <si>
    <t>This sheet includes calculations of "Direct proportions." Values for HV and LV are used for CDCM discounts.</t>
  </si>
  <si>
    <t>The value for EHV and 132kV is used for EDCM discounts.</t>
  </si>
  <si>
    <t>The calculations on this sheet relate to Schedule 29 paragraphs 29-32.</t>
  </si>
  <si>
    <t>Direct proportions</t>
  </si>
  <si>
    <t xml:space="preserve">Direct proportions are calculated as the "Direct" share of total expenditure allocated to each network level, after </t>
  </si>
  <si>
    <t>excluding negative values.</t>
  </si>
  <si>
    <t>Section 406-A: Removal of negative expenditure</t>
  </si>
  <si>
    <t>Total expenditure allocation, by cost category and network level</t>
  </si>
  <si>
    <t>Adjusted total expenditure allocation to LV, by cost category and network level</t>
  </si>
  <si>
    <t>Paragraph 29</t>
  </si>
  <si>
    <t>Section 406-B: Direct share of positive expenditure</t>
  </si>
  <si>
    <t>Adjusted total expenditure allocation to LV, by network level</t>
  </si>
  <si>
    <t>Paragraph 32</t>
  </si>
  <si>
    <t>Paragraph 30</t>
  </si>
  <si>
    <t>Paragraph 31</t>
  </si>
  <si>
    <t>Adjusted direct total expenditure allocation, by network level</t>
  </si>
  <si>
    <t>Adjusted direct total expenditure allocation greater than zero, by network level</t>
  </si>
  <si>
    <t>LV (CDCM)</t>
  </si>
  <si>
    <t>Check allocations greater than zero</t>
  </si>
  <si>
    <t>EHV and 132kV direct proportion</t>
  </si>
  <si>
    <t>HV direct proportion</t>
  </si>
  <si>
    <t>LV direct proportion</t>
  </si>
  <si>
    <t>This sheet calculates EDCM user discounts. The calculations on this sheet relate to Schedule 29 paragraph 46.</t>
  </si>
  <si>
    <t>Allocation percentages</t>
  </si>
  <si>
    <t xml:space="preserve">Allocation percentages are used to determine the share of end user charges reflected in end user tariffs and </t>
  </si>
  <si>
    <t>the share that is discounted.</t>
  </si>
  <si>
    <t>Section 407-A: Allocation percentages</t>
  </si>
  <si>
    <t>EDCM user discount components</t>
  </si>
  <si>
    <t xml:space="preserve">EDCM user discounts have up to four main components. Values for generation are equivalent to those for demand </t>
  </si>
  <si>
    <t>one network level above the end user.</t>
  </si>
  <si>
    <t>Section 407-B: S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</si>
  <si>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</si>
  <si>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</si>
  <si>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>S</t>
  </si>
  <si>
    <t>S is greater than zero</t>
  </si>
  <si>
    <t>Check S values greater than zero</t>
  </si>
  <si>
    <t>Section 407-C: P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</si>
  <si>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</si>
  <si>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</si>
  <si>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>P, by user type and boundary type</t>
  </si>
  <si>
    <t>EDCM boundary 0000</t>
  </si>
  <si>
    <t>EDCM boundary 132kV</t>
  </si>
  <si>
    <t>EDCM boundary 132kV/EHV</t>
  </si>
  <si>
    <t>EDCM boundary EHV</t>
  </si>
  <si>
    <t>EDCM boundary HVplus</t>
  </si>
  <si>
    <t>Section 407-D: P adder</t>
  </si>
  <si>
    <t>"P" is supplemented by an additional term in the case of the 132kV and EHV network levels to discount a share of the</t>
  </si>
  <si>
    <t>boundary level where it is at a circuit level, rather than a transformation level.</t>
  </si>
  <si>
    <t>P adder, by boundary type</t>
  </si>
  <si>
    <t>Section 407-E: U</t>
  </si>
  <si>
    <t>"U" is the allocation percentage for the revenue not to share.</t>
  </si>
  <si>
    <t>Revenue not to share allocation (EDCM)</t>
  </si>
  <si>
    <t>Network level allocations and "U" do not sum to 1</t>
  </si>
  <si>
    <t>EDCM user discounts</t>
  </si>
  <si>
    <t>EDCM discounts are calculated using the parameters set out above and then capped.</t>
  </si>
  <si>
    <t>Section 407-F: EDCM user discounts (before cap)</t>
  </si>
  <si>
    <t>EDCM user discount (before cap),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</si>
  <si>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</si>
  <si>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</si>
  <si>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</si>
  <si>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</si>
  <si>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</si>
  <si>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Section 407-G: EDCM user discounts</t>
  </si>
  <si>
    <t>EDCM user discount, by end user type and discount category</t>
  </si>
  <si>
    <t>This sheet calculates CDCM user discounts. The calculations on this sheet relate to Schedule 29 paragraphs 40 and 42-44.</t>
  </si>
  <si>
    <t>CDCM user discounts</t>
  </si>
  <si>
    <t>CDCM user discounts are calculated using formulae set out in the DCUSA text.</t>
  </si>
  <si>
    <t>Section 408-A: Allocation percentages</t>
  </si>
  <si>
    <t>Allocation (CDCM), by network level</t>
  </si>
  <si>
    <t>Check allocation to network levels greater than zero</t>
  </si>
  <si>
    <t>Section 408-B: Parameters for splitting allocations at circuits levels</t>
  </si>
  <si>
    <t>Section 408-C: PCDM user discounts for CDCM</t>
  </si>
  <si>
    <t>PCDM user discount for CDCM</t>
  </si>
  <si>
    <t>LDNO LV: LV user</t>
  </si>
  <si>
    <t>Paragraph 40</t>
  </si>
  <si>
    <t>LDNO HV: LV user</t>
  </si>
  <si>
    <t>Paragraph 42</t>
  </si>
  <si>
    <t>LDNO HV: LV Sub user</t>
  </si>
  <si>
    <t>Paragraph 43</t>
  </si>
  <si>
    <t>LDNO HV: HV user</t>
  </si>
  <si>
    <t>Paragraph 44</t>
  </si>
  <si>
    <t>This sheet presents the final outputs of the PCDM.</t>
  </si>
  <si>
    <t>DCUSA text outputs</t>
  </si>
  <si>
    <t>The outputs set out below are used as inputs to the DNO's CDCM and ECDM models in line with the DCUSA text.</t>
  </si>
  <si>
    <t>Output 401-A: PCDM user discount for CDCM</t>
  </si>
  <si>
    <t>These user discounts are used as Input 104-B on the "General inputs" sheet of the CDCM.</t>
  </si>
  <si>
    <t>Output 401-B: PCDM user discount for EDCM</t>
  </si>
  <si>
    <t>These user discounts are used on the "General inputs" sheet of the EDCM (LRIC) and EDCM (FCP) models.</t>
  </si>
  <si>
    <t>The input reference for the EDCM (LRIC) model is Input 202-G; it is Input 302-G for the EDCM (FCP) model.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</si>
  <si>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</si>
  <si>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</si>
  <si>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</si>
  <si>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</si>
  <si>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</si>
  <si>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</si>
  <si>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</si>
  <si>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>Southern Electric Power Distribution</t>
  </si>
  <si>
    <t>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</si>
</sst>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_);_(* \(#,##0\);_(* &quot;-&quot;_);_(@_)"/>
    <numFmt numFmtId="165" formatCode="_(* #,##0.00_);_(* \(#,##0.00\);_(* &quot;-&quot;??_);_(@_)"/>
    <numFmt numFmtId="166" formatCode="_(&quot;£&quot;* #,##0_);_(&quot;£&quot;* \(#,##0\);_(&quot;£&quot;* &quot;-&quot;_);_(@_)"/>
    <numFmt numFmtId="167" formatCode="_(&quot;£&quot;* #,##0.00_);_(&quot;£&quot;* \(#,##0.00\);_(&quot;£&quot;* &quot;-&quot;??_);_(@_)"/>
    <numFmt numFmtId="168" formatCode="[$-F800]dddd\,\ mmmm\ dd\,\ yyyy"/>
    <numFmt numFmtId="169" formatCode="#,##0.00;\-#,##0.00;\-"/>
    <numFmt numFmtId="170" formatCode="#,##0;\-#,##0;\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8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18">
    <border>
      <left/>
      <right/>
      <top/>
      <bottom/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1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1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5" applyNumberFormat="0" applyAlignment="0" applyProtection="0"/>
    <xf numFmtId="0" fontId="24" fillId="11" borderId="6" applyNumberFormat="0" applyAlignment="0" applyProtection="0"/>
    <xf numFmtId="0" fontId="25" fillId="11" borderId="5" applyNumberFormat="0" applyAlignment="0" applyProtection="0"/>
    <xf numFmtId="0" fontId="26" fillId="0" borderId="7" applyNumberFormat="0" applyFill="0" applyAlignment="0" applyProtection="0"/>
    <xf numFmtId="0" fontId="8" fillId="12" borderId="8" applyNumberFormat="0" applyAlignment="0" applyProtection="0"/>
    <xf numFmtId="0" fontId="27" fillId="0" borderId="0" applyNumberFormat="0" applyFill="0" applyBorder="0" applyAlignment="0" applyProtection="0"/>
    <xf numFmtId="0" fontId="1" fillId="13" borderId="9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0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192">
    <xf numFmtId="0" fontId="0" fillId="0" borderId="0" xfId="0"/>
    <xf numFmtId="0" fontId="8" fillId="5" borderId="0" xfId="10"/>
    <xf numFmtId="0" fontId="8" fillId="4" borderId="0" xfId="5" applyNumberFormat="1" applyAlignment="1"/>
    <xf numFmtId="0" fontId="9" fillId="4" borderId="0" xfId="5" applyNumberFormat="1" applyFont="1" applyAlignment="1"/>
    <xf numFmtId="0" fontId="14" fillId="0" borderId="0" xfId="11"/>
    <xf numFmtId="0" fontId="8" fillId="4" borderId="0" xfId="5" applyNumberFormat="1" applyBorder="1" applyAlignment="1"/>
    <xf numFmtId="0" fontId="4" fillId="0" borderId="0" xfId="62"/>
    <xf numFmtId="0" fontId="4" fillId="38" borderId="11" xfId="62" quotePrefix="1" applyFill="1" applyBorder="1"/>
    <xf numFmtId="0" fontId="4" fillId="38" borderId="0" xfId="62" quotePrefix="1" applyFill="1"/>
    <xf numFmtId="0" fontId="4" fillId="39" borderId="11" xfId="62" quotePrefix="1" applyFill="1" applyBorder="1"/>
    <xf numFmtId="0" fontId="4" fillId="39" borderId="0" xfId="62" quotePrefix="1" applyFill="1"/>
    <xf numFmtId="0" fontId="4" fillId="6" borderId="11" xfId="62" quotePrefix="1" applyFill="1" applyBorder="1"/>
    <xf numFmtId="0" fontId="4" fillId="6" borderId="0" xfId="62" quotePrefix="1" applyFill="1"/>
    <xf numFmtId="0" fontId="4" fillId="40" borderId="11" xfId="62" quotePrefix="1" applyFill="1" applyBorder="1"/>
    <xf numFmtId="0" fontId="8" fillId="4" borderId="13" xfId="5" applyNumberFormat="1" applyBorder="1" applyAlignment="1"/>
    <xf numFmtId="0" fontId="4" fillId="40" borderId="0" xfId="62" quotePrefix="1" applyFill="1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6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17" xfId="14" applyNumberFormat="1" applyBorder="1" applyAlignment="1" applyProtection="1">
      <alignment horizontal="right"/>
      <protection locked="0"/>
    </xf>
    <xf numFmtId="10" fontId="1" fillId="46" borderId="16" xfId="14" applyNumberFormat="1" applyBorder="1" applyAlignment="1" applyProtection="1">
      <alignment horizontal="right"/>
      <protection locked="0"/>
    </xf>
    <xf numFmtId="10" fontId="1" fillId="46" borderId="17" xfId="14" applyNumberFormat="1" applyBorder="1" applyAlignment="1" applyProtection="1">
      <alignment horizontal="right"/>
      <protection locked="0"/>
    </xf>
    <xf numFmtId="1" fontId="1" fillId="46" borderId="16" xfId="14" applyNumberFormat="1" applyBorder="1" applyAlignment="1" applyProtection="1">
      <alignment horizontal="right"/>
      <protection locked="0"/>
    </xf>
    <xf numFmtId="1" fontId="1" fillId="46" borderId="17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6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6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17" xfId="13" applyNumberFormat="1" applyBorder="1" applyAlignment="1" applyProtection="1">
      <alignment horizontal="right"/>
      <protection locked="0"/>
    </xf>
    <xf numFmtId="0" fontId="0" fillId="0" borderId="0" xfId="0" applyAlignment="1">
      <alignment horizontal="left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horizontal="left" vertical="top"/>
    </xf>
    <xf numFmtId="168" fontId="31" fillId="0" borderId="0" xfId="8" applyNumberFormat="1" applyAlignment="1">
      <alignment horizontal="left"/>
    </xf>
    <xf numFmtId="0" fontId="31" fillId="0" borderId="0" xfId="8" applyAlignment="1">
      <alignment horizontal="left"/>
    </xf>
    <xf numFmtId="0" fontId="1" fillId="0" borderId="0" xfId="16" applyFill="1" applyAlignment="1">
      <alignment vertical="top" wrapText="1"/>
    </xf>
    <xf numFmtId="0" fontId="8" fillId="4" borderId="0" xfId="5" applyNumberFormat="1" applyAlignment="1">
      <alignment horizontal="left"/>
    </xf>
    <xf numFmtId="0" fontId="7" fillId="0" borderId="0" xfId="15" applyNumberFormat="1" applyBorder="1" applyAlignment="1"/>
    <xf numFmtId="0" fontId="31" fillId="0" borderId="0" xfId="8" applyBorder="1"/>
    <xf numFmtId="0" fontId="30" fillId="0" borderId="0" xfId="7" applyBorder="1"/>
    <xf numFmtId="0" fontId="7" fillId="0" borderId="12" xfId="15" applyNumberFormat="1" applyBorder="1" applyAlignment="1"/>
    <xf numFmtId="0" fontId="1" fillId="0" borderId="0" xfId="16" applyBorder="1" applyAlignment="1"/>
    <xf numFmtId="0" fontId="14" fillId="0" borderId="0" xfId="11" applyBorder="1"/>
    <xf numFmtId="0" fontId="8" fillId="5" borderId="0" xfId="10" applyBorder="1"/>
    <xf numFmtId="0" fontId="12" fillId="6" borderId="0" xfId="12" applyBorder="1"/>
    <xf numFmtId="0" fontId="6" fillId="0" borderId="0" xfId="9" applyNumberFormat="1" applyBorder="1"/>
    <xf numFmtId="0" fontId="0" fillId="41" borderId="0" xfId="0" applyFill="1"/>
    <xf numFmtId="0" fontId="0" fillId="43" borderId="0" xfId="0" applyFill="1"/>
    <xf numFmtId="0" fontId="0" fillId="42" borderId="0" xfId="0" applyFill="1"/>
    <xf numFmtId="168" fontId="8" fillId="4" borderId="0" xfId="5" applyNumberFormat="1" applyAlignment="1"/>
    <xf numFmtId="168" fontId="9" fillId="4" borderId="0" xfId="5" applyNumberFormat="1" applyFont="1" applyAlignment="1"/>
    <xf numFmtId="0" fontId="3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168" fontId="8" fillId="5" borderId="0" xfId="10" applyNumberFormat="1" applyAlignment="1">
      <alignment vertical="center"/>
    </xf>
    <xf numFmtId="168" fontId="8" fillId="5" borderId="0" xfId="10" applyNumberFormat="1" applyAlignment="1">
      <alignment vertical="center" wrapText="1"/>
    </xf>
    <xf numFmtId="0" fontId="0" fillId="0" borderId="0" xfId="0" applyAlignment="1">
      <alignment vertical="center" wrapText="1"/>
    </xf>
    <xf numFmtId="168" fontId="30" fillId="0" borderId="0" xfId="7" applyNumberFormat="1" applyBorder="1" applyAlignment="1">
      <alignment horizontal="left" vertical="center" wrapText="1"/>
    </xf>
    <xf numFmtId="3" fontId="30" fillId="0" borderId="0" xfId="7" applyNumberFormat="1" applyBorder="1" applyAlignment="1">
      <alignment horizontal="left" vertical="center" wrapText="1"/>
    </xf>
    <xf numFmtId="168" fontId="30" fillId="0" borderId="0" xfId="7" applyNumberFormat="1" applyBorder="1" applyAlignment="1">
      <alignment horizontal="left" vertical="center"/>
    </xf>
    <xf numFmtId="168" fontId="0" fillId="0" borderId="0" xfId="0" applyNumberFormat="1" applyAlignment="1">
      <alignment vertical="center"/>
    </xf>
    <xf numFmtId="168" fontId="8" fillId="4" borderId="0" xfId="5" applyNumberFormat="1" applyAlignment="1">
      <alignment vertical="center" wrapText="1"/>
    </xf>
    <xf numFmtId="168" fontId="8" fillId="4" borderId="0" xfId="5" applyNumberFormat="1" applyAlignment="1">
      <alignment vertical="center"/>
    </xf>
    <xf numFmtId="168" fontId="6" fillId="0" borderId="0" xfId="9"/>
    <xf numFmtId="3" fontId="31" fillId="0" borderId="0" xfId="8" applyNumberFormat="1" applyBorder="1"/>
    <xf numFmtId="0" fontId="0" fillId="0" borderId="15" xfId="0" applyBorder="1"/>
    <xf numFmtId="3" fontId="7" fillId="0" borderId="15" xfId="15" applyNumberFormat="1" applyBorder="1" applyAlignment="1"/>
    <xf numFmtId="3" fontId="0" fillId="0" borderId="0" xfId="0" applyNumberFormat="1"/>
    <xf numFmtId="0" fontId="8" fillId="4" borderId="0" xfId="5" applyNumberFormat="1" applyBorder="1" applyAlignment="1">
      <alignment horizontal="left"/>
    </xf>
    <xf numFmtId="0" fontId="8" fillId="4" borderId="0" xfId="5" applyNumberFormat="1" applyBorder="1" applyAlignment="1">
      <alignment horizontal="right"/>
    </xf>
    <xf numFmtId="0" fontId="9" fillId="4" borderId="0" xfId="5" applyNumberFormat="1" applyFont="1" applyAlignment="1">
      <alignment horizontal="left"/>
    </xf>
    <xf numFmtId="0" fontId="9" fillId="4" borderId="0" xfId="5" applyNumberFormat="1" applyFont="1" applyBorder="1" applyAlignment="1">
      <alignment horizontal="left"/>
    </xf>
    <xf numFmtId="0" fontId="9" fillId="4" borderId="0" xfId="5" applyNumberFormat="1" applyFont="1" applyBorder="1" applyAlignment="1">
      <alignment horizontal="right"/>
    </xf>
    <xf numFmtId="0" fontId="13" fillId="4" borderId="0" xfId="5" applyNumberFormat="1" applyFont="1" applyAlignment="1">
      <alignment horizontal="left" vertical="center"/>
    </xf>
    <xf numFmtId="0" fontId="8" fillId="4" borderId="0" xfId="5" applyNumberFormat="1" applyAlignment="1">
      <alignment horizontal="left" vertical="center"/>
    </xf>
    <xf numFmtId="0" fontId="8" fillId="4" borderId="0" xfId="5" applyNumberFormat="1" applyAlignment="1">
      <alignment horizontal="right" vertical="center" wrapText="1"/>
    </xf>
    <xf numFmtId="0" fontId="0" fillId="0" borderId="0" xfId="0" applyAlignment="1">
      <alignment horizontal="right" wrapText="1"/>
    </xf>
    <xf numFmtId="0" fontId="8" fillId="4" borderId="0" xfId="5" applyNumberFormat="1" applyAlignment="1">
      <alignment horizontal="left" vertical="center" wrapText="1"/>
    </xf>
    <xf numFmtId="0" fontId="8" fillId="5" borderId="0" xfId="10" applyNumberFormat="1" applyAlignment="1">
      <alignment horizontal="left"/>
    </xf>
    <xf numFmtId="0" fontId="8" fillId="5" borderId="0" xfId="10" applyNumberFormat="1" applyAlignment="1">
      <alignment horizontal="right"/>
    </xf>
    <xf numFmtId="0" fontId="14" fillId="0" borderId="0" xfId="11" applyNumberFormat="1" applyBorder="1" applyAlignment="1">
      <alignment horizontal="left"/>
    </xf>
    <xf numFmtId="0" fontId="12" fillId="6" borderId="0" xfId="12" applyAlignment="1">
      <alignment horizontal="left"/>
    </xf>
    <xf numFmtId="0" fontId="12" fillId="6" borderId="0" xfId="12" applyAlignment="1">
      <alignment horizontal="right"/>
    </xf>
    <xf numFmtId="0" fontId="6" fillId="0" borderId="0" xfId="9" applyNumberFormat="1" applyBorder="1" applyAlignment="1">
      <alignment horizontal="left"/>
    </xf>
    <xf numFmtId="0" fontId="1" fillId="0" borderId="16" xfId="16" applyNumberFormat="1" applyBorder="1" applyAlignment="1">
      <alignment horizontal="left"/>
    </xf>
    <xf numFmtId="10" fontId="7" fillId="44" borderId="16" xfId="63" applyNumberFormat="1" applyFont="1" applyBorder="1" applyAlignment="1">
      <alignment horizontal="right"/>
    </xf>
    <xf numFmtId="0" fontId="1" fillId="0" borderId="0" xfId="16" applyNumberFormat="1" applyBorder="1" applyAlignment="1">
      <alignment horizontal="left"/>
    </xf>
    <xf numFmtId="10" fontId="7" fillId="44" borderId="0" xfId="63" applyNumberFormat="1" applyFont="1" applyBorder="1" applyAlignment="1">
      <alignment horizontal="right"/>
    </xf>
    <xf numFmtId="0" fontId="1" fillId="0" borderId="17" xfId="16" applyNumberFormat="1" applyBorder="1" applyAlignment="1">
      <alignment horizontal="left"/>
    </xf>
    <xf numFmtId="10" fontId="7" fillId="44" borderId="17" xfId="63" applyNumberFormat="1" applyFont="1" applyBorder="1" applyAlignment="1">
      <alignment horizontal="right"/>
    </xf>
    <xf numFmtId="0" fontId="6" fillId="0" borderId="0" xfId="9" applyNumberFormat="1" applyAlignment="1">
      <alignment horizontal="left"/>
    </xf>
    <xf numFmtId="0" fontId="1" fillId="0" borderId="0" xfId="16" applyNumberFormat="1" applyAlignment="1">
      <alignment horizontal="left"/>
    </xf>
    <xf numFmtId="0" fontId="1" fillId="0" borderId="0" xfId="16" applyNumberFormat="1" applyFill="1" applyBorder="1" applyAlignment="1">
      <alignment horizontal="left"/>
    </xf>
    <xf numFmtId="0" fontId="7" fillId="0" borderId="0" xfId="63" applyNumberFormat="1" applyFont="1" applyFill="1" applyBorder="1" applyAlignment="1">
      <alignment horizontal="right"/>
    </xf>
    <xf numFmtId="0" fontId="8" fillId="4" borderId="0" xfId="5" applyNumberFormat="1" applyAlignment="1">
      <alignment horizontal="right" vertical="center"/>
    </xf>
    <xf numFmtId="169" fontId="0" fillId="0" borderId="0" xfId="0" applyNumberFormat="1" applyAlignment="1">
      <alignment horizontal="right"/>
    </xf>
    <xf numFmtId="10" fontId="1" fillId="0" borderId="0" xfId="16" applyNumberFormat="1" applyBorder="1" applyAlignment="1">
      <alignment horizontal="right"/>
    </xf>
    <xf numFmtId="0" fontId="1" fillId="0" borderId="0" xfId="16" applyNumberFormat="1" applyBorder="1" applyAlignment="1">
      <alignment horizontal="right"/>
    </xf>
    <xf numFmtId="169" fontId="1" fillId="3" borderId="16" xfId="4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4" fontId="1" fillId="3" borderId="17" xfId="4" applyNumberFormat="1" applyBorder="1" applyAlignment="1">
      <alignment horizontal="right"/>
    </xf>
    <xf numFmtId="1" fontId="0" fillId="0" borderId="16" xfId="0" applyNumberFormat="1" applyBorder="1" applyAlignment="1">
      <alignment horizontal="right"/>
    </xf>
    <xf numFmtId="1" fontId="1" fillId="3" borderId="0" xfId="4" applyNumberFormat="1" applyBorder="1" applyAlignment="1">
      <alignment horizontal="right"/>
    </xf>
    <xf numFmtId="1" fontId="0" fillId="0" borderId="17" xfId="0" applyNumberFormat="1" applyBorder="1" applyAlignment="1">
      <alignment horizontal="right"/>
    </xf>
    <xf numFmtId="169" fontId="1" fillId="0" borderId="0" xfId="16" applyNumberFormat="1" applyBorder="1" applyAlignment="1">
      <alignment horizontal="right"/>
    </xf>
    <xf numFmtId="0" fontId="1" fillId="0" borderId="0" xfId="16" quotePrefix="1" applyNumberFormat="1" applyBorder="1" applyAlignment="1">
      <alignment horizontal="left"/>
    </xf>
    <xf numFmtId="169" fontId="0" fillId="0" borderId="16" xfId="0" applyNumberFormat="1" applyBorder="1" applyAlignment="1">
      <alignment horizontal="right"/>
    </xf>
    <xf numFmtId="169" fontId="0" fillId="0" borderId="17" xfId="0" applyNumberFormat="1" applyBorder="1" applyAlignment="1">
      <alignment horizontal="right"/>
    </xf>
    <xf numFmtId="0" fontId="1" fillId="0" borderId="0" xfId="16" applyNumberFormat="1" applyBorder="1" applyAlignment="1">
      <alignment horizontal="left" wrapText="1"/>
    </xf>
    <xf numFmtId="10" fontId="0" fillId="0" borderId="16" xfId="0" applyNumberFormat="1" applyBorder="1" applyAlignment="1">
      <alignment horizontal="right"/>
    </xf>
    <xf numFmtId="10" fontId="0" fillId="0" borderId="17" xfId="0" applyNumberFormat="1" applyBorder="1" applyAlignment="1">
      <alignment horizontal="right"/>
    </xf>
    <xf numFmtId="169" fontId="31" fillId="0" borderId="0" xfId="8" applyNumberFormat="1" applyBorder="1" applyAlignment="1">
      <alignment horizontal="right"/>
    </xf>
    <xf numFmtId="10" fontId="30" fillId="0" borderId="16" xfId="7" applyNumberFormat="1" applyBorder="1" applyAlignment="1">
      <alignment horizontal="right"/>
    </xf>
    <xf numFmtId="10" fontId="30" fillId="0" borderId="0" xfId="7" applyNumberFormat="1" applyBorder="1" applyAlignment="1">
      <alignment horizontal="right"/>
    </xf>
    <xf numFmtId="10" fontId="30" fillId="0" borderId="17" xfId="7" applyNumberFormat="1" applyBorder="1" applyAlignment="1">
      <alignment horizontal="right"/>
    </xf>
    <xf numFmtId="169" fontId="31" fillId="0" borderId="16" xfId="8" applyNumberFormat="1" applyBorder="1" applyAlignment="1">
      <alignment horizontal="right"/>
    </xf>
    <xf numFmtId="169" fontId="31" fillId="0" borderId="17" xfId="8" applyNumberFormat="1" applyBorder="1" applyAlignment="1">
      <alignment horizontal="right"/>
    </xf>
    <xf numFmtId="169" fontId="0" fillId="0" borderId="15" xfId="0" applyNumberFormat="1" applyBorder="1" applyAlignment="1">
      <alignment horizontal="right"/>
    </xf>
    <xf numFmtId="1" fontId="30" fillId="0" borderId="0" xfId="7" applyNumberFormat="1" applyBorder="1" applyAlignment="1">
      <alignment horizontal="right"/>
    </xf>
    <xf numFmtId="169" fontId="1" fillId="3" borderId="0" xfId="4" applyNumberFormat="1" applyBorder="1" applyAlignment="1">
      <alignment horizontal="right"/>
    </xf>
    <xf numFmtId="169" fontId="7" fillId="0" borderId="16" xfId="0" applyNumberFormat="1" applyFont="1" applyBorder="1" applyAlignment="1">
      <alignment horizontal="right"/>
    </xf>
    <xf numFmtId="169" fontId="7" fillId="0" borderId="0" xfId="0" applyNumberFormat="1" applyFont="1" applyAlignment="1">
      <alignment horizontal="right"/>
    </xf>
    <xf numFmtId="10" fontId="31" fillId="0" borderId="0" xfId="8" applyNumberFormat="1" applyBorder="1" applyAlignment="1">
      <alignment horizontal="right"/>
    </xf>
    <xf numFmtId="1" fontId="1" fillId="0" borderId="0" xfId="16" applyNumberFormat="1" applyBorder="1" applyAlignment="1">
      <alignment horizontal="right"/>
    </xf>
    <xf numFmtId="10" fontId="31" fillId="0" borderId="16" xfId="8" applyNumberFormat="1" applyBorder="1" applyAlignment="1">
      <alignment horizontal="right"/>
    </xf>
    <xf numFmtId="10" fontId="31" fillId="0" borderId="17" xfId="8" applyNumberFormat="1" applyBorder="1" applyAlignment="1">
      <alignment horizontal="right"/>
    </xf>
    <xf numFmtId="169" fontId="30" fillId="0" borderId="0" xfId="7" applyNumberFormat="1" applyBorder="1" applyAlignment="1">
      <alignment horizontal="right"/>
    </xf>
    <xf numFmtId="0" fontId="31" fillId="0" borderId="0" xfId="8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10" fontId="1" fillId="0" borderId="16" xfId="16" applyNumberFormat="1" applyBorder="1" applyAlignment="1">
      <alignment horizontal="right"/>
    </xf>
    <xf numFmtId="10" fontId="0" fillId="0" borderId="14" xfId="0" applyNumberFormat="1" applyBorder="1" applyAlignment="1">
      <alignment horizontal="right"/>
    </xf>
    <xf numFmtId="10" fontId="7" fillId="0" borderId="16" xfId="15" applyNumberFormat="1" applyBorder="1" applyAlignment="1">
      <alignment horizontal="right"/>
    </xf>
    <xf numFmtId="10" fontId="1" fillId="3" borderId="16" xfId="4" applyNumberFormat="1" applyBorder="1" applyAlignment="1">
      <alignment horizontal="right"/>
    </xf>
    <xf numFmtId="10" fontId="1" fillId="3" borderId="0" xfId="4" applyNumberFormat="1" applyBorder="1" applyAlignment="1">
      <alignment horizontal="right"/>
    </xf>
    <xf numFmtId="169" fontId="7" fillId="0" borderId="0" xfId="15" applyNumberFormat="1" applyBorder="1" applyAlignment="1">
      <alignment horizontal="right"/>
    </xf>
    <xf numFmtId="1" fontId="0" fillId="0" borderId="0" xfId="0" applyNumberFormat="1" applyAlignment="1">
      <alignment horizontal="right" wrapText="1"/>
    </xf>
    <xf numFmtId="169" fontId="1" fillId="3" borderId="17" xfId="4" applyNumberFormat="1" applyBorder="1" applyAlignment="1">
      <alignment horizontal="right"/>
    </xf>
    <xf numFmtId="169" fontId="1" fillId="0" borderId="16" xfId="16" applyNumberFormat="1" applyBorder="1" applyAlignment="1">
      <alignment horizontal="right"/>
    </xf>
    <xf numFmtId="0" fontId="1" fillId="0" borderId="16" xfId="16" applyNumberFormat="1" applyFill="1" applyBorder="1" applyAlignment="1">
      <alignment horizontal="left"/>
    </xf>
    <xf numFmtId="10" fontId="7" fillId="0" borderId="16" xfId="15" applyNumberFormat="1" applyBorder="1" applyAlignment="1">
      <alignment horizontal="right" wrapText="1"/>
    </xf>
    <xf numFmtId="10" fontId="1" fillId="0" borderId="0" xfId="16" applyNumberFormat="1" applyFill="1" applyBorder="1" applyAlignment="1">
      <alignment horizontal="right"/>
    </xf>
    <xf numFmtId="10" fontId="7" fillId="0" borderId="17" xfId="15" applyNumberFormat="1" applyBorder="1" applyAlignment="1">
      <alignment horizontal="right"/>
    </xf>
    <xf numFmtId="0" fontId="1" fillId="0" borderId="0" xfId="16" applyNumberFormat="1" applyBorder="1" applyAlignment="1">
      <alignment horizontal="left" vertical="center"/>
    </xf>
    <xf numFmtId="1" fontId="30" fillId="0" borderId="0" xfId="7" applyNumberFormat="1" applyBorder="1" applyAlignment="1">
      <alignment horizontal="right" wrapText="1"/>
    </xf>
    <xf numFmtId="1" fontId="31" fillId="0" borderId="0" xfId="8" applyNumberFormat="1" applyBorder="1" applyAlignment="1">
      <alignment horizontal="right"/>
    </xf>
    <xf numFmtId="10" fontId="30" fillId="0" borderId="15" xfId="7" applyNumberFormat="1" applyBorder="1" applyAlignment="1">
      <alignment horizontal="right"/>
    </xf>
    <xf numFmtId="1" fontId="31" fillId="0" borderId="16" xfId="8" applyNumberFormat="1" applyBorder="1" applyAlignment="1">
      <alignment horizontal="right"/>
    </xf>
    <xf numFmtId="10" fontId="1" fillId="3" borderId="17" xfId="4" applyNumberFormat="1" applyBorder="1" applyAlignment="1">
      <alignment horizontal="right"/>
    </xf>
    <xf numFmtId="0" fontId="14" fillId="0" borderId="0" xfId="11" applyNumberFormat="1" applyAlignment="1">
      <alignment horizontal="left"/>
    </xf>
    <xf numFmtId="10" fontId="7" fillId="0" borderId="15" xfId="15" applyNumberFormat="1" applyBorder="1" applyAlignment="1">
      <alignment horizontal="right"/>
    </xf>
    <xf numFmtId="0" fontId="1" fillId="0" borderId="16" xfId="16" quotePrefix="1" applyNumberFormat="1" applyBorder="1" applyAlignment="1">
      <alignment horizontal="left"/>
    </xf>
    <xf numFmtId="10" fontId="7" fillId="44" borderId="16" xfId="63" quotePrefix="1" applyNumberFormat="1" applyFont="1" applyBorder="1" applyAlignment="1">
      <alignment horizontal="right"/>
    </xf>
    <xf numFmtId="0" fontId="11" fillId="0" borderId="0" xfId="0" applyFont="1" applyAlignment="1">
      <alignment horizontal="left" vertical="top" wrapText="1"/>
    </xf>
    <xf numFmtId="0" fontId="0" fillId="0" borderId="0" xfId="16" applyNumberFormat="1" applyFont="1" applyBorder="1" applyAlignment="1">
      <alignment horizontal="left"/>
    </xf>
    <xf numFmtId="0" fontId="0" fillId="0" borderId="17" xfId="16" applyNumberFormat="1" applyFont="1" applyBorder="1" applyAlignment="1">
      <alignment horizontal="left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17" xfId="14" applyNumberFormat="1" applyFont="1" applyBorder="1" applyAlignment="1" applyProtection="1">
      <alignment horizontal="right"/>
      <protection locked="0"/>
    </xf>
    <xf numFmtId="0" fontId="0" fillId="0" borderId="0" xfId="16" applyNumberFormat="1" applyFont="1" applyAlignment="1">
      <alignment horizontal="left"/>
    </xf>
    <xf numFmtId="169" fontId="30" fillId="0" borderId="15" xfId="7" applyNumberFormat="1" applyBorder="1" applyAlignment="1">
      <alignment horizontal="right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170" fontId="0" fillId="0" borderId="0" xfId="0" applyNumberFormat="1" applyAlignment="1">
      <alignment horizontal="right"/>
    </xf>
    <xf numFmtId="170" fontId="1" fillId="0" borderId="0" xfId="16" applyNumberFormat="1" applyBorder="1" applyAlignment="1">
      <alignment horizontal="right"/>
    </xf>
    <xf numFmtId="0" fontId="0" fillId="2" borderId="0" xfId="13" applyFont="1" applyBorder="1" applyAlignment="1" applyProtection="1">
      <alignment wrapText="1"/>
      <protection locked="0"/>
    </xf>
    <xf numFmtId="1" fontId="7" fillId="0" borderId="16" xfId="15" applyNumberFormat="1" applyBorder="1" applyAlignment="1">
      <alignment horizontal="right" wrapText="1"/>
    </xf>
    <xf numFmtId="1" fontId="7" fillId="0" borderId="17" xfId="15" applyNumberFormat="1" applyBorder="1" applyAlignment="1">
      <alignment horizontal="right" wrapText="1"/>
    </xf>
    <xf numFmtId="0" fontId="12" fillId="6" borderId="0" xfId="12"/>
    <xf numFmtId="0" fontId="1" fillId="46" borderId="0" xfId="14" applyAlignment="1" applyProtection="1">
      <protection locked="0"/>
    </xf>
    <xf numFmtId="0" fontId="27" fillId="0" borderId="0" xfId="0" applyFont="1" applyAlignment="1">
      <alignment horizontal="left"/>
    </xf>
    <xf numFmtId="0" fontId="27" fillId="0" borderId="0" xfId="16" applyNumberFormat="1" applyFont="1" applyFill="1" applyBorder="1" applyAlignment="1">
      <alignment horizontal="left"/>
    </xf>
    <xf numFmtId="0" fontId="1" fillId="3" borderId="16" xfId="4" applyBorder="1" applyAlignment="1"/>
    <xf numFmtId="0" fontId="0" fillId="0" borderId="16" xfId="0" applyBorder="1"/>
    <xf numFmtId="0" fontId="0" fillId="45" borderId="17" xfId="0" applyFill="1" applyBorder="1"/>
    <xf numFmtId="0" fontId="0" fillId="0" borderId="17" xfId="0" applyBorder="1"/>
    <xf numFmtId="3" fontId="31" fillId="0" borderId="16" xfId="8" applyNumberFormat="1" applyBorder="1"/>
    <xf numFmtId="3" fontId="31" fillId="0" borderId="17" xfId="8" applyNumberFormat="1" applyBorder="1"/>
    <xf numFmtId="1" fontId="1" fillId="3" borderId="17" xfId="4" applyNumberFormat="1" applyBorder="1" applyAlignment="1">
      <alignment horizontal="right"/>
    </xf>
    <xf numFmtId="169" fontId="7" fillId="0" borderId="17" xfId="0" applyNumberFormat="1" applyFont="1" applyBorder="1" applyAlignment="1">
      <alignment horizontal="right"/>
    </xf>
    <xf numFmtId="169" fontId="7" fillId="0" borderId="15" xfId="0" applyNumberFormat="1" applyFont="1" applyBorder="1" applyAlignment="1">
      <alignment horizontal="right"/>
    </xf>
    <xf numFmtId="169" fontId="30" fillId="0" borderId="17" xfId="7" applyNumberFormat="1" applyBorder="1" applyAlignment="1">
      <alignment horizontal="right"/>
    </xf>
    <xf numFmtId="10" fontId="1" fillId="0" borderId="17" xfId="16" applyNumberFormat="1" applyBorder="1" applyAlignment="1">
      <alignment horizontal="right"/>
    </xf>
    <xf numFmtId="169" fontId="1" fillId="0" borderId="17" xfId="16" applyNumberFormat="1" applyBorder="1" applyAlignment="1">
      <alignment horizontal="right"/>
    </xf>
    <xf numFmtId="169" fontId="1" fillId="46" borderId="17" xfId="14" applyNumberFormat="1" applyBorder="1" applyAlignment="1" applyProtection="1">
      <alignment horizontal="right"/>
      <protection locked="0"/>
    </xf>
    <xf numFmtId="169" fontId="31" fillId="0" borderId="15" xfId="8" applyNumberFormat="1" applyBorder="1" applyAlignment="1">
      <alignment horizontal="right"/>
    </xf>
    <xf numFmtId="1" fontId="31" fillId="0" borderId="17" xfId="8" applyNumberFormat="1" applyBorder="1" applyAlignment="1">
      <alignment horizontal="right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 xr:uid="{00000000-0005-0000-0000-000014000000}"/>
    <cellStyle name="Bad" xfId="27" builtinId="27" hidden="1"/>
    <cellStyle name="Blank_CEPATNEI" xfId="4" xr:uid="{00000000-0005-0000-0000-000000000000}"/>
    <cellStyle name="Calculation" xfId="31" builtinId="22" hidden="1"/>
    <cellStyle name="Calculation_CEPATNEI" xfId="15" xr:uid="{00000000-0005-0000-0000-000001000000}"/>
    <cellStyle name="Check Cell" xfId="33" builtinId="23" hidden="1"/>
    <cellStyle name="ColumnHeading_CEPATNEI" xfId="5" xr:uid="{00000000-0005-0000-0000-000003000000}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 xr:uid="{00000000-0005-0000-0000-000005000000}"/>
    <cellStyle name="Explanatory Text" xfId="36" builtinId="53" hidden="1"/>
    <cellStyle name="Fixed_CEPATNEI" xfId="14" xr:uid="{00000000-0005-0000-0000-000006000000}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 xr:uid="{00000000-0005-0000-0000-000008000000}"/>
    <cellStyle name="Linked Cell" xfId="32" builtinId="24" hidden="1"/>
    <cellStyle name="LinkedTo_CEPATNEI" xfId="7" xr:uid="{00000000-0005-0000-0000-00000A000000}"/>
    <cellStyle name="LinksFrom_CEPATNEI" xfId="8" xr:uid="{00000000-0005-0000-0000-00000B000000}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 xr:uid="{A8E6EA83-D21C-4B2C-80A5-01208A0F4FA8}"/>
    <cellStyle name="Percent" xfId="3" builtinId="5" hidden="1" customBuiltin="1"/>
    <cellStyle name="RowHeading_CEPATNEI" xfId="9" xr:uid="{00000000-0005-0000-0000-000011000000}"/>
    <cellStyle name="SectionHeading_CEPATNEI" xfId="10" xr:uid="{00000000-0005-0000-0000-000012000000}"/>
    <cellStyle name="SubSection_CEPATNEI" xfId="12" xr:uid="{00000000-0005-0000-0000-000013000000}"/>
    <cellStyle name="Text_CEPATNEI" xfId="16" xr:uid="{83BE1C27-9621-4AF3-9DC5-1FBAE18340F5}"/>
    <cellStyle name="Title" xfId="21" builtinId="15" hidden="1"/>
    <cellStyle name="Total" xfId="37" builtinId="25" hidden="1"/>
    <cellStyle name="Warning Text" xfId="34" builtinId="11" hidden="1"/>
  </cellStyles>
  <dxfs count="56"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20633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703977</xdr:colOff>
      <xdr:row>4</xdr:row>
      <xdr:rowOff>98940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9C9C9"/>
    <pageSetUpPr fitToPage="1"/>
  </sheetPr>
  <dimension ref="A1:E46"/>
  <sheetViews>
    <sheetView showGridLines="0" showRowColHeaders="0" tabSelected="1" zoomScale="80" zoomScaleNormal="80" workbookViewId="0"/>
  </sheetViews>
  <sheetFormatPr defaultColWidth="0" defaultRowHeight="15" customHeight="1" x14ac:dyDescent="0.35"/>
  <cols>
    <col min="1" max="1" width="2.7265625" customWidth="1"/>
    <col min="2" max="2" width="22.7265625" customWidth="1"/>
    <col min="3" max="3" width="2.7265625" customWidth="1"/>
    <col min="4" max="4" width="100.453125" customWidth="1"/>
    <col min="5" max="5" width="2.7265625" customWidth="1"/>
    <col min="6" max="16384" width="9.1796875" hidden="1"/>
  </cols>
  <sheetData>
    <row r="1" spans="2:4" ht="15" customHeight="1" x14ac:dyDescent="0.35">
      <c r="B1" s="36"/>
    </row>
    <row r="2" spans="2:4" ht="28.5" x14ac:dyDescent="0.35">
      <c r="B2" s="36"/>
      <c r="D2" s="37" t="s">
        <v>0</v>
      </c>
    </row>
    <row r="3" spans="2:4" ht="15" customHeight="1" x14ac:dyDescent="0.35">
      <c r="B3" s="36"/>
    </row>
    <row r="4" spans="2:4" ht="21" x14ac:dyDescent="0.35">
      <c r="B4" s="36"/>
      <c r="D4" s="160" t="s">
        <v>1</v>
      </c>
    </row>
    <row r="5" spans="2:4" ht="14.5" x14ac:dyDescent="0.35">
      <c r="B5" s="36"/>
    </row>
    <row r="6" spans="2:4" ht="14.5" x14ac:dyDescent="0.35">
      <c r="B6" s="38" t="str">
        <f>'Version control'!F7</f>
        <v>Model date:</v>
      </c>
      <c r="D6" s="39">
        <f>'Version control'!H7</f>
        <v>44861</v>
      </c>
    </row>
    <row r="7" spans="2:4" ht="15" customHeight="1" x14ac:dyDescent="0.35">
      <c r="B7" s="36"/>
    </row>
    <row r="8" spans="2:4" ht="15" customHeight="1" x14ac:dyDescent="0.35">
      <c r="B8" s="38" t="str">
        <f>'Version control'!F9</f>
        <v>Development stage:</v>
      </c>
      <c r="D8" s="40" t="str">
        <f>'Version control'!H9</f>
        <v>Release for charge setting</v>
      </c>
    </row>
    <row r="9" spans="2:4" ht="15" customHeight="1" x14ac:dyDescent="0.35">
      <c r="B9" s="36"/>
    </row>
    <row r="10" spans="2:4" ht="15" customHeight="1" x14ac:dyDescent="0.35">
      <c r="B10" s="38" t="str">
        <f>'Version control'!F11</f>
        <v>Model number:</v>
      </c>
      <c r="D10" s="40">
        <f>'Version control'!H11</f>
        <v>5</v>
      </c>
    </row>
    <row r="11" spans="2:4" ht="15" customHeight="1" x14ac:dyDescent="0.35">
      <c r="B11" s="36"/>
    </row>
    <row r="12" spans="2:4" ht="15" customHeight="1" x14ac:dyDescent="0.35">
      <c r="B12" s="38" t="str">
        <f>'Version control'!F13</f>
        <v>DCUSA text version:</v>
      </c>
      <c r="D12" s="40" t="str">
        <f>'Version control'!H13</f>
        <v>Attachment A_2024-25 Charging Methodologies Pre-Release (shared 06/10/2022)</v>
      </c>
    </row>
    <row r="13" spans="2:4" ht="15" customHeight="1" x14ac:dyDescent="0.35">
      <c r="B13" s="38"/>
      <c r="D13" s="40"/>
    </row>
    <row r="14" spans="2:4" ht="15" customHeight="1" x14ac:dyDescent="0.35">
      <c r="B14" s="38" t="str">
        <f>'Version control'!F15</f>
        <v>DCUSA text schedule:</v>
      </c>
      <c r="D14" s="40" t="str">
        <f>'Version control'!H15</f>
        <v>Schedule 29</v>
      </c>
    </row>
    <row r="15" spans="2:4" ht="15" customHeight="1" x14ac:dyDescent="0.35">
      <c r="B15" s="36"/>
    </row>
    <row r="16" spans="2:4" ht="29" x14ac:dyDescent="0.35">
      <c r="B16" s="38" t="s">
        <v>2</v>
      </c>
      <c r="D16" s="41" t="s">
        <v>3</v>
      </c>
    </row>
    <row r="17" spans="2:4" ht="14.5" x14ac:dyDescent="0.35">
      <c r="B17" s="36"/>
      <c r="D17" s="41" t="s">
        <v>4</v>
      </c>
    </row>
    <row r="18" spans="2:4" ht="14.5" x14ac:dyDescent="0.35">
      <c r="B18" s="36"/>
    </row>
    <row r="19" spans="2:4" ht="15" customHeight="1" x14ac:dyDescent="0.35">
      <c r="B19" s="38" t="s">
        <v>5</v>
      </c>
      <c r="D19" s="167" t="s">
        <v>6</v>
      </c>
    </row>
    <row r="20" spans="2:4" ht="15" customHeight="1" x14ac:dyDescent="0.35">
      <c r="B20" s="36"/>
    </row>
    <row r="21" spans="2:4" ht="15" customHeight="1" x14ac:dyDescent="0.35">
      <c r="B21" s="38" t="s">
        <v>7</v>
      </c>
      <c r="D21" s="16" t="s">
        <v>791</v>
      </c>
    </row>
    <row r="22" spans="2:4" ht="15" customHeight="1" x14ac:dyDescent="0.35">
      <c r="B22" s="36"/>
    </row>
    <row r="23" spans="2:4" ht="15" customHeight="1" x14ac:dyDescent="0.35">
      <c r="B23" s="38" t="s">
        <v>8</v>
      </c>
      <c r="D23" s="16" t="s">
        <v>792</v>
      </c>
    </row>
    <row r="24" spans="2:4" ht="15" customHeight="1" x14ac:dyDescent="0.35">
      <c r="B24" s="36"/>
    </row>
    <row r="25" spans="2:4" ht="30" customHeight="1" x14ac:dyDescent="0.35">
      <c r="B25" s="38" t="s">
        <v>9</v>
      </c>
      <c r="D25" s="16" t="s">
        <v>10</v>
      </c>
    </row>
    <row r="26" spans="2:4" ht="15" customHeight="1" x14ac:dyDescent="0.35">
      <c r="B26" s="36"/>
    </row>
    <row r="27" spans="2:4" ht="15" customHeight="1" x14ac:dyDescent="0.35">
      <c r="B27" s="38" t="s">
        <v>11</v>
      </c>
    </row>
    <row r="28" spans="2:4" ht="15" customHeight="1" x14ac:dyDescent="0.35">
      <c r="B28" s="42" t="s">
        <v>12</v>
      </c>
      <c r="C28" s="5"/>
      <c r="D28" s="5" t="s">
        <v>13</v>
      </c>
    </row>
    <row r="29" spans="2:4" ht="14.5" x14ac:dyDescent="0.35">
      <c r="B29" s="177"/>
      <c r="C29" s="178"/>
      <c r="D29" s="178" t="s">
        <v>14</v>
      </c>
    </row>
    <row r="30" spans="2:4" ht="14.5" x14ac:dyDescent="0.35">
      <c r="B30" s="17" t="s">
        <v>15</v>
      </c>
      <c r="D30" t="s">
        <v>16</v>
      </c>
    </row>
    <row r="31" spans="2:4" ht="14.5" x14ac:dyDescent="0.35">
      <c r="B31" s="18" t="s">
        <v>15</v>
      </c>
      <c r="D31" t="s">
        <v>17</v>
      </c>
    </row>
    <row r="32" spans="2:4" ht="14.5" x14ac:dyDescent="0.35">
      <c r="B32" s="19" t="s">
        <v>15</v>
      </c>
      <c r="D32" t="s">
        <v>18</v>
      </c>
    </row>
    <row r="33" spans="2:4" ht="14.5" x14ac:dyDescent="0.35">
      <c r="B33" s="43" t="s">
        <v>15</v>
      </c>
      <c r="D33" t="s">
        <v>19</v>
      </c>
    </row>
    <row r="34" spans="2:4" ht="14.5" x14ac:dyDescent="0.35">
      <c r="B34" s="44" t="s">
        <v>15</v>
      </c>
      <c r="D34" t="s">
        <v>20</v>
      </c>
    </row>
    <row r="35" spans="2:4" ht="14.5" x14ac:dyDescent="0.35">
      <c r="B35" s="45" t="s">
        <v>15</v>
      </c>
      <c r="D35" t="s">
        <v>21</v>
      </c>
    </row>
    <row r="36" spans="2:4" ht="14.5" x14ac:dyDescent="0.35">
      <c r="B36" s="46" t="s">
        <v>15</v>
      </c>
      <c r="D36" t="s">
        <v>22</v>
      </c>
    </row>
    <row r="37" spans="2:4" ht="14.5" x14ac:dyDescent="0.35">
      <c r="B37" s="47" t="s">
        <v>23</v>
      </c>
      <c r="D37" t="s">
        <v>24</v>
      </c>
    </row>
    <row r="38" spans="2:4" ht="15" customHeight="1" x14ac:dyDescent="0.35">
      <c r="B38" s="48" t="s">
        <v>23</v>
      </c>
      <c r="D38" t="s">
        <v>25</v>
      </c>
    </row>
    <row r="39" spans="2:4" ht="15" customHeight="1" x14ac:dyDescent="0.35">
      <c r="B39" s="5" t="s">
        <v>23</v>
      </c>
      <c r="D39" t="s">
        <v>26</v>
      </c>
    </row>
    <row r="40" spans="2:4" ht="15" customHeight="1" x14ac:dyDescent="0.35">
      <c r="B40" s="49" t="s">
        <v>23</v>
      </c>
      <c r="D40" t="s">
        <v>27</v>
      </c>
    </row>
    <row r="41" spans="2:4" ht="15" customHeight="1" x14ac:dyDescent="0.35">
      <c r="B41" s="50" t="s">
        <v>23</v>
      </c>
      <c r="D41" t="s">
        <v>28</v>
      </c>
    </row>
    <row r="42" spans="2:4" ht="15" customHeight="1" x14ac:dyDescent="0.35">
      <c r="B42" s="51" t="s">
        <v>23</v>
      </c>
      <c r="D42" t="s">
        <v>29</v>
      </c>
    </row>
    <row r="43" spans="2:4" ht="15" customHeight="1" x14ac:dyDescent="0.35">
      <c r="B43" s="52" t="s">
        <v>30</v>
      </c>
      <c r="D43" t="s">
        <v>31</v>
      </c>
    </row>
    <row r="44" spans="2:4" ht="15" customHeight="1" x14ac:dyDescent="0.35">
      <c r="B44" s="53" t="s">
        <v>30</v>
      </c>
      <c r="D44" t="s">
        <v>32</v>
      </c>
    </row>
    <row r="45" spans="2:4" ht="15" customHeight="1" x14ac:dyDescent="0.35">
      <c r="B45" s="54" t="s">
        <v>30</v>
      </c>
      <c r="D45" t="s">
        <v>33</v>
      </c>
    </row>
    <row r="46" spans="2:4" ht="15" customHeight="1" x14ac:dyDescent="0.35">
      <c r="B46" s="179" t="s">
        <v>30</v>
      </c>
      <c r="C46" s="180"/>
      <c r="D46" s="180" t="s">
        <v>34</v>
      </c>
    </row>
  </sheetData>
  <sheetProtection sheet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14" width="20.7265625" customWidth="1"/>
    <col min="15" max="15" width="2.7265625" customWidth="1"/>
    <col min="16" max="16" width="40.7265625" customWidth="1"/>
    <col min="17" max="17" width="2.7265625" customWidth="1"/>
    <col min="18" max="16384" width="9.1796875" hidden="1"/>
  </cols>
  <sheetData>
    <row r="1" spans="1:17" x14ac:dyDescent="0.35">
      <c r="A1" s="74" t="str">
        <f ca="1">MID(CELL("filename",A1),FIND("]",CELL("filename",A1))+1,255)</f>
        <v>Capitalised</v>
      </c>
      <c r="B1" s="74"/>
      <c r="C1" s="74"/>
      <c r="D1" s="74"/>
      <c r="E1" s="74"/>
      <c r="F1" s="74"/>
      <c r="G1" s="74"/>
      <c r="H1" s="75"/>
      <c r="I1" s="75"/>
      <c r="J1" s="75"/>
      <c r="K1" s="75"/>
      <c r="L1" s="75"/>
      <c r="M1" s="75"/>
      <c r="N1" s="75"/>
      <c r="O1" s="75"/>
      <c r="P1" s="74"/>
      <c r="Q1" s="2"/>
    </row>
    <row r="2" spans="1:17" x14ac:dyDescent="0.35">
      <c r="A2" s="74" t="str">
        <f>Cover!D21&amp;" - "&amp;Cover!D23</f>
        <v>Southern Electric Power Distribution - Final</v>
      </c>
      <c r="B2" s="74"/>
      <c r="C2" s="74"/>
      <c r="D2" s="74"/>
      <c r="E2" s="74"/>
      <c r="F2" s="74"/>
      <c r="G2" s="74"/>
      <c r="H2" s="75"/>
      <c r="I2" s="75"/>
      <c r="J2" s="75"/>
      <c r="K2" s="75"/>
      <c r="L2" s="75"/>
      <c r="M2" s="75"/>
      <c r="N2" s="75"/>
      <c r="O2" s="75"/>
      <c r="P2" s="74"/>
      <c r="Q2" s="2"/>
    </row>
    <row r="3" spans="1:17" x14ac:dyDescent="0.35">
      <c r="A3" s="76" t="str">
        <f>Cover!D2&amp;" - "&amp;Cover!D8&amp;" v"&amp;Cover!D10&amp;" - "&amp;Cover!D19</f>
        <v>PCDM charging model - Release for charge setting v5 - 2024/25</v>
      </c>
      <c r="B3" s="77"/>
      <c r="C3" s="77"/>
      <c r="D3" s="77"/>
      <c r="E3" s="77"/>
      <c r="F3" s="77"/>
      <c r="G3" s="77"/>
      <c r="H3" s="78"/>
      <c r="I3" s="78"/>
      <c r="J3" s="78"/>
      <c r="K3" s="78"/>
      <c r="L3" s="78"/>
      <c r="M3" s="78"/>
      <c r="N3" s="78"/>
      <c r="O3" s="78"/>
      <c r="P3" s="77"/>
      <c r="Q3" s="3"/>
    </row>
    <row r="4" spans="1:17" x14ac:dyDescent="0.35">
      <c r="A4" s="57" t="str">
        <f>H67 &amp; IF(H67 = 1, " issue", " issues") &amp;" identified in checks on this sheet"</f>
        <v>0 issues identified in checks on this sheet</v>
      </c>
      <c r="B4" s="36"/>
      <c r="C4" s="36"/>
      <c r="D4" s="36"/>
      <c r="E4" s="36"/>
      <c r="F4" s="36"/>
      <c r="G4" s="36"/>
      <c r="H4" s="58"/>
      <c r="I4" s="58"/>
      <c r="J4" s="36"/>
    </row>
    <row r="5" spans="1:17" x14ac:dyDescent="0.35">
      <c r="A5" s="36"/>
      <c r="B5" s="79" t="s">
        <v>104</v>
      </c>
      <c r="C5" s="42"/>
      <c r="D5" s="42"/>
      <c r="E5" s="42"/>
      <c r="F5" s="42"/>
      <c r="G5" s="80" t="s">
        <v>105</v>
      </c>
      <c r="H5" s="100" t="s">
        <v>106</v>
      </c>
      <c r="I5" s="58"/>
      <c r="J5" s="81" t="s">
        <v>196</v>
      </c>
      <c r="K5" s="81" t="s">
        <v>197</v>
      </c>
      <c r="L5" s="81" t="s">
        <v>198</v>
      </c>
      <c r="M5" s="81" t="s">
        <v>199</v>
      </c>
      <c r="N5" s="81" t="s">
        <v>201</v>
      </c>
      <c r="O5" s="58"/>
      <c r="P5" s="80" t="s">
        <v>107</v>
      </c>
    </row>
    <row r="6" spans="1:17" x14ac:dyDescent="0.35">
      <c r="A6" s="36"/>
      <c r="B6" s="36"/>
      <c r="C6" s="36"/>
      <c r="D6" s="36"/>
      <c r="E6" s="36"/>
      <c r="F6" s="36"/>
      <c r="G6" s="36"/>
      <c r="H6" s="58"/>
      <c r="I6" s="58"/>
      <c r="J6" s="58"/>
      <c r="K6" s="58"/>
      <c r="L6" s="58"/>
      <c r="M6" s="58"/>
      <c r="N6" s="58"/>
      <c r="O6" s="58"/>
      <c r="P6" s="36"/>
    </row>
    <row r="7" spans="1:17" x14ac:dyDescent="0.35">
      <c r="A7" s="36"/>
      <c r="B7" s="84" t="s">
        <v>13</v>
      </c>
      <c r="C7" s="84"/>
      <c r="D7" s="84"/>
      <c r="E7" s="84"/>
      <c r="F7" s="84"/>
      <c r="G7" s="84"/>
      <c r="H7" s="85"/>
      <c r="I7" s="85"/>
      <c r="J7" s="85"/>
      <c r="K7" s="85"/>
      <c r="L7" s="85"/>
      <c r="M7" s="85"/>
      <c r="N7" s="85"/>
      <c r="O7" s="85"/>
      <c r="P7" s="84"/>
    </row>
    <row r="8" spans="1:17" x14ac:dyDescent="0.35">
      <c r="A8" s="36"/>
      <c r="B8" s="36"/>
      <c r="C8" s="86"/>
      <c r="D8" s="86"/>
      <c r="E8" s="86"/>
      <c r="F8" s="36"/>
      <c r="G8" s="36"/>
      <c r="H8" s="58"/>
      <c r="I8" s="58"/>
      <c r="J8" s="58"/>
      <c r="K8" s="58"/>
      <c r="L8" s="58"/>
      <c r="M8" s="58"/>
      <c r="N8" s="58"/>
      <c r="O8" s="58"/>
      <c r="P8" s="36"/>
    </row>
    <row r="9" spans="1:17" x14ac:dyDescent="0.35">
      <c r="A9" s="36"/>
      <c r="B9" s="36"/>
      <c r="C9" s="86" t="s">
        <v>612</v>
      </c>
      <c r="D9" s="86"/>
      <c r="E9" s="86"/>
      <c r="F9" s="36"/>
      <c r="G9" s="36"/>
      <c r="H9" s="58"/>
      <c r="I9" s="58"/>
      <c r="J9" s="58"/>
      <c r="K9" s="58"/>
      <c r="L9" s="58"/>
      <c r="M9" s="58"/>
      <c r="N9" s="58"/>
      <c r="O9" s="58"/>
      <c r="P9" s="36"/>
    </row>
    <row r="10" spans="1:17" x14ac:dyDescent="0.35">
      <c r="A10" s="36"/>
      <c r="B10" s="36"/>
      <c r="C10" s="86" t="s">
        <v>613</v>
      </c>
      <c r="D10" s="86"/>
      <c r="E10" s="36"/>
      <c r="F10" s="36"/>
      <c r="G10" s="36"/>
      <c r="H10" s="58"/>
      <c r="I10" s="58"/>
      <c r="J10" s="58"/>
      <c r="K10" s="58"/>
      <c r="L10" s="58"/>
      <c r="M10" s="58"/>
      <c r="N10" s="58"/>
      <c r="O10" s="58"/>
      <c r="P10" s="36"/>
    </row>
    <row r="11" spans="1:17" x14ac:dyDescent="0.35">
      <c r="A11" s="36"/>
      <c r="B11" s="36"/>
      <c r="C11" s="86" t="s">
        <v>614</v>
      </c>
      <c r="D11" s="86"/>
      <c r="E11" s="36"/>
      <c r="F11" s="36"/>
      <c r="G11" s="36"/>
      <c r="H11" s="58"/>
      <c r="I11" s="58"/>
      <c r="J11" s="58"/>
      <c r="K11" s="58"/>
      <c r="L11" s="58"/>
      <c r="M11" s="58"/>
      <c r="N11" s="58"/>
      <c r="O11" s="58"/>
      <c r="P11" s="36"/>
      <c r="Q11" s="58"/>
    </row>
    <row r="12" spans="1:17" x14ac:dyDescent="0.35">
      <c r="A12" s="36"/>
      <c r="B12" s="36"/>
      <c r="C12" s="86"/>
      <c r="D12" s="86"/>
      <c r="E12" s="36"/>
      <c r="F12" s="36"/>
      <c r="G12" s="36"/>
      <c r="H12" s="58"/>
      <c r="I12" s="58"/>
      <c r="J12" s="58"/>
      <c r="K12" s="58"/>
      <c r="L12" s="58"/>
      <c r="M12" s="58"/>
      <c r="N12" s="58"/>
      <c r="O12" s="58"/>
      <c r="P12" s="36"/>
    </row>
    <row r="13" spans="1:17" x14ac:dyDescent="0.35">
      <c r="A13" s="36"/>
      <c r="B13" s="84" t="s">
        <v>615</v>
      </c>
      <c r="C13" s="84"/>
      <c r="D13" s="84"/>
      <c r="E13" s="84"/>
      <c r="F13" s="84"/>
      <c r="G13" s="84"/>
      <c r="H13" s="85"/>
      <c r="I13" s="85"/>
      <c r="J13" s="85"/>
      <c r="K13" s="85"/>
      <c r="L13" s="85"/>
      <c r="M13" s="85"/>
      <c r="N13" s="85"/>
      <c r="O13" s="85"/>
      <c r="P13" s="84"/>
    </row>
    <row r="14" spans="1:17" x14ac:dyDescent="0.35">
      <c r="A14" s="36"/>
      <c r="B14" s="36"/>
      <c r="C14" s="86"/>
      <c r="D14" s="86"/>
      <c r="E14" s="86"/>
      <c r="F14" s="36"/>
      <c r="G14" s="36"/>
      <c r="H14" s="58"/>
      <c r="I14" s="58"/>
      <c r="J14" s="58"/>
      <c r="K14" s="58"/>
      <c r="L14" s="58"/>
      <c r="M14" s="58"/>
      <c r="N14" s="58"/>
      <c r="O14" s="58"/>
      <c r="P14" s="36"/>
    </row>
    <row r="15" spans="1:17" x14ac:dyDescent="0.35">
      <c r="A15" s="36"/>
      <c r="B15" s="36"/>
      <c r="C15" s="86" t="s">
        <v>616</v>
      </c>
      <c r="D15" s="86"/>
      <c r="E15" s="86"/>
      <c r="F15" s="36"/>
      <c r="G15" s="36"/>
      <c r="H15" s="58"/>
      <c r="I15" s="58"/>
      <c r="J15" s="58"/>
      <c r="K15" s="58"/>
      <c r="L15" s="58"/>
      <c r="M15" s="58"/>
      <c r="N15" s="58"/>
      <c r="O15" s="58"/>
      <c r="P15" s="36"/>
    </row>
    <row r="16" spans="1:17" x14ac:dyDescent="0.35">
      <c r="A16" s="36"/>
      <c r="B16" s="36"/>
      <c r="C16" s="86" t="s">
        <v>617</v>
      </c>
      <c r="D16" s="86"/>
      <c r="E16" s="36"/>
      <c r="F16" s="36"/>
      <c r="G16" s="36"/>
      <c r="H16" s="58"/>
      <c r="I16" s="58"/>
      <c r="J16" s="58"/>
      <c r="K16" s="58"/>
      <c r="L16" s="58"/>
      <c r="M16" s="58"/>
      <c r="N16" s="58"/>
      <c r="O16" s="58"/>
      <c r="P16" s="36"/>
    </row>
    <row r="17" spans="1:16" x14ac:dyDescent="0.35">
      <c r="A17" s="36"/>
      <c r="B17" s="36"/>
      <c r="C17" s="86"/>
      <c r="D17" s="86"/>
      <c r="E17" s="36"/>
      <c r="F17" s="36"/>
      <c r="G17" s="36"/>
      <c r="H17" s="58"/>
      <c r="I17" s="58"/>
      <c r="J17" s="58"/>
      <c r="K17" s="58"/>
      <c r="L17" s="58"/>
      <c r="M17" s="58"/>
      <c r="N17" s="58"/>
      <c r="O17" s="58"/>
      <c r="P17" s="36"/>
    </row>
    <row r="18" spans="1:16" x14ac:dyDescent="0.35">
      <c r="A18" s="36"/>
      <c r="B18" s="36"/>
      <c r="C18" s="87" t="s">
        <v>618</v>
      </c>
      <c r="D18" s="87"/>
      <c r="E18" s="87"/>
      <c r="F18" s="87"/>
      <c r="G18" s="87"/>
      <c r="H18" s="88"/>
      <c r="I18" s="88"/>
      <c r="J18" s="88"/>
      <c r="K18" s="88"/>
      <c r="L18" s="88"/>
      <c r="M18" s="88"/>
      <c r="N18" s="88"/>
      <c r="O18" s="88"/>
      <c r="P18" s="87"/>
    </row>
    <row r="19" spans="1:16" x14ac:dyDescent="0.35">
      <c r="A19" s="36"/>
      <c r="B19" s="36"/>
      <c r="C19" s="86"/>
      <c r="D19" s="86"/>
      <c r="E19" s="86"/>
      <c r="F19" s="36"/>
      <c r="G19" s="36"/>
      <c r="H19" s="58"/>
      <c r="I19" s="58"/>
      <c r="J19" s="58"/>
      <c r="K19" s="58"/>
      <c r="L19" s="58"/>
      <c r="M19" s="58"/>
      <c r="N19" s="58"/>
      <c r="O19" s="58"/>
      <c r="P19" s="36"/>
    </row>
    <row r="20" spans="1:16" x14ac:dyDescent="0.35">
      <c r="A20" s="36"/>
      <c r="B20" s="36"/>
      <c r="C20" s="36"/>
      <c r="D20" s="86"/>
      <c r="E20" s="89" t="str">
        <f>'DNO inputs'!E357</f>
        <v>Net capex (2005/06 to 2014/15), by network level</v>
      </c>
      <c r="F20" s="36"/>
      <c r="G20" s="36"/>
      <c r="H20" s="58"/>
      <c r="I20" s="58"/>
      <c r="J20" s="58"/>
      <c r="K20" s="58"/>
      <c r="L20" s="58"/>
      <c r="M20" s="58"/>
      <c r="N20" s="58"/>
      <c r="O20" s="58"/>
      <c r="P20" s="36"/>
    </row>
    <row r="21" spans="1:16" x14ac:dyDescent="0.35">
      <c r="A21" s="36"/>
      <c r="B21" s="36"/>
      <c r="C21" s="36"/>
      <c r="D21" s="36"/>
      <c r="E21" s="36"/>
      <c r="F21" s="90" t="str">
        <f>'DNO inputs'!F358</f>
        <v>LV</v>
      </c>
      <c r="G21" s="90" t="str">
        <f>'DNO inputs'!G358</f>
        <v>£</v>
      </c>
      <c r="H21" s="123">
        <f>'DNO inputs'!H358</f>
        <v>230599999.99999997</v>
      </c>
      <c r="I21" s="101"/>
      <c r="J21" s="101"/>
      <c r="K21" s="101"/>
      <c r="L21" s="101"/>
      <c r="M21" s="101"/>
      <c r="N21" s="101"/>
      <c r="O21" s="58"/>
      <c r="P21" s="36"/>
    </row>
    <row r="22" spans="1:16" x14ac:dyDescent="0.35">
      <c r="A22" s="36"/>
      <c r="B22" s="36"/>
      <c r="C22" s="36"/>
      <c r="D22" s="36"/>
      <c r="E22" s="36"/>
      <c r="F22" s="92" t="str">
        <f>'DNO inputs'!F359</f>
        <v>LV/HV</v>
      </c>
      <c r="G22" s="92" t="str">
        <f>'DNO inputs'!G359</f>
        <v>£</v>
      </c>
      <c r="H22" s="119">
        <f>'DNO inputs'!H359</f>
        <v>64811428.571428582</v>
      </c>
      <c r="I22" s="101"/>
      <c r="J22" s="101"/>
      <c r="K22" s="101"/>
      <c r="L22" s="101"/>
      <c r="M22" s="101"/>
      <c r="N22" s="101"/>
      <c r="O22" s="58"/>
      <c r="P22" s="36"/>
    </row>
    <row r="23" spans="1:16" x14ac:dyDescent="0.35">
      <c r="A23" s="36"/>
      <c r="B23" s="36"/>
      <c r="C23" s="36"/>
      <c r="D23" s="36"/>
      <c r="E23" s="36"/>
      <c r="F23" s="92" t="str">
        <f>'DNO inputs'!F360</f>
        <v>HV</v>
      </c>
      <c r="G23" s="92" t="str">
        <f>'DNO inputs'!G360</f>
        <v>£</v>
      </c>
      <c r="H23" s="119">
        <f>'DNO inputs'!H360</f>
        <v>287988571.42857146</v>
      </c>
      <c r="I23" s="101"/>
      <c r="J23" s="101"/>
      <c r="K23" s="101"/>
      <c r="L23" s="101"/>
      <c r="M23" s="101"/>
      <c r="N23" s="101"/>
      <c r="O23" s="58"/>
      <c r="P23" s="36"/>
    </row>
    <row r="24" spans="1:16" x14ac:dyDescent="0.35">
      <c r="A24" s="36"/>
      <c r="B24" s="36"/>
      <c r="C24" s="36"/>
      <c r="D24" s="36"/>
      <c r="E24" s="36"/>
      <c r="F24" s="92" t="str">
        <f>'DNO inputs'!F361</f>
        <v>EHV</v>
      </c>
      <c r="G24" s="92" t="str">
        <f>'DNO inputs'!G361</f>
        <v>£</v>
      </c>
      <c r="H24" s="119">
        <f>'DNO inputs'!H361</f>
        <v>277600000</v>
      </c>
      <c r="I24" s="101"/>
      <c r="J24" s="101"/>
      <c r="K24" s="101"/>
      <c r="L24" s="101"/>
      <c r="M24" s="101"/>
      <c r="N24" s="101"/>
      <c r="O24" s="58"/>
      <c r="P24" s="36"/>
    </row>
    <row r="25" spans="1:16" x14ac:dyDescent="0.35">
      <c r="A25" s="36"/>
      <c r="B25" s="36"/>
      <c r="C25" s="36"/>
      <c r="D25" s="36"/>
      <c r="E25" s="36"/>
      <c r="F25" s="94" t="str">
        <f>'DNO inputs'!F362</f>
        <v>132kV</v>
      </c>
      <c r="G25" s="94" t="str">
        <f>'DNO inputs'!G362</f>
        <v>£</v>
      </c>
      <c r="H25" s="124">
        <f>'DNO inputs'!H362</f>
        <v>199272195.12195119</v>
      </c>
      <c r="I25" s="101"/>
      <c r="J25" s="101"/>
      <c r="K25" s="101"/>
      <c r="L25" s="101"/>
      <c r="M25" s="101"/>
      <c r="N25" s="101"/>
      <c r="O25" s="58"/>
      <c r="P25" s="36"/>
    </row>
    <row r="26" spans="1:16" x14ac:dyDescent="0.35">
      <c r="A26" s="36"/>
      <c r="B26" s="36"/>
      <c r="C26" s="36"/>
      <c r="D26" s="36"/>
      <c r="E26" s="36"/>
      <c r="F26" s="36"/>
      <c r="G26" s="36"/>
      <c r="H26" s="58"/>
      <c r="I26" s="58"/>
      <c r="J26" s="58"/>
      <c r="K26" s="58"/>
      <c r="L26" s="58"/>
      <c r="M26" s="58"/>
      <c r="N26" s="58"/>
      <c r="O26" s="58"/>
      <c r="P26" s="36"/>
    </row>
    <row r="27" spans="1:16" x14ac:dyDescent="0.35">
      <c r="A27" s="36"/>
      <c r="B27" s="36"/>
      <c r="C27" s="87" t="s">
        <v>619</v>
      </c>
      <c r="D27" s="87"/>
      <c r="E27" s="87"/>
      <c r="F27" s="87"/>
      <c r="G27" s="87"/>
      <c r="H27" s="88"/>
      <c r="I27" s="88"/>
      <c r="J27" s="88"/>
      <c r="K27" s="88"/>
      <c r="L27" s="88"/>
      <c r="M27" s="88"/>
      <c r="N27" s="88"/>
      <c r="O27" s="88"/>
      <c r="P27" s="87"/>
    </row>
    <row r="28" spans="1:16" x14ac:dyDescent="0.35">
      <c r="A28" s="36"/>
      <c r="B28" s="36"/>
      <c r="C28" s="86"/>
      <c r="D28" s="86"/>
      <c r="E28" s="86"/>
      <c r="F28" s="36"/>
      <c r="G28" s="36"/>
      <c r="H28" s="58"/>
      <c r="I28" s="58"/>
      <c r="J28" s="58"/>
      <c r="K28" s="58"/>
      <c r="L28" s="58"/>
      <c r="M28" s="58"/>
      <c r="N28" s="58"/>
      <c r="O28" s="58"/>
      <c r="P28" s="36"/>
    </row>
    <row r="29" spans="1:16" x14ac:dyDescent="0.35">
      <c r="A29" s="36"/>
      <c r="B29" s="36"/>
      <c r="C29" s="36"/>
      <c r="D29" s="86"/>
      <c r="E29" s="92" t="str">
        <f>'DNO inputs'!E369</f>
        <v>LV services share of LV net capex</v>
      </c>
      <c r="F29" s="36"/>
      <c r="G29" s="92" t="str">
        <f>'DNO inputs'!G369</f>
        <v>%</v>
      </c>
      <c r="H29" s="130">
        <f>'DNO inputs'!H369</f>
        <v>0.10180722891566267</v>
      </c>
      <c r="I29" s="106"/>
      <c r="J29" s="106"/>
      <c r="K29" s="106"/>
      <c r="L29" s="106"/>
      <c r="M29" s="106"/>
      <c r="N29" s="106"/>
      <c r="O29" s="58"/>
      <c r="P29" s="36"/>
    </row>
    <row r="30" spans="1:16" x14ac:dyDescent="0.35">
      <c r="A30" s="36"/>
      <c r="B30" s="36"/>
      <c r="C30" s="36"/>
      <c r="D30" s="86"/>
      <c r="E30" s="86"/>
      <c r="F30" s="36"/>
      <c r="G30" s="92"/>
      <c r="H30" s="135"/>
      <c r="I30" s="58"/>
      <c r="J30" s="58"/>
      <c r="K30" s="58"/>
      <c r="L30" s="58"/>
      <c r="M30" s="58"/>
      <c r="N30" s="58"/>
      <c r="O30" s="58"/>
      <c r="P30" s="36"/>
    </row>
    <row r="31" spans="1:16" x14ac:dyDescent="0.35">
      <c r="A31" s="92"/>
      <c r="B31" s="36"/>
      <c r="C31" s="36"/>
      <c r="D31" s="36"/>
      <c r="E31" s="92" t="s">
        <v>620</v>
      </c>
      <c r="F31" s="36"/>
      <c r="G31" s="92" t="s">
        <v>119</v>
      </c>
      <c r="H31" s="136">
        <f>1 - H29</f>
        <v>0.89819277108433737</v>
      </c>
      <c r="I31" s="102" t="s">
        <v>120</v>
      </c>
      <c r="J31" s="106"/>
      <c r="K31" s="106"/>
      <c r="L31" s="106"/>
      <c r="M31" s="106"/>
      <c r="N31" s="106"/>
      <c r="O31" s="58"/>
      <c r="P31" s="92" t="s">
        <v>456</v>
      </c>
    </row>
    <row r="32" spans="1:16" x14ac:dyDescent="0.35">
      <c r="A32" s="36"/>
      <c r="B32" s="36"/>
      <c r="C32" s="36"/>
      <c r="D32" s="36"/>
      <c r="E32" s="86"/>
      <c r="F32" s="36"/>
      <c r="G32" s="36"/>
      <c r="H32" s="58"/>
      <c r="I32" s="58"/>
      <c r="J32" s="58"/>
      <c r="K32" s="58"/>
      <c r="L32" s="58"/>
      <c r="M32" s="58"/>
      <c r="N32" s="58"/>
      <c r="O32" s="58"/>
      <c r="P32" s="36"/>
    </row>
    <row r="33" spans="1:16" x14ac:dyDescent="0.35">
      <c r="A33" s="36"/>
      <c r="B33" s="36"/>
      <c r="C33" s="36"/>
      <c r="D33" s="36"/>
      <c r="E33" s="89" t="s">
        <v>621</v>
      </c>
      <c r="F33" s="36"/>
      <c r="G33" s="36"/>
      <c r="H33" s="58"/>
      <c r="I33" s="58"/>
      <c r="J33" s="58"/>
      <c r="K33" s="58"/>
      <c r="L33" s="58"/>
      <c r="M33" s="58"/>
      <c r="N33" s="58"/>
      <c r="O33" s="58"/>
      <c r="P33" s="36"/>
    </row>
    <row r="34" spans="1:16" x14ac:dyDescent="0.35">
      <c r="A34" s="92"/>
      <c r="B34" s="36"/>
      <c r="C34" s="36"/>
      <c r="D34" s="36"/>
      <c r="E34" s="36"/>
      <c r="F34" s="90" t="s">
        <v>303</v>
      </c>
      <c r="G34" s="90" t="s">
        <v>119</v>
      </c>
      <c r="H34" s="117"/>
      <c r="I34" s="137" t="s">
        <v>120</v>
      </c>
      <c r="J34" s="138">
        <f>H$29</f>
        <v>0.10180722891566267</v>
      </c>
      <c r="K34" s="139">
        <f>H$31</f>
        <v>0.89819277108433737</v>
      </c>
      <c r="L34" s="140"/>
      <c r="M34" s="140"/>
      <c r="N34" s="140"/>
      <c r="O34" s="58"/>
      <c r="P34" s="92" t="s">
        <v>456</v>
      </c>
    </row>
    <row r="35" spans="1:16" x14ac:dyDescent="0.35">
      <c r="A35" s="36"/>
      <c r="B35" s="36"/>
      <c r="C35" s="36"/>
      <c r="D35" s="36"/>
      <c r="E35" s="36"/>
      <c r="F35" s="92" t="s">
        <v>451</v>
      </c>
      <c r="G35" s="92" t="s">
        <v>119</v>
      </c>
      <c r="H35" s="106"/>
      <c r="I35" s="106"/>
      <c r="J35" s="141"/>
      <c r="K35" s="141"/>
      <c r="L35" s="22">
        <v>1</v>
      </c>
      <c r="M35" s="141"/>
      <c r="N35" s="141"/>
      <c r="O35" s="58"/>
      <c r="P35" s="36"/>
    </row>
    <row r="36" spans="1:16" x14ac:dyDescent="0.35">
      <c r="A36" s="36"/>
      <c r="B36" s="36"/>
      <c r="C36" s="36"/>
      <c r="D36" s="36"/>
      <c r="E36" s="36"/>
      <c r="F36" s="92" t="s">
        <v>199</v>
      </c>
      <c r="G36" s="92" t="s">
        <v>119</v>
      </c>
      <c r="H36" s="106"/>
      <c r="I36" s="106"/>
      <c r="J36" s="141"/>
      <c r="K36" s="141"/>
      <c r="L36" s="141"/>
      <c r="M36" s="22">
        <v>1</v>
      </c>
      <c r="N36" s="141"/>
      <c r="O36" s="58"/>
      <c r="P36" s="36"/>
    </row>
    <row r="37" spans="1:16" x14ac:dyDescent="0.35">
      <c r="A37" s="36"/>
      <c r="B37" s="36"/>
      <c r="C37" s="36"/>
      <c r="D37" s="36"/>
      <c r="E37" s="36"/>
      <c r="F37" s="92" t="s">
        <v>293</v>
      </c>
      <c r="G37" s="92" t="s">
        <v>119</v>
      </c>
      <c r="H37" s="106"/>
      <c r="I37" s="106"/>
      <c r="J37" s="141"/>
      <c r="K37" s="141"/>
      <c r="L37" s="141"/>
      <c r="M37" s="141"/>
      <c r="N37" s="22">
        <v>1</v>
      </c>
      <c r="O37" s="58"/>
      <c r="P37" s="36"/>
    </row>
    <row r="38" spans="1:16" x14ac:dyDescent="0.35">
      <c r="A38" s="36"/>
      <c r="B38" s="36"/>
      <c r="C38" s="36"/>
      <c r="D38" s="36"/>
      <c r="E38" s="36"/>
      <c r="F38" s="94" t="s">
        <v>296</v>
      </c>
      <c r="G38" s="94" t="s">
        <v>119</v>
      </c>
      <c r="H38" s="118"/>
      <c r="I38" s="118"/>
      <c r="J38" s="155"/>
      <c r="K38" s="155"/>
      <c r="L38" s="155"/>
      <c r="M38" s="155"/>
      <c r="N38" s="27">
        <v>1</v>
      </c>
      <c r="O38" s="58"/>
      <c r="P38" s="36"/>
    </row>
    <row r="39" spans="1:16" x14ac:dyDescent="0.35">
      <c r="A39" s="36"/>
      <c r="B39" s="36"/>
      <c r="C39" s="36"/>
      <c r="D39" s="36"/>
      <c r="E39" s="36"/>
      <c r="F39" s="36"/>
      <c r="G39" s="36"/>
      <c r="H39" s="58"/>
      <c r="I39" s="58"/>
      <c r="J39" s="58"/>
      <c r="K39" s="58"/>
      <c r="L39" s="58"/>
      <c r="M39" s="58"/>
      <c r="N39" s="58"/>
      <c r="O39" s="58"/>
      <c r="P39" s="36"/>
    </row>
    <row r="40" spans="1:16" x14ac:dyDescent="0.35">
      <c r="A40" s="92"/>
      <c r="B40" s="36"/>
      <c r="C40" s="36"/>
      <c r="D40" s="36"/>
      <c r="E40" s="92" t="s">
        <v>622</v>
      </c>
      <c r="F40" s="36"/>
      <c r="G40" s="92" t="str">
        <f>G$21</f>
        <v>£</v>
      </c>
      <c r="H40" s="101"/>
      <c r="I40" s="112" t="s">
        <v>120</v>
      </c>
      <c r="J40" s="101">
        <f>SUMPRODUCT($H21:$H25, J34:J38)</f>
        <v>23476746.987951808</v>
      </c>
      <c r="K40" s="101">
        <f>SUMPRODUCT($H21:$H25, K34:K38)</f>
        <v>207123253.01204818</v>
      </c>
      <c r="L40" s="101">
        <f>SUMPRODUCT($H21:$H25, L34:L38)</f>
        <v>64811428.571428582</v>
      </c>
      <c r="M40" s="101">
        <f>SUMPRODUCT($H21:$H25, M34:M38)</f>
        <v>287988571.42857146</v>
      </c>
      <c r="N40" s="101">
        <f>SUMPRODUCT($H21:$H25, N34:N38)</f>
        <v>476872195.12195122</v>
      </c>
      <c r="O40" s="58"/>
      <c r="P40" s="92" t="s">
        <v>623</v>
      </c>
    </row>
    <row r="41" spans="1:16" x14ac:dyDescent="0.35">
      <c r="A41" s="92"/>
      <c r="B41" s="36"/>
      <c r="C41" s="36"/>
      <c r="D41" s="36"/>
      <c r="E41" s="92" t="s">
        <v>624</v>
      </c>
      <c r="F41" s="36"/>
      <c r="G41" s="92" t="str">
        <f>G$21</f>
        <v>£</v>
      </c>
      <c r="H41" s="101">
        <f>SUM(J40:N40)</f>
        <v>1060272195.1219512</v>
      </c>
      <c r="I41" s="112" t="s">
        <v>120</v>
      </c>
      <c r="J41" s="101"/>
      <c r="K41" s="101"/>
      <c r="L41" s="101"/>
      <c r="M41" s="101"/>
      <c r="N41" s="101"/>
      <c r="O41" s="58"/>
      <c r="P41" s="92" t="s">
        <v>623</v>
      </c>
    </row>
    <row r="42" spans="1:16" x14ac:dyDescent="0.35">
      <c r="A42" s="36"/>
      <c r="B42" s="36"/>
      <c r="C42" s="36"/>
      <c r="D42" s="36"/>
      <c r="E42" s="92" t="s">
        <v>603</v>
      </c>
      <c r="F42" s="36"/>
      <c r="G42" s="92" t="s">
        <v>502</v>
      </c>
      <c r="H42" s="142" t="b">
        <f>H41 &gt; 0</f>
        <v>1</v>
      </c>
      <c r="I42" s="101"/>
      <c r="J42" s="101"/>
      <c r="K42" s="101"/>
      <c r="L42" s="101"/>
      <c r="M42" s="101"/>
      <c r="N42" s="101"/>
      <c r="O42" s="58"/>
      <c r="P42" s="36"/>
    </row>
    <row r="43" spans="1:16" x14ac:dyDescent="0.35">
      <c r="A43" s="36"/>
      <c r="B43" s="36"/>
      <c r="C43" s="36"/>
      <c r="D43" s="36"/>
      <c r="E43" s="86"/>
      <c r="F43" s="36"/>
      <c r="G43" s="36"/>
      <c r="H43" s="58"/>
      <c r="I43" s="58"/>
      <c r="J43" s="58"/>
      <c r="K43" s="58"/>
      <c r="L43" s="58"/>
      <c r="M43" s="58"/>
      <c r="N43" s="58"/>
      <c r="O43" s="58"/>
      <c r="P43" s="36"/>
    </row>
    <row r="44" spans="1:16" x14ac:dyDescent="0.35">
      <c r="A44" s="92"/>
      <c r="B44" s="36"/>
      <c r="C44" s="36"/>
      <c r="D44" s="36"/>
      <c r="E44" s="92" t="s">
        <v>625</v>
      </c>
      <c r="F44" s="36"/>
      <c r="G44" s="92" t="s">
        <v>119</v>
      </c>
      <c r="H44" s="106"/>
      <c r="I44" s="102" t="s">
        <v>120</v>
      </c>
      <c r="J44" s="121">
        <f>IF($H42, J40 / $H41, 0)</f>
        <v>2.2142188671892448E-2</v>
      </c>
      <c r="K44" s="121">
        <f>IF($H42, K40 / $H41, 0)</f>
        <v>0.19534913201060142</v>
      </c>
      <c r="L44" s="121">
        <f>IF($H42, L40 / $H41, 0)</f>
        <v>6.1127160430698692E-2</v>
      </c>
      <c r="M44" s="121">
        <f>IF($H42, M40 / $H41, 0)</f>
        <v>0.27161758344087045</v>
      </c>
      <c r="N44" s="121">
        <f>IF($H42, N40 / $H41, 0)</f>
        <v>0.44976393544593701</v>
      </c>
      <c r="O44" s="58"/>
      <c r="P44" s="92" t="s">
        <v>623</v>
      </c>
    </row>
    <row r="45" spans="1:16" x14ac:dyDescent="0.35">
      <c r="A45" s="36"/>
      <c r="B45" s="36"/>
      <c r="C45" s="36"/>
      <c r="D45" s="36"/>
      <c r="E45" s="92" t="s">
        <v>507</v>
      </c>
      <c r="F45" s="36"/>
      <c r="G45" s="92" t="s">
        <v>73</v>
      </c>
      <c r="H45" s="107">
        <f>IF(SUM(J44:N44)= 1, 0, 1)</f>
        <v>0</v>
      </c>
      <c r="I45" s="107"/>
      <c r="J45" s="107"/>
      <c r="K45" s="107"/>
      <c r="L45" s="107"/>
      <c r="M45" s="107"/>
      <c r="N45" s="107"/>
      <c r="O45" s="58"/>
      <c r="P45" s="36"/>
    </row>
    <row r="46" spans="1:16" x14ac:dyDescent="0.35">
      <c r="A46" s="36"/>
      <c r="B46" s="36"/>
      <c r="C46" s="36"/>
      <c r="D46" s="36"/>
      <c r="E46" s="86"/>
      <c r="F46" s="36"/>
      <c r="G46" s="36"/>
      <c r="H46" s="58"/>
      <c r="I46" s="58"/>
      <c r="J46" s="58"/>
      <c r="K46" s="58"/>
      <c r="L46" s="58"/>
      <c r="M46" s="58"/>
      <c r="N46" s="58"/>
      <c r="O46" s="58"/>
      <c r="P46" s="36"/>
    </row>
    <row r="47" spans="1:16" x14ac:dyDescent="0.35">
      <c r="A47" s="36"/>
      <c r="B47" s="36"/>
      <c r="C47" s="87" t="s">
        <v>626</v>
      </c>
      <c r="D47" s="87"/>
      <c r="E47" s="87"/>
      <c r="F47" s="87"/>
      <c r="G47" s="87"/>
      <c r="H47" s="88"/>
      <c r="I47" s="88"/>
      <c r="J47" s="88"/>
      <c r="K47" s="88"/>
      <c r="L47" s="88"/>
      <c r="M47" s="88"/>
      <c r="N47" s="88"/>
      <c r="O47" s="88"/>
      <c r="P47" s="87"/>
    </row>
    <row r="48" spans="1:16" x14ac:dyDescent="0.35">
      <c r="A48" s="36"/>
      <c r="B48" s="36"/>
      <c r="C48" s="86"/>
      <c r="D48" s="86"/>
      <c r="E48" s="86"/>
      <c r="F48" s="36"/>
      <c r="G48" s="36"/>
      <c r="H48" s="58"/>
      <c r="I48" s="58"/>
      <c r="J48" s="58"/>
      <c r="K48" s="58"/>
      <c r="L48" s="58"/>
      <c r="M48" s="58"/>
      <c r="N48" s="58"/>
      <c r="O48" s="58"/>
      <c r="P48" s="36"/>
    </row>
    <row r="49" spans="1:16" x14ac:dyDescent="0.35">
      <c r="A49" s="36"/>
      <c r="B49" s="36"/>
      <c r="C49" s="36"/>
      <c r="D49" s="86"/>
      <c r="E49" s="92" t="str">
        <f>MEAV!E120</f>
        <v>EHV reduction rate</v>
      </c>
      <c r="F49" s="36"/>
      <c r="G49" s="92" t="str">
        <f>MEAV!G120</f>
        <v>%</v>
      </c>
      <c r="H49" s="130">
        <f>MEAV!H120</f>
        <v>0.82096674216103316</v>
      </c>
      <c r="I49" s="106"/>
      <c r="J49" s="106"/>
      <c r="K49" s="106"/>
      <c r="L49" s="106"/>
      <c r="M49" s="106"/>
      <c r="N49" s="106"/>
      <c r="O49" s="58"/>
      <c r="P49" s="36"/>
    </row>
    <row r="50" spans="1:16" x14ac:dyDescent="0.35">
      <c r="A50" s="36"/>
      <c r="B50" s="36"/>
      <c r="C50" s="36"/>
      <c r="D50" s="36"/>
      <c r="E50" s="86"/>
      <c r="F50" s="36"/>
      <c r="G50" s="36"/>
      <c r="H50" s="58"/>
      <c r="I50" s="58"/>
      <c r="J50" s="58"/>
      <c r="K50" s="58"/>
      <c r="L50" s="58"/>
      <c r="M50" s="58"/>
      <c r="N50" s="58"/>
      <c r="O50" s="58"/>
      <c r="P50" s="36"/>
    </row>
    <row r="51" spans="1:16" x14ac:dyDescent="0.35">
      <c r="A51" s="36"/>
      <c r="B51" s="36"/>
      <c r="C51" s="36"/>
      <c r="D51" s="36"/>
      <c r="E51" s="89" t="s">
        <v>627</v>
      </c>
      <c r="F51" s="36"/>
      <c r="G51" s="36"/>
      <c r="H51" s="58"/>
      <c r="I51" s="58"/>
      <c r="J51" s="58"/>
      <c r="K51" s="58"/>
      <c r="L51" s="58"/>
      <c r="M51" s="58"/>
      <c r="N51" s="58"/>
      <c r="O51" s="58"/>
      <c r="P51" s="36"/>
    </row>
    <row r="52" spans="1:16" x14ac:dyDescent="0.35">
      <c r="A52" s="92"/>
      <c r="B52" s="36"/>
      <c r="C52" s="36"/>
      <c r="D52" s="36"/>
      <c r="E52" s="36"/>
      <c r="F52" s="90" t="s">
        <v>303</v>
      </c>
      <c r="G52" s="90" t="s">
        <v>119</v>
      </c>
      <c r="H52" s="117"/>
      <c r="I52" s="137" t="s">
        <v>120</v>
      </c>
      <c r="J52" s="139">
        <f>J34</f>
        <v>0.10180722891566267</v>
      </c>
      <c r="K52" s="139">
        <f>K34</f>
        <v>0.89819277108433737</v>
      </c>
      <c r="L52" s="140"/>
      <c r="M52" s="140"/>
      <c r="N52" s="140"/>
      <c r="O52" s="58"/>
      <c r="P52" s="92" t="s">
        <v>456</v>
      </c>
    </row>
    <row r="53" spans="1:16" x14ac:dyDescent="0.35">
      <c r="A53" s="36"/>
      <c r="B53" s="36"/>
      <c r="C53" s="36"/>
      <c r="D53" s="36"/>
      <c r="E53" s="36"/>
      <c r="F53" s="92" t="s">
        <v>451</v>
      </c>
      <c r="G53" s="92" t="s">
        <v>119</v>
      </c>
      <c r="H53" s="106"/>
      <c r="I53" s="106"/>
      <c r="J53" s="141"/>
      <c r="K53" s="141"/>
      <c r="L53" s="136">
        <f>L35</f>
        <v>1</v>
      </c>
      <c r="M53" s="141"/>
      <c r="N53" s="141"/>
      <c r="O53" s="58"/>
      <c r="P53" s="36"/>
    </row>
    <row r="54" spans="1:16" x14ac:dyDescent="0.35">
      <c r="A54" s="36"/>
      <c r="B54" s="36"/>
      <c r="C54" s="36"/>
      <c r="D54" s="36"/>
      <c r="E54" s="36"/>
      <c r="F54" s="92" t="s">
        <v>199</v>
      </c>
      <c r="G54" s="92" t="s">
        <v>119</v>
      </c>
      <c r="H54" s="106"/>
      <c r="I54" s="106"/>
      <c r="J54" s="141"/>
      <c r="K54" s="141"/>
      <c r="L54" s="141"/>
      <c r="M54" s="136">
        <f>M36</f>
        <v>1</v>
      </c>
      <c r="N54" s="141"/>
      <c r="O54" s="58"/>
      <c r="P54" s="36"/>
    </row>
    <row r="55" spans="1:16" x14ac:dyDescent="0.35">
      <c r="A55" s="92"/>
      <c r="B55" s="36"/>
      <c r="C55" s="36"/>
      <c r="D55" s="36"/>
      <c r="E55" s="36"/>
      <c r="F55" s="92" t="s">
        <v>293</v>
      </c>
      <c r="G55" s="92" t="s">
        <v>119</v>
      </c>
      <c r="H55" s="106"/>
      <c r="I55" s="102" t="s">
        <v>120</v>
      </c>
      <c r="J55" s="141"/>
      <c r="K55" s="141"/>
      <c r="L55" s="141"/>
      <c r="M55" s="141"/>
      <c r="N55" s="106">
        <f>H$49</f>
        <v>0.82096674216103316</v>
      </c>
      <c r="O55" s="58"/>
      <c r="P55" s="92" t="s">
        <v>628</v>
      </c>
    </row>
    <row r="56" spans="1:16" x14ac:dyDescent="0.35">
      <c r="A56" s="92"/>
      <c r="B56" s="36"/>
      <c r="C56" s="36"/>
      <c r="D56" s="36"/>
      <c r="E56" s="36"/>
      <c r="F56" s="94" t="s">
        <v>296</v>
      </c>
      <c r="G56" s="94" t="s">
        <v>119</v>
      </c>
      <c r="H56" s="118"/>
      <c r="I56" s="187" t="s">
        <v>120</v>
      </c>
      <c r="J56" s="155"/>
      <c r="K56" s="155"/>
      <c r="L56" s="155"/>
      <c r="M56" s="155"/>
      <c r="N56" s="118">
        <f>H$49</f>
        <v>0.82096674216103316</v>
      </c>
      <c r="O56" s="58"/>
      <c r="P56" s="92" t="s">
        <v>628</v>
      </c>
    </row>
    <row r="57" spans="1:16" x14ac:dyDescent="0.35">
      <c r="A57" s="36"/>
      <c r="B57" s="36"/>
      <c r="C57" s="36"/>
      <c r="D57" s="36"/>
      <c r="E57" s="36"/>
      <c r="F57" s="36"/>
      <c r="G57" s="36"/>
      <c r="H57" s="58"/>
      <c r="I57" s="58"/>
      <c r="J57" s="58"/>
      <c r="K57" s="58"/>
      <c r="L57" s="58"/>
      <c r="M57" s="58"/>
      <c r="N57" s="58"/>
      <c r="O57" s="58"/>
      <c r="P57" s="36"/>
    </row>
    <row r="58" spans="1:16" x14ac:dyDescent="0.35">
      <c r="A58" s="92"/>
      <c r="B58" s="36"/>
      <c r="C58" s="36"/>
      <c r="D58" s="36"/>
      <c r="E58" s="92" t="s">
        <v>629</v>
      </c>
      <c r="F58" s="36"/>
      <c r="G58" s="92" t="str">
        <f>G$21</f>
        <v>£</v>
      </c>
      <c r="H58" s="101"/>
      <c r="I58" s="112" t="s">
        <v>120</v>
      </c>
      <c r="J58" s="101">
        <f>SUMPRODUCT($H21:$H25, J52:J56)</f>
        <v>23476746.987951808</v>
      </c>
      <c r="K58" s="101">
        <f>SUMPRODUCT($H21:$H25, K52:K56)</f>
        <v>207123253.01204818</v>
      </c>
      <c r="L58" s="101">
        <f>SUMPRODUCT($H21:$H25, L52:L56)</f>
        <v>64811428.571428582</v>
      </c>
      <c r="M58" s="101">
        <f>SUMPRODUCT($H21:$H25, M52:M56)</f>
        <v>287988571.42857146</v>
      </c>
      <c r="N58" s="101">
        <f>SUMPRODUCT($H21:$H25, N52:N56)</f>
        <v>391496212.45644879</v>
      </c>
      <c r="O58" s="58"/>
      <c r="P58" s="92" t="s">
        <v>623</v>
      </c>
    </row>
    <row r="59" spans="1:16" x14ac:dyDescent="0.35">
      <c r="A59" s="92"/>
      <c r="B59" s="36"/>
      <c r="C59" s="36"/>
      <c r="D59" s="36"/>
      <c r="E59" s="92" t="s">
        <v>630</v>
      </c>
      <c r="F59" s="36"/>
      <c r="G59" s="92" t="str">
        <f>G$21</f>
        <v>£</v>
      </c>
      <c r="H59" s="101">
        <f>SUM(J58:N58)</f>
        <v>974896212.45644879</v>
      </c>
      <c r="I59" s="112" t="s">
        <v>120</v>
      </c>
      <c r="J59" s="101"/>
      <c r="K59" s="101"/>
      <c r="L59" s="101"/>
      <c r="M59" s="101"/>
      <c r="N59" s="101"/>
      <c r="O59" s="58"/>
      <c r="P59" s="92" t="s">
        <v>623</v>
      </c>
    </row>
    <row r="60" spans="1:16" x14ac:dyDescent="0.35">
      <c r="A60" s="36"/>
      <c r="B60" s="36"/>
      <c r="C60" s="36"/>
      <c r="D60" s="36"/>
      <c r="E60" s="92" t="s">
        <v>603</v>
      </c>
      <c r="F60" s="36"/>
      <c r="G60" s="92" t="s">
        <v>502</v>
      </c>
      <c r="H60" s="142" t="b">
        <f>H59 &gt; 0</f>
        <v>1</v>
      </c>
      <c r="I60" s="101"/>
      <c r="J60" s="101"/>
      <c r="K60" s="101"/>
      <c r="L60" s="101"/>
      <c r="M60" s="101"/>
      <c r="N60" s="101"/>
      <c r="O60" s="58"/>
      <c r="P60" s="36"/>
    </row>
    <row r="61" spans="1:16" x14ac:dyDescent="0.35">
      <c r="A61" s="36"/>
      <c r="B61" s="36"/>
      <c r="C61" s="36"/>
      <c r="D61" s="36"/>
      <c r="E61" s="86"/>
      <c r="F61" s="36"/>
      <c r="G61" s="36"/>
      <c r="H61" s="58"/>
      <c r="I61" s="58"/>
      <c r="J61" s="58"/>
      <c r="K61" s="58"/>
      <c r="L61" s="58"/>
      <c r="M61" s="58"/>
      <c r="N61" s="58"/>
      <c r="O61" s="58"/>
      <c r="P61" s="36"/>
    </row>
    <row r="62" spans="1:16" x14ac:dyDescent="0.35">
      <c r="A62" s="92"/>
      <c r="B62" s="36"/>
      <c r="C62" s="36"/>
      <c r="D62" s="36"/>
      <c r="E62" s="92" t="s">
        <v>631</v>
      </c>
      <c r="F62" s="36"/>
      <c r="G62" s="92" t="s">
        <v>119</v>
      </c>
      <c r="H62" s="106"/>
      <c r="I62" s="102" t="s">
        <v>120</v>
      </c>
      <c r="J62" s="121">
        <f>IF($H60, J58 / $H59, 0)</f>
        <v>2.4081278281713067E-2</v>
      </c>
      <c r="K62" s="121">
        <f>IF($H60, K58 / $H59, 0)</f>
        <v>0.21245672140848626</v>
      </c>
      <c r="L62" s="121">
        <f>IF($H60, L58 / $H59, 0)</f>
        <v>6.6480336822853217E-2</v>
      </c>
      <c r="M62" s="121">
        <f>IF($H60, M58 / $H59, 0)</f>
        <v>0.29540433919927317</v>
      </c>
      <c r="N62" s="121">
        <f>IF($H60, N58 / $H59, 0)</f>
        <v>0.40157732428767434</v>
      </c>
      <c r="O62" s="58"/>
      <c r="P62" s="92" t="s">
        <v>623</v>
      </c>
    </row>
    <row r="63" spans="1:16" x14ac:dyDescent="0.35">
      <c r="A63" s="36"/>
      <c r="B63" s="36"/>
      <c r="C63" s="36"/>
      <c r="D63" s="36"/>
      <c r="E63" s="92" t="s">
        <v>507</v>
      </c>
      <c r="F63" s="36"/>
      <c r="G63" s="92" t="s">
        <v>73</v>
      </c>
      <c r="H63" s="107">
        <f>IF(SUM(J62:N62)= 1, 0, 1)</f>
        <v>0</v>
      </c>
      <c r="I63" s="107"/>
      <c r="J63" s="107"/>
      <c r="K63" s="107"/>
      <c r="L63" s="107"/>
      <c r="M63" s="107"/>
      <c r="N63" s="107"/>
      <c r="O63" s="58"/>
      <c r="P63" s="36"/>
    </row>
    <row r="64" spans="1:16" x14ac:dyDescent="0.35">
      <c r="A64" s="36"/>
      <c r="B64" s="36"/>
      <c r="C64" s="36"/>
      <c r="D64" s="36"/>
      <c r="E64" s="86"/>
      <c r="F64" s="36"/>
      <c r="G64" s="36"/>
      <c r="H64" s="58"/>
      <c r="I64" s="58"/>
      <c r="J64" s="58"/>
      <c r="K64" s="58"/>
      <c r="L64" s="58"/>
      <c r="M64" s="58"/>
      <c r="N64" s="58"/>
      <c r="O64" s="58"/>
      <c r="P64" s="36"/>
    </row>
    <row r="65" spans="1:16" x14ac:dyDescent="0.35">
      <c r="A65" s="36"/>
      <c r="B65" s="84" t="s">
        <v>535</v>
      </c>
      <c r="C65" s="84"/>
      <c r="D65" s="84"/>
      <c r="E65" s="84"/>
      <c r="F65" s="84"/>
      <c r="G65" s="84"/>
      <c r="H65" s="85"/>
      <c r="I65" s="85"/>
      <c r="J65" s="85"/>
      <c r="K65" s="85"/>
      <c r="L65" s="85"/>
      <c r="M65" s="85"/>
      <c r="N65" s="85"/>
      <c r="O65" s="85"/>
      <c r="P65" s="84"/>
    </row>
    <row r="66" spans="1:16" x14ac:dyDescent="0.35">
      <c r="A66" s="36"/>
      <c r="B66" s="36"/>
      <c r="C66" s="86"/>
      <c r="D66" s="86"/>
      <c r="E66" s="86"/>
      <c r="F66" s="36"/>
      <c r="G66" s="36"/>
      <c r="H66" s="58"/>
      <c r="I66" s="58"/>
      <c r="J66" s="58"/>
      <c r="K66" s="58"/>
      <c r="L66" s="58"/>
      <c r="M66" s="58"/>
      <c r="N66" s="58"/>
      <c r="O66" s="58"/>
      <c r="P66" s="36"/>
    </row>
    <row r="67" spans="1:16" x14ac:dyDescent="0.35">
      <c r="A67" s="36"/>
      <c r="B67" s="36"/>
      <c r="C67" s="86"/>
      <c r="D67" s="86"/>
      <c r="E67" s="92" t="s">
        <v>496</v>
      </c>
      <c r="F67" s="36"/>
      <c r="G67" s="92" t="s">
        <v>73</v>
      </c>
      <c r="H67" s="126">
        <f>H45 + H63</f>
        <v>0</v>
      </c>
      <c r="I67" s="107"/>
      <c r="J67" s="107"/>
      <c r="K67" s="107"/>
      <c r="L67" s="107"/>
      <c r="M67" s="107"/>
      <c r="N67" s="107"/>
      <c r="O67" s="58"/>
      <c r="P67" s="36"/>
    </row>
    <row r="68" spans="1:16" x14ac:dyDescent="0.35">
      <c r="A68" s="36"/>
      <c r="B68" s="36"/>
      <c r="C68" s="36"/>
      <c r="D68" s="36"/>
      <c r="E68" s="86"/>
      <c r="F68" s="36"/>
      <c r="G68" s="36"/>
      <c r="H68" s="58"/>
      <c r="I68" s="58"/>
      <c r="J68" s="58"/>
      <c r="K68" s="58"/>
      <c r="L68" s="58"/>
      <c r="M68" s="58"/>
      <c r="N68" s="58"/>
      <c r="O68" s="58"/>
      <c r="P68" s="36"/>
    </row>
    <row r="69" spans="1:16" x14ac:dyDescent="0.35">
      <c r="A69" s="36"/>
      <c r="B69" s="84" t="s">
        <v>87</v>
      </c>
      <c r="C69" s="84"/>
      <c r="D69" s="84"/>
      <c r="E69" s="84"/>
      <c r="F69" s="84"/>
      <c r="G69" s="84"/>
      <c r="H69" s="85"/>
      <c r="I69" s="85"/>
      <c r="J69" s="85"/>
      <c r="K69" s="85"/>
      <c r="L69" s="85"/>
      <c r="M69" s="85"/>
      <c r="N69" s="85"/>
      <c r="O69" s="85"/>
      <c r="P69" s="84"/>
    </row>
  </sheetData>
  <sheetProtection sheet="1" objects="1" formatCells="0" formatColumns="0" formatRows="0" sort="0" autoFilter="0"/>
  <conditionalFormatting sqref="H45">
    <cfRule type="cellIs" dxfId="19" priority="2" stopIfTrue="1" operator="greaterThan">
      <formula>0</formula>
    </cfRule>
  </conditionalFormatting>
  <conditionalFormatting sqref="H63">
    <cfRule type="cellIs" dxfId="18" priority="3" stopIfTrue="1" operator="greaterThan">
      <formula>0</formula>
    </cfRule>
  </conditionalFormatting>
  <conditionalFormatting sqref="H67">
    <cfRule type="cellIs" dxfId="17" priority="4" stopIfTrue="1" operator="greaterThan">
      <formula>0</formula>
    </cfRule>
  </conditionalFormatting>
  <conditionalFormatting sqref="A4:XFD4">
    <cfRule type="expression" dxfId="16" priority="1">
      <formula>LEFT($A$4,1) &lt;&gt; "0"</formula>
    </cfRule>
  </conditionalFormatting>
  <hyperlinks>
    <hyperlink ref="B5" location="'Model map'!A1" display="Click here to return to model map" xr:uid="{B2EA467F-F795-4792-81F9-22F43D104545}"/>
    <hyperlink ref="B5:H5" location="'Model map'!A4" tooltip="Click to return to model map" display="'Model map'!A4" xr:uid="{4A072EC7-D758-4F81-B059-6A2941DD7861}"/>
    <hyperlink ref="B5:F5" location="'Model map'!A4" tooltip="Click to return to model map" display="'Model map'!A4" xr:uid="{7961FCAB-9D46-4A0A-ADB3-7B54474525D6}"/>
    <hyperlink ref="A1" location="Index!A1" display="Index!A1" xr:uid="{58BFA774-6BFC-4055-9755-6F5D937ED3EE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14" width="20.7265625" customWidth="1"/>
    <col min="15" max="15" width="2.7265625" customWidth="1"/>
    <col min="16" max="16" width="40.7265625" customWidth="1"/>
    <col min="17" max="17" width="2.7265625" customWidth="1"/>
    <col min="18" max="16384" width="9.1796875" hidden="1"/>
  </cols>
  <sheetData>
    <row r="1" spans="1:17" x14ac:dyDescent="0.35">
      <c r="A1" s="74" t="str">
        <f ca="1">MID(CELL("filename",A1),FIND("]",CELL("filename",A1))+1,255)</f>
        <v>Rev allocation</v>
      </c>
      <c r="B1" s="74"/>
      <c r="C1" s="74"/>
      <c r="D1" s="74"/>
      <c r="E1" s="74"/>
      <c r="F1" s="74"/>
      <c r="G1" s="74"/>
      <c r="H1" s="75"/>
      <c r="I1" s="75"/>
      <c r="J1" s="75"/>
      <c r="K1" s="75"/>
      <c r="L1" s="75"/>
      <c r="M1" s="75"/>
      <c r="N1" s="75"/>
      <c r="O1" s="75"/>
      <c r="P1" s="74"/>
      <c r="Q1" s="2"/>
    </row>
    <row r="2" spans="1:17" x14ac:dyDescent="0.35">
      <c r="A2" s="74" t="str">
        <f>Cover!D21&amp;" - "&amp;Cover!D23</f>
        <v>Southern Electric Power Distribution - Final</v>
      </c>
      <c r="B2" s="74"/>
      <c r="C2" s="74"/>
      <c r="D2" s="74"/>
      <c r="E2" s="74"/>
      <c r="F2" s="74"/>
      <c r="G2" s="74"/>
      <c r="H2" s="75"/>
      <c r="I2" s="75"/>
      <c r="J2" s="75"/>
      <c r="K2" s="75"/>
      <c r="L2" s="75"/>
      <c r="M2" s="75"/>
      <c r="N2" s="75"/>
      <c r="O2" s="75"/>
      <c r="P2" s="74"/>
      <c r="Q2" s="2"/>
    </row>
    <row r="3" spans="1:17" x14ac:dyDescent="0.35">
      <c r="A3" s="76" t="str">
        <f>Cover!D2&amp;" - "&amp;Cover!D8&amp;" v"&amp;Cover!D10&amp;" - "&amp;Cover!D19</f>
        <v>PCDM charging model - Release for charge setting v5 - 2024/25</v>
      </c>
      <c r="B3" s="77"/>
      <c r="C3" s="77"/>
      <c r="D3" s="77"/>
      <c r="E3" s="77"/>
      <c r="F3" s="77"/>
      <c r="G3" s="77"/>
      <c r="H3" s="78"/>
      <c r="I3" s="78"/>
      <c r="J3" s="78"/>
      <c r="K3" s="78"/>
      <c r="L3" s="78"/>
      <c r="M3" s="78"/>
      <c r="N3" s="78"/>
      <c r="O3" s="78"/>
      <c r="P3" s="77"/>
      <c r="Q3" s="3"/>
    </row>
    <row r="4" spans="1:17" x14ac:dyDescent="0.35">
      <c r="A4" s="57" t="str">
        <f>H188 &amp; IF(H188 = 1, " issue", " issues") &amp;" identified in checks on this sheet"</f>
        <v>0 issues identified in checks on this sheet</v>
      </c>
      <c r="B4" s="36"/>
      <c r="C4" s="36"/>
      <c r="D4" s="36"/>
      <c r="E4" s="36"/>
      <c r="F4" s="36"/>
      <c r="G4" s="36"/>
      <c r="H4" s="58"/>
      <c r="I4" s="58"/>
      <c r="J4" s="36"/>
    </row>
    <row r="5" spans="1:17" x14ac:dyDescent="0.35">
      <c r="A5" s="36"/>
      <c r="B5" s="79" t="s">
        <v>104</v>
      </c>
      <c r="C5" s="42"/>
      <c r="D5" s="42"/>
      <c r="E5" s="42"/>
      <c r="F5" s="42"/>
      <c r="G5" s="80" t="s">
        <v>105</v>
      </c>
      <c r="H5" s="100" t="s">
        <v>106</v>
      </c>
      <c r="I5" s="58"/>
      <c r="J5" s="81" t="s">
        <v>196</v>
      </c>
      <c r="K5" s="81" t="s">
        <v>197</v>
      </c>
      <c r="L5" s="81" t="s">
        <v>198</v>
      </c>
      <c r="M5" s="81" t="s">
        <v>199</v>
      </c>
      <c r="N5" s="81" t="s">
        <v>201</v>
      </c>
      <c r="O5" s="58"/>
      <c r="P5" s="80" t="s">
        <v>107</v>
      </c>
    </row>
    <row r="6" spans="1:17" x14ac:dyDescent="0.35">
      <c r="A6" s="36"/>
      <c r="B6" s="36"/>
      <c r="C6" s="36"/>
      <c r="D6" s="36"/>
      <c r="E6" s="36"/>
      <c r="F6" s="36"/>
      <c r="G6" s="36"/>
      <c r="H6" s="58"/>
      <c r="I6" s="58"/>
      <c r="J6" s="58"/>
      <c r="K6" s="58"/>
      <c r="L6" s="58"/>
      <c r="M6" s="58"/>
      <c r="N6" s="58"/>
      <c r="O6" s="58"/>
      <c r="P6" s="36"/>
    </row>
    <row r="7" spans="1:17" x14ac:dyDescent="0.35">
      <c r="A7" s="36"/>
      <c r="B7" s="84" t="s">
        <v>13</v>
      </c>
      <c r="C7" s="84"/>
      <c r="D7" s="84"/>
      <c r="E7" s="84"/>
      <c r="F7" s="84"/>
      <c r="G7" s="84"/>
      <c r="H7" s="85"/>
      <c r="I7" s="85"/>
      <c r="J7" s="85"/>
      <c r="K7" s="85"/>
      <c r="L7" s="85"/>
      <c r="M7" s="85"/>
      <c r="N7" s="85"/>
      <c r="O7" s="85"/>
      <c r="P7" s="84"/>
    </row>
    <row r="8" spans="1:17" x14ac:dyDescent="0.35">
      <c r="A8" s="36"/>
      <c r="B8" s="36"/>
      <c r="C8" s="36"/>
      <c r="D8" s="36"/>
      <c r="E8" s="36"/>
      <c r="F8" s="36"/>
      <c r="G8" s="36"/>
      <c r="H8" s="58"/>
      <c r="I8" s="58"/>
      <c r="J8" s="58"/>
      <c r="K8" s="58"/>
      <c r="L8" s="58"/>
      <c r="M8" s="58"/>
      <c r="N8" s="58"/>
      <c r="O8" s="58"/>
      <c r="P8" s="36"/>
    </row>
    <row r="9" spans="1:17" x14ac:dyDescent="0.35">
      <c r="A9" s="36"/>
      <c r="B9" s="36"/>
      <c r="C9" s="86" t="s">
        <v>632</v>
      </c>
      <c r="D9" s="86"/>
      <c r="E9" s="36"/>
      <c r="F9" s="36"/>
      <c r="G9" s="36"/>
      <c r="H9" s="58"/>
      <c r="I9" s="58"/>
      <c r="J9" s="58"/>
      <c r="K9" s="58"/>
      <c r="L9" s="58"/>
      <c r="M9" s="58"/>
      <c r="N9" s="58"/>
      <c r="O9" s="58"/>
      <c r="P9" s="36"/>
    </row>
    <row r="10" spans="1:17" x14ac:dyDescent="0.35">
      <c r="A10" s="36"/>
      <c r="B10" s="36"/>
      <c r="C10" s="86" t="s">
        <v>633</v>
      </c>
      <c r="D10" s="86"/>
      <c r="E10" s="36"/>
      <c r="F10" s="36"/>
      <c r="G10" s="36"/>
      <c r="H10" s="58"/>
      <c r="I10" s="58"/>
      <c r="J10" s="58"/>
      <c r="K10" s="58"/>
      <c r="L10" s="58"/>
      <c r="M10" s="58"/>
      <c r="N10" s="58"/>
      <c r="O10" s="58"/>
      <c r="P10" s="36"/>
      <c r="Q10" s="58"/>
    </row>
    <row r="11" spans="1:17" x14ac:dyDescent="0.35">
      <c r="A11" s="36"/>
      <c r="B11" s="36"/>
      <c r="C11" s="86"/>
      <c r="D11" s="86"/>
      <c r="E11" s="36"/>
      <c r="F11" s="36"/>
      <c r="G11" s="36"/>
      <c r="H11" s="58"/>
      <c r="I11" s="58"/>
      <c r="J11" s="58"/>
      <c r="K11" s="58"/>
      <c r="L11" s="58"/>
      <c r="M11" s="58"/>
      <c r="N11" s="58"/>
      <c r="O11" s="58"/>
      <c r="P11" s="36"/>
    </row>
    <row r="12" spans="1:17" x14ac:dyDescent="0.35">
      <c r="A12" s="36"/>
      <c r="B12" s="84" t="s">
        <v>634</v>
      </c>
      <c r="C12" s="84"/>
      <c r="D12" s="84"/>
      <c r="E12" s="84"/>
      <c r="F12" s="84"/>
      <c r="G12" s="84"/>
      <c r="H12" s="85"/>
      <c r="I12" s="85"/>
      <c r="J12" s="85"/>
      <c r="K12" s="85"/>
      <c r="L12" s="85"/>
      <c r="M12" s="85"/>
      <c r="N12" s="85"/>
      <c r="O12" s="85"/>
      <c r="P12" s="84"/>
    </row>
    <row r="13" spans="1:17" x14ac:dyDescent="0.35">
      <c r="A13" s="36"/>
      <c r="B13" s="36"/>
      <c r="C13" s="36"/>
      <c r="D13" s="36"/>
      <c r="E13" s="36"/>
      <c r="F13" s="36"/>
      <c r="G13" s="36"/>
      <c r="H13" s="58"/>
      <c r="I13" s="58"/>
      <c r="J13" s="58"/>
      <c r="K13" s="58"/>
      <c r="L13" s="58"/>
      <c r="M13" s="58"/>
      <c r="N13" s="58"/>
      <c r="O13" s="58"/>
      <c r="P13" s="36"/>
    </row>
    <row r="14" spans="1:17" x14ac:dyDescent="0.35">
      <c r="A14" s="36"/>
      <c r="B14" s="36"/>
      <c r="C14" s="86" t="s">
        <v>635</v>
      </c>
      <c r="D14" s="86"/>
      <c r="E14" s="36"/>
      <c r="F14" s="36"/>
      <c r="G14" s="36"/>
      <c r="H14" s="58"/>
      <c r="I14" s="58"/>
      <c r="J14" s="58"/>
      <c r="K14" s="58"/>
      <c r="L14" s="58"/>
      <c r="M14" s="58"/>
      <c r="N14" s="58"/>
      <c r="O14" s="58"/>
      <c r="P14" s="36"/>
    </row>
    <row r="15" spans="1:17" x14ac:dyDescent="0.35">
      <c r="A15" s="36"/>
      <c r="B15" s="36"/>
      <c r="C15" s="86"/>
      <c r="D15" s="86"/>
      <c r="E15" s="36"/>
      <c r="F15" s="36"/>
      <c r="G15" s="36"/>
      <c r="H15" s="58"/>
      <c r="I15" s="58"/>
      <c r="J15" s="58"/>
      <c r="K15" s="58"/>
      <c r="L15" s="58"/>
      <c r="M15" s="58"/>
      <c r="N15" s="58"/>
      <c r="O15" s="58"/>
      <c r="P15" s="36"/>
    </row>
    <row r="16" spans="1:17" x14ac:dyDescent="0.35">
      <c r="A16" s="36"/>
      <c r="B16" s="36"/>
      <c r="C16" s="87" t="s">
        <v>636</v>
      </c>
      <c r="D16" s="87"/>
      <c r="E16" s="87"/>
      <c r="F16" s="87"/>
      <c r="G16" s="87"/>
      <c r="H16" s="88"/>
      <c r="I16" s="88"/>
      <c r="J16" s="88"/>
      <c r="K16" s="88"/>
      <c r="L16" s="88"/>
      <c r="M16" s="88"/>
      <c r="N16" s="88"/>
      <c r="O16" s="88"/>
      <c r="P16" s="87"/>
    </row>
    <row r="17" spans="1:16" x14ac:dyDescent="0.35">
      <c r="A17" s="36"/>
      <c r="B17" s="36"/>
      <c r="C17" s="86"/>
      <c r="D17" s="86"/>
      <c r="E17" s="36"/>
      <c r="F17" s="36"/>
      <c r="G17" s="36"/>
      <c r="H17" s="58"/>
      <c r="I17" s="58"/>
      <c r="J17" s="58"/>
      <c r="K17" s="58"/>
      <c r="L17" s="58"/>
      <c r="M17" s="58"/>
      <c r="N17" s="58"/>
      <c r="O17" s="58"/>
      <c r="P17" s="36"/>
    </row>
    <row r="18" spans="1:16" x14ac:dyDescent="0.35">
      <c r="A18" s="36"/>
      <c r="B18" s="36"/>
      <c r="C18" s="36"/>
      <c r="D18" s="86"/>
      <c r="E18" s="89" t="str">
        <f>'DNO inputs'!E375</f>
        <v>Price control allowed revenue, by component (2005/06 to 2009/10)</v>
      </c>
      <c r="F18" s="36"/>
      <c r="G18" s="36"/>
      <c r="H18" s="58"/>
      <c r="I18" s="58"/>
      <c r="J18" s="58"/>
      <c r="K18" s="58"/>
      <c r="L18" s="58"/>
      <c r="M18" s="58"/>
      <c r="N18" s="58"/>
      <c r="O18" s="58"/>
      <c r="P18" s="36"/>
    </row>
    <row r="19" spans="1:16" x14ac:dyDescent="0.35">
      <c r="A19" s="36"/>
      <c r="B19" s="36"/>
      <c r="C19" s="36"/>
      <c r="D19" s="36"/>
      <c r="E19" s="36"/>
      <c r="F19" s="90" t="str">
        <f>'DNO inputs'!F376</f>
        <v>Aggregate return allowance</v>
      </c>
      <c r="G19" s="90" t="str">
        <f>'DNO inputs'!G376</f>
        <v>£</v>
      </c>
      <c r="H19" s="123">
        <f>'DNO inputs'!H376</f>
        <v>621978192.93916261</v>
      </c>
      <c r="I19" s="101"/>
      <c r="J19" s="101"/>
      <c r="K19" s="101"/>
      <c r="L19" s="101"/>
      <c r="M19" s="101"/>
      <c r="N19" s="101"/>
      <c r="O19" s="58"/>
      <c r="P19" s="36"/>
    </row>
    <row r="20" spans="1:16" x14ac:dyDescent="0.35">
      <c r="A20" s="36"/>
      <c r="B20" s="36"/>
      <c r="C20" s="36"/>
      <c r="D20" s="36"/>
      <c r="E20" s="36"/>
      <c r="F20" s="92" t="str">
        <f>'DNO inputs'!F377</f>
        <v>Aggregate depreciation allowance</v>
      </c>
      <c r="G20" s="92" t="str">
        <f>'DNO inputs'!G377</f>
        <v>£</v>
      </c>
      <c r="H20" s="119">
        <f>'DNO inputs'!H377</f>
        <v>575800000</v>
      </c>
      <c r="I20" s="101"/>
      <c r="J20" s="101"/>
      <c r="K20" s="101"/>
      <c r="L20" s="101"/>
      <c r="M20" s="101"/>
      <c r="N20" s="101"/>
      <c r="O20" s="58"/>
      <c r="P20" s="36"/>
    </row>
    <row r="21" spans="1:16" x14ac:dyDescent="0.35">
      <c r="A21" s="36"/>
      <c r="B21" s="36"/>
      <c r="C21" s="36"/>
      <c r="D21" s="36"/>
      <c r="E21" s="36"/>
      <c r="F21" s="94" t="str">
        <f>'DNO inputs'!F378</f>
        <v>Aggregate operating allowance</v>
      </c>
      <c r="G21" s="94" t="str">
        <f>'DNO inputs'!G378</f>
        <v>£</v>
      </c>
      <c r="H21" s="124">
        <f>'DNO inputs'!H378</f>
        <v>516157600</v>
      </c>
      <c r="I21" s="101"/>
      <c r="J21" s="101"/>
      <c r="K21" s="101"/>
      <c r="L21" s="101"/>
      <c r="M21" s="101"/>
      <c r="N21" s="101"/>
      <c r="O21" s="58"/>
      <c r="P21" s="36"/>
    </row>
    <row r="22" spans="1:16" x14ac:dyDescent="0.35">
      <c r="A22" s="36"/>
      <c r="B22" s="36"/>
      <c r="C22" s="36"/>
      <c r="D22" s="36"/>
      <c r="E22" s="36"/>
      <c r="F22" s="36"/>
      <c r="G22" s="36"/>
      <c r="H22" s="58"/>
      <c r="I22" s="58"/>
      <c r="J22" s="58"/>
      <c r="K22" s="58"/>
      <c r="L22" s="58"/>
      <c r="M22" s="58"/>
      <c r="N22" s="58"/>
      <c r="O22" s="58"/>
      <c r="P22" s="36"/>
    </row>
    <row r="23" spans="1:16" x14ac:dyDescent="0.35">
      <c r="A23" s="92"/>
      <c r="B23" s="36"/>
      <c r="C23" s="36"/>
      <c r="D23" s="36"/>
      <c r="E23" s="92" t="s">
        <v>637</v>
      </c>
      <c r="F23" s="36"/>
      <c r="G23" s="92" t="str">
        <f>G$19</f>
        <v>£</v>
      </c>
      <c r="H23" s="101">
        <f>SUM(H19:H21)</f>
        <v>1713935792.9391627</v>
      </c>
      <c r="I23" s="112" t="s">
        <v>120</v>
      </c>
      <c r="J23" s="101"/>
      <c r="K23" s="101"/>
      <c r="L23" s="101"/>
      <c r="M23" s="101"/>
      <c r="N23" s="101"/>
      <c r="O23" s="58"/>
      <c r="P23" s="92" t="s">
        <v>638</v>
      </c>
    </row>
    <row r="24" spans="1:16" x14ac:dyDescent="0.35">
      <c r="A24" s="36"/>
      <c r="B24" s="36"/>
      <c r="C24" s="36"/>
      <c r="D24" s="36"/>
      <c r="E24" s="86"/>
      <c r="F24" s="36"/>
      <c r="G24" s="36"/>
      <c r="H24" s="58"/>
      <c r="I24" s="58"/>
      <c r="J24" s="58"/>
      <c r="K24" s="58"/>
      <c r="L24" s="58"/>
      <c r="M24" s="58"/>
      <c r="N24" s="58"/>
      <c r="O24" s="58"/>
      <c r="P24" s="36"/>
    </row>
    <row r="25" spans="1:16" x14ac:dyDescent="0.35">
      <c r="A25" s="36"/>
      <c r="B25" s="36"/>
      <c r="C25" s="36"/>
      <c r="D25" s="36"/>
      <c r="E25" s="92" t="s">
        <v>639</v>
      </c>
      <c r="F25" s="36"/>
      <c r="G25" s="92" t="s">
        <v>502</v>
      </c>
      <c r="H25" s="101" t="b">
        <f>H23 &gt; 0</f>
        <v>1</v>
      </c>
      <c r="I25" s="101"/>
      <c r="J25" s="101"/>
      <c r="K25" s="101"/>
      <c r="L25" s="101"/>
      <c r="M25" s="101"/>
      <c r="N25" s="101"/>
      <c r="O25" s="58"/>
      <c r="P25" s="36"/>
    </row>
    <row r="26" spans="1:16" x14ac:dyDescent="0.35">
      <c r="A26" s="36"/>
      <c r="B26" s="36"/>
      <c r="C26" s="36"/>
      <c r="D26" s="36"/>
      <c r="E26" s="86"/>
      <c r="F26" s="36"/>
      <c r="G26" s="36"/>
      <c r="H26" s="58"/>
      <c r="I26" s="58"/>
      <c r="J26" s="58"/>
      <c r="K26" s="58"/>
      <c r="L26" s="58"/>
      <c r="M26" s="58"/>
      <c r="N26" s="58"/>
      <c r="O26" s="58"/>
      <c r="P26" s="36"/>
    </row>
    <row r="27" spans="1:16" x14ac:dyDescent="0.35">
      <c r="A27" s="92"/>
      <c r="B27" s="36"/>
      <c r="C27" s="36"/>
      <c r="D27" s="36"/>
      <c r="E27" s="92" t="s">
        <v>640</v>
      </c>
      <c r="F27" s="36"/>
      <c r="G27" s="92" t="s">
        <v>119</v>
      </c>
      <c r="H27" s="106">
        <f>IF(H$25, H21 / H23, 0)</f>
        <v>0.30115340500291504</v>
      </c>
      <c r="I27" s="102" t="s">
        <v>120</v>
      </c>
      <c r="J27" s="106"/>
      <c r="K27" s="106"/>
      <c r="L27" s="106"/>
      <c r="M27" s="106"/>
      <c r="N27" s="106"/>
      <c r="O27" s="58"/>
      <c r="P27" s="92" t="s">
        <v>638</v>
      </c>
    </row>
    <row r="28" spans="1:16" x14ac:dyDescent="0.35">
      <c r="A28" s="36"/>
      <c r="B28" s="36"/>
      <c r="C28" s="36"/>
      <c r="D28" s="36"/>
      <c r="E28" s="86"/>
      <c r="F28" s="36"/>
      <c r="G28" s="36"/>
      <c r="H28" s="58"/>
      <c r="I28" s="58"/>
      <c r="J28" s="58"/>
      <c r="K28" s="58"/>
      <c r="L28" s="58"/>
      <c r="M28" s="58"/>
      <c r="N28" s="58"/>
      <c r="O28" s="58"/>
      <c r="P28" s="36"/>
    </row>
    <row r="29" spans="1:16" x14ac:dyDescent="0.35">
      <c r="A29" s="92"/>
      <c r="B29" s="36"/>
      <c r="C29" s="36"/>
      <c r="D29" s="36"/>
      <c r="E29" s="92" t="s">
        <v>641</v>
      </c>
      <c r="F29" s="36"/>
      <c r="G29" s="92" t="s">
        <v>119</v>
      </c>
      <c r="H29" s="106">
        <f>IF(H25, (H19 + H20) / H23, 0)</f>
        <v>0.69884659499708501</v>
      </c>
      <c r="I29" s="102" t="s">
        <v>120</v>
      </c>
      <c r="J29" s="106"/>
      <c r="K29" s="106"/>
      <c r="L29" s="106"/>
      <c r="M29" s="106"/>
      <c r="N29" s="106"/>
      <c r="O29" s="58"/>
      <c r="P29" s="92" t="s">
        <v>638</v>
      </c>
    </row>
    <row r="30" spans="1:16" x14ac:dyDescent="0.35">
      <c r="A30" s="36"/>
      <c r="B30" s="36"/>
      <c r="C30" s="36"/>
      <c r="D30" s="36"/>
      <c r="E30" s="86"/>
      <c r="F30" s="36"/>
      <c r="G30" s="36"/>
      <c r="H30" s="58"/>
      <c r="I30" s="58"/>
      <c r="J30" s="58"/>
      <c r="K30" s="58"/>
      <c r="L30" s="58"/>
      <c r="M30" s="58"/>
      <c r="N30" s="58"/>
      <c r="O30" s="58"/>
      <c r="P30" s="36"/>
    </row>
    <row r="31" spans="1:16" x14ac:dyDescent="0.35">
      <c r="A31" s="36"/>
      <c r="B31" s="36"/>
      <c r="C31" s="87" t="s">
        <v>642</v>
      </c>
      <c r="D31" s="87"/>
      <c r="E31" s="87"/>
      <c r="F31" s="87"/>
      <c r="G31" s="87"/>
      <c r="H31" s="88"/>
      <c r="I31" s="88"/>
      <c r="J31" s="88"/>
      <c r="K31" s="88"/>
      <c r="L31" s="88"/>
      <c r="M31" s="88"/>
      <c r="N31" s="88"/>
      <c r="O31" s="88"/>
      <c r="P31" s="87"/>
    </row>
    <row r="32" spans="1:16" x14ac:dyDescent="0.35">
      <c r="A32" s="36"/>
      <c r="B32" s="36"/>
      <c r="C32" s="86"/>
      <c r="D32" s="86"/>
      <c r="E32" s="36"/>
      <c r="F32" s="36"/>
      <c r="G32" s="36"/>
      <c r="H32" s="58"/>
      <c r="I32" s="58"/>
      <c r="J32" s="58"/>
      <c r="K32" s="58"/>
      <c r="L32" s="58"/>
      <c r="M32" s="58"/>
      <c r="N32" s="58"/>
      <c r="O32" s="58"/>
      <c r="P32" s="36"/>
    </row>
    <row r="33" spans="1:16" x14ac:dyDescent="0.35">
      <c r="A33" s="36"/>
      <c r="B33" s="36"/>
      <c r="C33" s="36"/>
      <c r="D33" s="86"/>
      <c r="E33" s="92" t="str">
        <f>Expensed!E67</f>
        <v>Expensed proportions, by network level (EDCM)</v>
      </c>
      <c r="F33" s="36"/>
      <c r="G33" s="92" t="str">
        <f>Expensed!G68</f>
        <v>%</v>
      </c>
      <c r="H33" s="106"/>
      <c r="I33" s="106"/>
      <c r="J33" s="130">
        <f>Expensed!H68</f>
        <v>0.3114239976994328</v>
      </c>
      <c r="K33" s="130">
        <f>Expensed!H69</f>
        <v>0.24183064181619066</v>
      </c>
      <c r="L33" s="130">
        <f>Expensed!H70</f>
        <v>7.5092064434604963E-2</v>
      </c>
      <c r="M33" s="130">
        <f>Expensed!H71</f>
        <v>0.20710522912171564</v>
      </c>
      <c r="N33" s="130">
        <f>Expensed!H72</f>
        <v>0.16454806692805599</v>
      </c>
      <c r="O33" s="58"/>
      <c r="P33" s="36"/>
    </row>
    <row r="34" spans="1:16" x14ac:dyDescent="0.35">
      <c r="A34" s="36"/>
      <c r="B34" s="36"/>
      <c r="C34" s="36"/>
      <c r="D34" s="36"/>
      <c r="E34" s="86"/>
      <c r="F34" s="36"/>
      <c r="G34" s="36"/>
      <c r="H34" s="58"/>
      <c r="I34" s="58"/>
      <c r="J34" s="58"/>
      <c r="K34" s="58"/>
      <c r="L34" s="58"/>
      <c r="M34" s="58"/>
      <c r="N34" s="58"/>
      <c r="O34" s="58"/>
      <c r="P34" s="36"/>
    </row>
    <row r="35" spans="1:16" x14ac:dyDescent="0.35">
      <c r="A35" s="36"/>
      <c r="B35" s="36"/>
      <c r="C35" s="36"/>
      <c r="D35" s="36"/>
      <c r="E35" s="92" t="str">
        <f>Capitalised!E44</f>
        <v>Capitalised proportions, by network level (EDCM)</v>
      </c>
      <c r="F35" s="36"/>
      <c r="G35" s="92" t="str">
        <f>Capitalised!G44</f>
        <v>%</v>
      </c>
      <c r="H35" s="106"/>
      <c r="I35" s="106"/>
      <c r="J35" s="130">
        <f>Capitalised!J44</f>
        <v>2.2142188671892448E-2</v>
      </c>
      <c r="K35" s="130">
        <f>Capitalised!K44</f>
        <v>0.19534913201060142</v>
      </c>
      <c r="L35" s="130">
        <f>Capitalised!L44</f>
        <v>6.1127160430698692E-2</v>
      </c>
      <c r="M35" s="130">
        <f>Capitalised!M44</f>
        <v>0.27161758344087045</v>
      </c>
      <c r="N35" s="130">
        <f>Capitalised!N44</f>
        <v>0.44976393544593701</v>
      </c>
      <c r="O35" s="58"/>
      <c r="P35" s="36"/>
    </row>
    <row r="36" spans="1:16" x14ac:dyDescent="0.35">
      <c r="A36" s="36"/>
      <c r="B36" s="36"/>
      <c r="C36" s="36"/>
      <c r="D36" s="36"/>
      <c r="E36" s="86"/>
      <c r="F36" s="36"/>
      <c r="G36" s="36"/>
      <c r="H36" s="58"/>
      <c r="I36" s="58"/>
      <c r="J36" s="58"/>
      <c r="K36" s="58"/>
      <c r="L36" s="58"/>
      <c r="M36" s="58"/>
      <c r="N36" s="58"/>
      <c r="O36" s="58"/>
      <c r="P36" s="36"/>
    </row>
    <row r="37" spans="1:16" x14ac:dyDescent="0.35">
      <c r="A37" s="92"/>
      <c r="B37" s="36"/>
      <c r="C37" s="36"/>
      <c r="D37" s="36"/>
      <c r="E37" s="92" t="s">
        <v>643</v>
      </c>
      <c r="F37" s="36"/>
      <c r="G37" s="92" t="s">
        <v>119</v>
      </c>
      <c r="H37" s="106"/>
      <c r="I37" s="102" t="s">
        <v>120</v>
      </c>
      <c r="J37" s="106">
        <f>($H$27 * J33) + ($H$29 * J35)</f>
        <v>0.10926039046593924</v>
      </c>
      <c r="K37" s="106">
        <f>($H$27 * K33) + ($H$29 * K35)</f>
        <v>0.20934719695823101</v>
      </c>
      <c r="L37" s="106">
        <f>($H$27 * L33) + ($H$29 * L35)</f>
        <v>6.5332738822013917E-2</v>
      </c>
      <c r="M37" s="106">
        <f>($H$27 * M33) + ($H$29 * M35)</f>
        <v>0.25218946827290245</v>
      </c>
      <c r="N37" s="106">
        <f>($H$27 * N33) + ($H$29 * N35)</f>
        <v>0.36387020548091348</v>
      </c>
      <c r="O37" s="58"/>
      <c r="P37" s="92" t="s">
        <v>638</v>
      </c>
    </row>
    <row r="38" spans="1:16" x14ac:dyDescent="0.35">
      <c r="A38" s="36"/>
      <c r="B38" s="36"/>
      <c r="C38" s="36"/>
      <c r="D38" s="36"/>
      <c r="E38" s="86"/>
      <c r="F38" s="36"/>
      <c r="G38" s="36"/>
      <c r="H38" s="58"/>
      <c r="I38" s="58"/>
      <c r="J38" s="58"/>
      <c r="K38" s="58"/>
      <c r="L38" s="58"/>
      <c r="M38" s="58"/>
      <c r="N38" s="58"/>
      <c r="O38" s="58"/>
      <c r="P38" s="36"/>
    </row>
    <row r="39" spans="1:16" x14ac:dyDescent="0.35">
      <c r="A39" s="36"/>
      <c r="B39" s="36"/>
      <c r="C39" s="36"/>
      <c r="D39" s="36"/>
      <c r="E39" s="92" t="s">
        <v>507</v>
      </c>
      <c r="F39" s="36"/>
      <c r="G39" s="92" t="s">
        <v>73</v>
      </c>
      <c r="H39" s="143">
        <f>IF(SUM(J37:N37)= 1, 0, 1)</f>
        <v>0</v>
      </c>
      <c r="I39" s="107"/>
      <c r="J39" s="107"/>
      <c r="K39" s="107"/>
      <c r="L39" s="107"/>
      <c r="M39" s="107"/>
      <c r="N39" s="107"/>
      <c r="O39" s="58"/>
      <c r="P39" s="36"/>
    </row>
    <row r="40" spans="1:16" x14ac:dyDescent="0.35">
      <c r="A40" s="36"/>
      <c r="B40" s="36"/>
      <c r="C40" s="36"/>
      <c r="D40" s="36"/>
      <c r="E40" s="86"/>
      <c r="F40" s="36"/>
      <c r="G40" s="36"/>
      <c r="H40" s="58"/>
      <c r="I40" s="58"/>
      <c r="J40" s="58"/>
      <c r="K40" s="58"/>
      <c r="L40" s="58"/>
      <c r="M40" s="58"/>
      <c r="N40" s="58"/>
      <c r="O40" s="58"/>
      <c r="P40" s="36"/>
    </row>
    <row r="41" spans="1:16" x14ac:dyDescent="0.35">
      <c r="A41" s="36"/>
      <c r="B41" s="36"/>
      <c r="C41" s="87" t="s">
        <v>644</v>
      </c>
      <c r="D41" s="87"/>
      <c r="E41" s="87"/>
      <c r="F41" s="87"/>
      <c r="G41" s="87"/>
      <c r="H41" s="88"/>
      <c r="I41" s="88"/>
      <c r="J41" s="88"/>
      <c r="K41" s="88"/>
      <c r="L41" s="88"/>
      <c r="M41" s="88"/>
      <c r="N41" s="88"/>
      <c r="O41" s="88"/>
      <c r="P41" s="87"/>
    </row>
    <row r="42" spans="1:16" x14ac:dyDescent="0.35">
      <c r="A42" s="36"/>
      <c r="B42" s="36"/>
      <c r="C42" s="86"/>
      <c r="D42" s="86"/>
      <c r="E42" s="36"/>
      <c r="F42" s="36"/>
      <c r="G42" s="36"/>
      <c r="H42" s="58"/>
      <c r="I42" s="58"/>
      <c r="J42" s="58"/>
      <c r="K42" s="58"/>
      <c r="L42" s="58"/>
      <c r="M42" s="58"/>
      <c r="N42" s="58"/>
      <c r="O42" s="58"/>
      <c r="P42" s="36"/>
    </row>
    <row r="43" spans="1:16" x14ac:dyDescent="0.35">
      <c r="A43" s="36"/>
      <c r="B43" s="36"/>
      <c r="C43" s="36"/>
      <c r="D43" s="86"/>
      <c r="E43" s="92" t="str">
        <f>Expensed!E76</f>
        <v>Expensed proportions, by network level (CDCM)</v>
      </c>
      <c r="F43" s="36"/>
      <c r="G43" s="92" t="str">
        <f>Expensed!G77</f>
        <v>%</v>
      </c>
      <c r="H43" s="106"/>
      <c r="I43" s="106"/>
      <c r="J43" s="130">
        <f>Expensed!H77</f>
        <v>0.3161178592552234</v>
      </c>
      <c r="K43" s="130">
        <f>Expensed!H78</f>
        <v>0.24667990276723184</v>
      </c>
      <c r="L43" s="130">
        <f>Expensed!H79</f>
        <v>7.6296087195065532E-2</v>
      </c>
      <c r="M43" s="130">
        <f>Expensed!H80</f>
        <v>0.21071746904391833</v>
      </c>
      <c r="N43" s="130">
        <f>Expensed!H81</f>
        <v>0.15018868173856087</v>
      </c>
      <c r="O43" s="58"/>
      <c r="P43" s="36"/>
    </row>
    <row r="44" spans="1:16" x14ac:dyDescent="0.35">
      <c r="A44" s="36"/>
      <c r="B44" s="36"/>
      <c r="C44" s="36"/>
      <c r="D44" s="36"/>
      <c r="E44" s="86"/>
      <c r="F44" s="36"/>
      <c r="G44" s="36"/>
      <c r="H44" s="58"/>
      <c r="I44" s="58"/>
      <c r="J44" s="58"/>
      <c r="K44" s="58"/>
      <c r="L44" s="58"/>
      <c r="M44" s="58"/>
      <c r="N44" s="58"/>
      <c r="O44" s="58"/>
      <c r="P44" s="36"/>
    </row>
    <row r="45" spans="1:16" x14ac:dyDescent="0.35">
      <c r="A45" s="36"/>
      <c r="B45" s="36"/>
      <c r="C45" s="36"/>
      <c r="D45" s="36"/>
      <c r="E45" s="92" t="str">
        <f>Capitalised!E62</f>
        <v>Capitalised proportions, by network level (CDCM)</v>
      </c>
      <c r="F45" s="36"/>
      <c r="G45" s="92" t="str">
        <f>Capitalised!G62</f>
        <v>%</v>
      </c>
      <c r="H45" s="106"/>
      <c r="I45" s="106"/>
      <c r="J45" s="130">
        <f>Capitalised!J62</f>
        <v>2.4081278281713067E-2</v>
      </c>
      <c r="K45" s="130">
        <f>Capitalised!K62</f>
        <v>0.21245672140848626</v>
      </c>
      <c r="L45" s="130">
        <f>Capitalised!L62</f>
        <v>6.6480336822853217E-2</v>
      </c>
      <c r="M45" s="130">
        <f>Capitalised!M62</f>
        <v>0.29540433919927317</v>
      </c>
      <c r="N45" s="130">
        <f>Capitalised!N62</f>
        <v>0.40157732428767434</v>
      </c>
      <c r="O45" s="58"/>
      <c r="P45" s="36"/>
    </row>
    <row r="46" spans="1:16" x14ac:dyDescent="0.35">
      <c r="A46" s="36"/>
      <c r="B46" s="36"/>
      <c r="C46" s="36"/>
      <c r="D46" s="36"/>
      <c r="E46" s="86"/>
      <c r="F46" s="36"/>
      <c r="G46" s="36"/>
      <c r="H46" s="58"/>
      <c r="I46" s="58"/>
      <c r="J46" s="58"/>
      <c r="K46" s="58"/>
      <c r="L46" s="58"/>
      <c r="M46" s="58"/>
      <c r="N46" s="58"/>
      <c r="O46" s="58"/>
      <c r="P46" s="36"/>
    </row>
    <row r="47" spans="1:16" x14ac:dyDescent="0.35">
      <c r="A47" s="92"/>
      <c r="B47" s="36"/>
      <c r="C47" s="36"/>
      <c r="D47" s="36"/>
      <c r="E47" s="92" t="s">
        <v>645</v>
      </c>
      <c r="F47" s="36"/>
      <c r="G47" s="92" t="s">
        <v>119</v>
      </c>
      <c r="H47" s="106"/>
      <c r="I47" s="102" t="s">
        <v>120</v>
      </c>
      <c r="J47" s="106">
        <f>($H$27 * J43) + ($H$29 * J45)</f>
        <v>0.11202908902729522</v>
      </c>
      <c r="K47" s="106">
        <f>($H$27 * K43) + ($H$29 * K45)</f>
        <v>0.22276314900470479</v>
      </c>
      <c r="L47" s="106">
        <f>($H$27 * L43) + ($H$29 * L45)</f>
        <v>6.9436383470103585E-2</v>
      </c>
      <c r="M47" s="106">
        <f>($H$27 * M43) + ($H$29 * M45)</f>
        <v>0.26990059989294835</v>
      </c>
      <c r="N47" s="106">
        <f>($H$27 * N43) + ($H$29 * N45)</f>
        <v>0.32587077860494812</v>
      </c>
      <c r="O47" s="58"/>
      <c r="P47" s="92" t="s">
        <v>638</v>
      </c>
    </row>
    <row r="48" spans="1:16" x14ac:dyDescent="0.35">
      <c r="A48" s="36"/>
      <c r="B48" s="36"/>
      <c r="C48" s="36"/>
      <c r="D48" s="36"/>
      <c r="E48" s="86"/>
      <c r="F48" s="36"/>
      <c r="G48" s="36"/>
      <c r="H48" s="58"/>
      <c r="I48" s="58"/>
      <c r="J48" s="58"/>
      <c r="K48" s="58"/>
      <c r="L48" s="58"/>
      <c r="M48" s="58"/>
      <c r="N48" s="58"/>
      <c r="O48" s="58"/>
      <c r="P48" s="36"/>
    </row>
    <row r="49" spans="1:16" x14ac:dyDescent="0.35">
      <c r="A49" s="36"/>
      <c r="B49" s="36"/>
      <c r="C49" s="36"/>
      <c r="D49" s="36"/>
      <c r="E49" s="92" t="s">
        <v>507</v>
      </c>
      <c r="F49" s="36"/>
      <c r="G49" s="92" t="s">
        <v>73</v>
      </c>
      <c r="H49" s="143">
        <f>IF(SUM(J47:N47)= 1, 0, 1)</f>
        <v>0</v>
      </c>
      <c r="I49" s="107"/>
      <c r="J49" s="107"/>
      <c r="K49" s="107"/>
      <c r="L49" s="107"/>
      <c r="M49" s="107"/>
      <c r="N49" s="107"/>
      <c r="O49" s="58"/>
      <c r="P49" s="36"/>
    </row>
    <row r="50" spans="1:16" x14ac:dyDescent="0.35">
      <c r="A50" s="36"/>
      <c r="B50" s="36"/>
      <c r="C50" s="36"/>
      <c r="D50" s="36"/>
      <c r="E50" s="86"/>
      <c r="F50" s="36"/>
      <c r="G50" s="36"/>
      <c r="H50" s="58"/>
      <c r="I50" s="58"/>
      <c r="J50" s="58"/>
      <c r="K50" s="58"/>
      <c r="L50" s="58"/>
      <c r="M50" s="58"/>
      <c r="N50" s="58"/>
      <c r="O50" s="58"/>
      <c r="P50" s="36"/>
    </row>
    <row r="51" spans="1:16" x14ac:dyDescent="0.35">
      <c r="A51" s="36"/>
      <c r="B51" s="84" t="s">
        <v>646</v>
      </c>
      <c r="C51" s="84"/>
      <c r="D51" s="84"/>
      <c r="E51" s="84"/>
      <c r="F51" s="84"/>
      <c r="G51" s="84"/>
      <c r="H51" s="85"/>
      <c r="I51" s="85"/>
      <c r="J51" s="85"/>
      <c r="K51" s="85"/>
      <c r="L51" s="85"/>
      <c r="M51" s="85"/>
      <c r="N51" s="85"/>
      <c r="O51" s="85"/>
      <c r="P51" s="84"/>
    </row>
    <row r="52" spans="1:16" x14ac:dyDescent="0.35">
      <c r="A52" s="36"/>
      <c r="B52" s="36"/>
      <c r="C52" s="36"/>
      <c r="D52" s="36"/>
      <c r="E52" s="36"/>
      <c r="F52" s="36"/>
      <c r="G52" s="36"/>
      <c r="H52" s="58"/>
      <c r="I52" s="58"/>
      <c r="J52" s="58"/>
      <c r="K52" s="58"/>
      <c r="L52" s="58"/>
      <c r="M52" s="58"/>
      <c r="N52" s="58"/>
      <c r="O52" s="58"/>
      <c r="P52" s="36"/>
    </row>
    <row r="53" spans="1:16" x14ac:dyDescent="0.35">
      <c r="A53" s="36"/>
      <c r="B53" s="36"/>
      <c r="C53" s="86" t="s">
        <v>647</v>
      </c>
      <c r="D53" s="86"/>
      <c r="E53" s="36"/>
      <c r="F53" s="36"/>
      <c r="G53" s="36"/>
      <c r="H53" s="58"/>
      <c r="I53" s="58"/>
      <c r="J53" s="58"/>
      <c r="K53" s="58"/>
      <c r="L53" s="58"/>
      <c r="M53" s="58"/>
      <c r="N53" s="58"/>
      <c r="O53" s="58"/>
      <c r="P53" s="36"/>
    </row>
    <row r="54" spans="1:16" x14ac:dyDescent="0.35">
      <c r="A54" s="36"/>
      <c r="B54" s="36"/>
      <c r="C54" s="86" t="s">
        <v>648</v>
      </c>
      <c r="D54" s="86"/>
      <c r="E54" s="36"/>
      <c r="F54" s="36"/>
      <c r="G54" s="36"/>
      <c r="H54" s="58"/>
      <c r="I54" s="58"/>
      <c r="J54" s="58"/>
      <c r="K54" s="58"/>
      <c r="L54" s="58"/>
      <c r="M54" s="58"/>
      <c r="N54" s="58"/>
      <c r="O54" s="58"/>
      <c r="P54" s="36"/>
    </row>
    <row r="55" spans="1:16" x14ac:dyDescent="0.35">
      <c r="A55" s="36"/>
      <c r="B55" s="36"/>
      <c r="C55" s="86"/>
      <c r="D55" s="86"/>
      <c r="E55" s="36"/>
      <c r="F55" s="36"/>
      <c r="G55" s="36"/>
      <c r="H55" s="58"/>
      <c r="I55" s="58"/>
      <c r="J55" s="58"/>
      <c r="K55" s="58"/>
      <c r="L55" s="58"/>
      <c r="M55" s="58"/>
      <c r="N55" s="58"/>
      <c r="O55" s="58"/>
      <c r="P55" s="36"/>
    </row>
    <row r="56" spans="1:16" x14ac:dyDescent="0.35">
      <c r="A56" s="36"/>
      <c r="B56" s="36"/>
      <c r="C56" s="87" t="s">
        <v>649</v>
      </c>
      <c r="D56" s="87"/>
      <c r="E56" s="87"/>
      <c r="F56" s="87"/>
      <c r="G56" s="87"/>
      <c r="H56" s="88"/>
      <c r="I56" s="88"/>
      <c r="J56" s="88"/>
      <c r="K56" s="88"/>
      <c r="L56" s="88"/>
      <c r="M56" s="88"/>
      <c r="N56" s="88"/>
      <c r="O56" s="88"/>
      <c r="P56" s="87"/>
    </row>
    <row r="57" spans="1:16" x14ac:dyDescent="0.35">
      <c r="A57" s="36"/>
      <c r="B57" s="36"/>
      <c r="C57" s="86"/>
      <c r="D57" s="86"/>
      <c r="E57" s="36"/>
      <c r="F57" s="36"/>
      <c r="G57" s="36"/>
      <c r="H57" s="58"/>
      <c r="I57" s="58"/>
      <c r="J57" s="58"/>
      <c r="K57" s="58"/>
      <c r="L57" s="58"/>
      <c r="M57" s="58"/>
      <c r="N57" s="58"/>
      <c r="O57" s="58"/>
      <c r="P57" s="36"/>
    </row>
    <row r="58" spans="1:16" x14ac:dyDescent="0.35">
      <c r="A58" s="36"/>
      <c r="B58" s="36"/>
      <c r="C58" s="36"/>
      <c r="D58" s="86"/>
      <c r="E58" s="92" t="str">
        <f>'DNO inputs'!E384</f>
        <v>2007/08 total allowed revenue</v>
      </c>
      <c r="F58" s="36"/>
      <c r="G58" s="92" t="str">
        <f>'DNO inputs'!G384</f>
        <v>£ per year</v>
      </c>
      <c r="H58" s="119">
        <f>'DNO inputs'!H384</f>
        <v>423806642</v>
      </c>
      <c r="I58" s="101"/>
      <c r="J58" s="101"/>
      <c r="K58" s="101"/>
      <c r="L58" s="101"/>
      <c r="M58" s="101"/>
      <c r="N58" s="101"/>
      <c r="O58" s="58"/>
      <c r="P58" s="36"/>
    </row>
    <row r="59" spans="1:16" x14ac:dyDescent="0.35">
      <c r="A59" s="36"/>
      <c r="B59" s="36"/>
      <c r="C59" s="36"/>
      <c r="D59" s="36"/>
      <c r="E59" s="86"/>
      <c r="F59" s="36"/>
      <c r="G59" s="36"/>
      <c r="H59" s="58"/>
      <c r="I59" s="58"/>
      <c r="J59" s="58"/>
      <c r="K59" s="58"/>
      <c r="L59" s="58"/>
      <c r="M59" s="58"/>
      <c r="N59" s="58"/>
      <c r="O59" s="58"/>
      <c r="P59" s="36"/>
    </row>
    <row r="60" spans="1:16" x14ac:dyDescent="0.35">
      <c r="A60" s="36"/>
      <c r="B60" s="36"/>
      <c r="C60" s="36"/>
      <c r="D60" s="36"/>
      <c r="E60" s="92" t="str">
        <f>'DNO inputs'!E390</f>
        <v>2007/08 net incentive revenue</v>
      </c>
      <c r="F60" s="36"/>
      <c r="G60" s="92" t="str">
        <f>'DNO inputs'!G390</f>
        <v>£ per year</v>
      </c>
      <c r="H60" s="119">
        <f>'DNO inputs'!H390</f>
        <v>9975061</v>
      </c>
      <c r="I60" s="101"/>
      <c r="J60" s="101"/>
      <c r="K60" s="101"/>
      <c r="L60" s="101"/>
      <c r="M60" s="101"/>
      <c r="N60" s="101"/>
      <c r="O60" s="58"/>
      <c r="P60" s="36"/>
    </row>
    <row r="61" spans="1:16" x14ac:dyDescent="0.35">
      <c r="A61" s="36"/>
      <c r="B61" s="36"/>
      <c r="C61" s="36"/>
      <c r="D61" s="36"/>
      <c r="E61" s="86"/>
      <c r="F61" s="36"/>
      <c r="G61" s="36"/>
      <c r="H61" s="58"/>
      <c r="I61" s="58"/>
      <c r="J61" s="58"/>
      <c r="K61" s="58"/>
      <c r="L61" s="58"/>
      <c r="M61" s="58"/>
      <c r="N61" s="58"/>
      <c r="O61" s="58"/>
      <c r="P61" s="36"/>
    </row>
    <row r="62" spans="1:16" x14ac:dyDescent="0.35">
      <c r="A62" s="36"/>
      <c r="B62" s="36"/>
      <c r="C62" s="36"/>
      <c r="D62" s="36"/>
      <c r="E62" s="92" t="s">
        <v>650</v>
      </c>
      <c r="F62" s="36"/>
      <c r="G62" s="92" t="s">
        <v>434</v>
      </c>
      <c r="H62" s="119">
        <f>'DNO inputs'!H293</f>
        <v>9800000</v>
      </c>
      <c r="I62" s="101"/>
      <c r="J62" s="101"/>
      <c r="K62" s="101"/>
      <c r="L62" s="101"/>
      <c r="M62" s="101"/>
      <c r="N62" s="101"/>
      <c r="O62" s="58"/>
      <c r="P62" s="36"/>
    </row>
    <row r="63" spans="1:16" x14ac:dyDescent="0.35">
      <c r="A63" s="36"/>
      <c r="B63" s="36"/>
      <c r="C63" s="36"/>
      <c r="D63" s="36"/>
      <c r="E63" s="86"/>
      <c r="F63" s="36"/>
      <c r="G63" s="36"/>
      <c r="H63" s="58"/>
      <c r="I63" s="58"/>
      <c r="J63" s="58"/>
      <c r="K63" s="58"/>
      <c r="L63" s="58"/>
      <c r="M63" s="58"/>
      <c r="N63" s="58"/>
      <c r="O63" s="58"/>
      <c r="P63" s="36"/>
    </row>
    <row r="64" spans="1:16" x14ac:dyDescent="0.35">
      <c r="A64" s="92"/>
      <c r="B64" s="36"/>
      <c r="C64" s="36"/>
      <c r="D64" s="36"/>
      <c r="E64" s="92" t="s">
        <v>651</v>
      </c>
      <c r="F64" s="36"/>
      <c r="G64" s="92" t="s">
        <v>434</v>
      </c>
      <c r="H64" s="101">
        <f>H60 + H62</f>
        <v>19775061</v>
      </c>
      <c r="I64" s="112" t="s">
        <v>120</v>
      </c>
      <c r="J64" s="101"/>
      <c r="K64" s="101"/>
      <c r="L64" s="101"/>
      <c r="M64" s="101"/>
      <c r="N64" s="101"/>
      <c r="O64" s="58"/>
      <c r="P64" s="92" t="s">
        <v>652</v>
      </c>
    </row>
    <row r="65" spans="1:16" x14ac:dyDescent="0.35">
      <c r="A65" s="36"/>
      <c r="B65" s="36"/>
      <c r="C65" s="36"/>
      <c r="D65" s="36"/>
      <c r="E65" s="86"/>
      <c r="F65" s="36"/>
      <c r="G65" s="36"/>
      <c r="H65" s="58"/>
      <c r="I65" s="58"/>
      <c r="J65" s="58"/>
      <c r="K65" s="58"/>
      <c r="L65" s="58"/>
      <c r="M65" s="58"/>
      <c r="N65" s="58"/>
      <c r="O65" s="58"/>
      <c r="P65" s="36"/>
    </row>
    <row r="66" spans="1:16" x14ac:dyDescent="0.35">
      <c r="A66" s="92"/>
      <c r="B66" s="36"/>
      <c r="C66" s="36"/>
      <c r="D66" s="36"/>
      <c r="E66" s="92" t="s">
        <v>653</v>
      </c>
      <c r="F66" s="36"/>
      <c r="G66" s="92" t="s">
        <v>434</v>
      </c>
      <c r="H66" s="101">
        <f>H58 - H64</f>
        <v>404031581</v>
      </c>
      <c r="I66" s="112" t="s">
        <v>120</v>
      </c>
      <c r="J66" s="101"/>
      <c r="K66" s="101"/>
      <c r="L66" s="101"/>
      <c r="M66" s="101"/>
      <c r="N66" s="101"/>
      <c r="O66" s="58"/>
      <c r="P66" s="92" t="s">
        <v>467</v>
      </c>
    </row>
    <row r="67" spans="1:16" x14ac:dyDescent="0.35">
      <c r="A67" s="36"/>
      <c r="B67" s="36"/>
      <c r="C67" s="36"/>
      <c r="D67" s="36"/>
      <c r="E67" s="86"/>
      <c r="F67" s="36"/>
      <c r="G67" s="36"/>
      <c r="H67" s="58"/>
      <c r="I67" s="58"/>
      <c r="J67" s="58"/>
      <c r="K67" s="58"/>
      <c r="L67" s="58"/>
      <c r="M67" s="58"/>
      <c r="N67" s="58"/>
      <c r="O67" s="58"/>
      <c r="P67" s="36"/>
    </row>
    <row r="68" spans="1:16" x14ac:dyDescent="0.35">
      <c r="A68" s="92"/>
      <c r="B68" s="36"/>
      <c r="C68" s="36"/>
      <c r="D68" s="36"/>
      <c r="E68" s="89" t="s">
        <v>654</v>
      </c>
      <c r="F68" s="36"/>
      <c r="G68" s="36"/>
      <c r="H68" s="58"/>
      <c r="I68" s="103" t="s">
        <v>120</v>
      </c>
      <c r="J68" s="58"/>
      <c r="K68" s="58"/>
      <c r="L68" s="58"/>
      <c r="M68" s="58"/>
      <c r="N68" s="58"/>
      <c r="O68" s="58"/>
      <c r="P68" s="92" t="s">
        <v>655</v>
      </c>
    </row>
    <row r="69" spans="1:16" x14ac:dyDescent="0.35">
      <c r="A69" s="36"/>
      <c r="B69" s="36"/>
      <c r="C69" s="36"/>
      <c r="D69" s="36"/>
      <c r="E69" s="36"/>
      <c r="F69" s="90" t="s">
        <v>656</v>
      </c>
      <c r="G69" s="90" t="s">
        <v>434</v>
      </c>
      <c r="H69" s="114"/>
      <c r="I69" s="114"/>
      <c r="J69" s="125">
        <f>$H66 * J37</f>
        <v>44144648.300630763</v>
      </c>
      <c r="K69" s="125">
        <f>$H66 * K37</f>
        <v>84582878.964952469</v>
      </c>
      <c r="L69" s="125">
        <f>$H66 * L37</f>
        <v>26396489.757318359</v>
      </c>
      <c r="M69" s="125">
        <f>$H66 * M37</f>
        <v>101892509.57785012</v>
      </c>
      <c r="N69" s="125">
        <f>$H66 * N37</f>
        <v>147015054.39924833</v>
      </c>
      <c r="O69" s="58"/>
      <c r="P69" s="36"/>
    </row>
    <row r="70" spans="1:16" x14ac:dyDescent="0.35">
      <c r="A70" s="36"/>
      <c r="B70" s="36"/>
      <c r="C70" s="36"/>
      <c r="D70" s="36"/>
      <c r="E70" s="36"/>
      <c r="F70" s="94" t="s">
        <v>657</v>
      </c>
      <c r="G70" s="94" t="s">
        <v>434</v>
      </c>
      <c r="H70" s="115"/>
      <c r="I70" s="115"/>
      <c r="J70" s="115">
        <f>$H66 * J47</f>
        <v>45263289.95768784</v>
      </c>
      <c r="K70" s="115">
        <f>$H66 * K47</f>
        <v>90003347.280909449</v>
      </c>
      <c r="L70" s="115">
        <f>$H66 * L47</f>
        <v>28054491.792348217</v>
      </c>
      <c r="M70" s="115">
        <f>$H66 * M47</f>
        <v>109048366.08759636</v>
      </c>
      <c r="N70" s="115">
        <f>$H66 * N47</f>
        <v>131662085.88145816</v>
      </c>
      <c r="O70" s="58"/>
      <c r="P70" s="36"/>
    </row>
    <row r="71" spans="1:16" x14ac:dyDescent="0.35">
      <c r="A71" s="36"/>
      <c r="B71" s="36"/>
      <c r="C71" s="36"/>
      <c r="D71" s="36"/>
      <c r="E71" s="36"/>
      <c r="F71" s="36"/>
      <c r="G71" s="36"/>
      <c r="H71" s="58"/>
      <c r="I71" s="58"/>
      <c r="J71" s="58"/>
      <c r="K71" s="58"/>
      <c r="L71" s="58"/>
      <c r="M71" s="58"/>
      <c r="N71" s="58"/>
      <c r="O71" s="58"/>
      <c r="P71" s="36"/>
    </row>
    <row r="72" spans="1:16" x14ac:dyDescent="0.35">
      <c r="A72" s="36"/>
      <c r="B72" s="36"/>
      <c r="C72" s="87" t="s">
        <v>658</v>
      </c>
      <c r="D72" s="87"/>
      <c r="E72" s="87"/>
      <c r="F72" s="87"/>
      <c r="G72" s="87"/>
      <c r="H72" s="88"/>
      <c r="I72" s="88"/>
      <c r="J72" s="88"/>
      <c r="K72" s="88"/>
      <c r="L72" s="88"/>
      <c r="M72" s="88"/>
      <c r="N72" s="88"/>
      <c r="O72" s="88"/>
      <c r="P72" s="87"/>
    </row>
    <row r="73" spans="1:16" x14ac:dyDescent="0.35">
      <c r="A73" s="36"/>
      <c r="B73" s="36"/>
      <c r="C73" s="86"/>
      <c r="D73" s="86"/>
      <c r="E73" s="36"/>
      <c r="F73" s="36"/>
      <c r="G73" s="36"/>
      <c r="H73" s="58"/>
      <c r="I73" s="58"/>
      <c r="J73" s="58"/>
      <c r="K73" s="58"/>
      <c r="L73" s="58"/>
      <c r="M73" s="58"/>
      <c r="N73" s="58"/>
      <c r="O73" s="58"/>
      <c r="P73" s="36"/>
    </row>
    <row r="74" spans="1:16" x14ac:dyDescent="0.35">
      <c r="A74" s="36"/>
      <c r="B74" s="36"/>
      <c r="C74" s="36"/>
      <c r="D74" s="86"/>
      <c r="E74" s="92" t="str">
        <f>'DNO inputs'!E397</f>
        <v>Additional DNO revenue</v>
      </c>
      <c r="F74" s="36"/>
      <c r="G74" s="92" t="str">
        <f>'DNO inputs'!G397</f>
        <v>£ per year</v>
      </c>
      <c r="H74" s="119">
        <f>'DNO inputs'!H397</f>
        <v>16900000</v>
      </c>
      <c r="I74" s="101"/>
      <c r="J74" s="101"/>
      <c r="K74" s="101"/>
      <c r="L74" s="101"/>
      <c r="M74" s="101"/>
      <c r="N74" s="101"/>
      <c r="O74" s="58"/>
      <c r="P74" s="36"/>
    </row>
    <row r="75" spans="1:16" x14ac:dyDescent="0.35">
      <c r="A75" s="36"/>
      <c r="B75" s="36"/>
      <c r="C75" s="36"/>
      <c r="D75" s="36"/>
      <c r="E75" s="86"/>
      <c r="F75" s="36"/>
      <c r="G75" s="36"/>
      <c r="H75" s="58"/>
      <c r="I75" s="58"/>
      <c r="J75" s="58"/>
      <c r="K75" s="58"/>
      <c r="L75" s="58"/>
      <c r="M75" s="58"/>
      <c r="N75" s="58"/>
      <c r="O75" s="58"/>
      <c r="P75" s="36"/>
    </row>
    <row r="76" spans="1:16" x14ac:dyDescent="0.35">
      <c r="A76" s="92"/>
      <c r="B76" s="36"/>
      <c r="C76" s="36"/>
      <c r="D76" s="36"/>
      <c r="E76" s="89" t="s">
        <v>659</v>
      </c>
      <c r="F76" s="36"/>
      <c r="G76" s="36"/>
      <c r="H76" s="58"/>
      <c r="I76" s="103" t="s">
        <v>120</v>
      </c>
      <c r="J76" s="58"/>
      <c r="K76" s="58"/>
      <c r="L76" s="58"/>
      <c r="M76" s="58"/>
      <c r="N76" s="58"/>
      <c r="O76" s="58"/>
      <c r="P76" s="92" t="s">
        <v>660</v>
      </c>
    </row>
    <row r="77" spans="1:16" x14ac:dyDescent="0.35">
      <c r="A77" s="36"/>
      <c r="B77" s="36"/>
      <c r="C77" s="36"/>
      <c r="D77" s="36"/>
      <c r="E77" s="36"/>
      <c r="F77" s="90" t="s">
        <v>656</v>
      </c>
      <c r="G77" s="90" t="s">
        <v>434</v>
      </c>
      <c r="H77" s="114"/>
      <c r="I77" s="114"/>
      <c r="J77" s="125">
        <f>$H74 * J33</f>
        <v>5263065.5611204142</v>
      </c>
      <c r="K77" s="125">
        <f>$H74 * K33</f>
        <v>4086937.8466936219</v>
      </c>
      <c r="L77" s="125">
        <f>$H74 * L33</f>
        <v>1269055.888944824</v>
      </c>
      <c r="M77" s="125">
        <f>$H74 * M33</f>
        <v>3500078.3721569944</v>
      </c>
      <c r="N77" s="125">
        <f>$H74 * N33</f>
        <v>2780862.3310841462</v>
      </c>
      <c r="O77" s="58"/>
      <c r="P77" s="36"/>
    </row>
    <row r="78" spans="1:16" x14ac:dyDescent="0.35">
      <c r="A78" s="36"/>
      <c r="B78" s="36"/>
      <c r="C78" s="36"/>
      <c r="D78" s="36"/>
      <c r="E78" s="36"/>
      <c r="F78" s="94" t="s">
        <v>657</v>
      </c>
      <c r="G78" s="94" t="s">
        <v>434</v>
      </c>
      <c r="H78" s="115"/>
      <c r="I78" s="115"/>
      <c r="J78" s="115">
        <f>$H74 * J43</f>
        <v>5342391.8214132758</v>
      </c>
      <c r="K78" s="115">
        <f>$H74 * K43</f>
        <v>4168890.3567662183</v>
      </c>
      <c r="L78" s="115">
        <f>$H74 * L43</f>
        <v>1289403.8735966075</v>
      </c>
      <c r="M78" s="115">
        <f>$H74 * M43</f>
        <v>3561125.2268422199</v>
      </c>
      <c r="N78" s="115">
        <f>$H74 * N43</f>
        <v>2538188.7213816787</v>
      </c>
      <c r="O78" s="58"/>
      <c r="P78" s="36"/>
    </row>
    <row r="79" spans="1:16" x14ac:dyDescent="0.35">
      <c r="A79" s="36"/>
      <c r="B79" s="36"/>
      <c r="C79" s="36"/>
      <c r="D79" s="36"/>
      <c r="E79" s="36"/>
      <c r="F79" s="36"/>
      <c r="G79" s="36"/>
      <c r="H79" s="58"/>
      <c r="I79" s="58"/>
      <c r="J79" s="58"/>
      <c r="K79" s="58"/>
      <c r="L79" s="58"/>
      <c r="M79" s="58"/>
      <c r="N79" s="58"/>
      <c r="O79" s="58"/>
      <c r="P79" s="36"/>
    </row>
    <row r="80" spans="1:16" x14ac:dyDescent="0.35">
      <c r="A80" s="36"/>
      <c r="B80" s="36"/>
      <c r="C80" s="87" t="s">
        <v>661</v>
      </c>
      <c r="D80" s="87"/>
      <c r="E80" s="87"/>
      <c r="F80" s="87"/>
      <c r="G80" s="87"/>
      <c r="H80" s="88"/>
      <c r="I80" s="88"/>
      <c r="J80" s="88"/>
      <c r="K80" s="88"/>
      <c r="L80" s="88"/>
      <c r="M80" s="88"/>
      <c r="N80" s="88"/>
      <c r="O80" s="88"/>
      <c r="P80" s="87"/>
    </row>
    <row r="81" spans="1:16" x14ac:dyDescent="0.35">
      <c r="A81" s="36"/>
      <c r="B81" s="36"/>
      <c r="C81" s="86"/>
      <c r="D81" s="86"/>
      <c r="E81" s="36"/>
      <c r="F81" s="36"/>
      <c r="G81" s="36"/>
      <c r="H81" s="58"/>
      <c r="I81" s="58"/>
      <c r="J81" s="58"/>
      <c r="K81" s="58"/>
      <c r="L81" s="58"/>
      <c r="M81" s="58"/>
      <c r="N81" s="58"/>
      <c r="O81" s="58"/>
      <c r="P81" s="36"/>
    </row>
    <row r="82" spans="1:16" x14ac:dyDescent="0.35">
      <c r="A82" s="92"/>
      <c r="B82" s="36"/>
      <c r="C82" s="36"/>
      <c r="D82" s="86"/>
      <c r="E82" s="89" t="s">
        <v>662</v>
      </c>
      <c r="F82" s="36"/>
      <c r="G82" s="36"/>
      <c r="H82" s="58"/>
      <c r="I82" s="103" t="s">
        <v>120</v>
      </c>
      <c r="J82" s="58"/>
      <c r="K82" s="58"/>
      <c r="L82" s="58"/>
      <c r="M82" s="58"/>
      <c r="N82" s="58"/>
      <c r="O82" s="58"/>
      <c r="P82" s="92" t="s">
        <v>660</v>
      </c>
    </row>
    <row r="83" spans="1:16" x14ac:dyDescent="0.35">
      <c r="A83" s="36"/>
      <c r="B83" s="36"/>
      <c r="C83" s="36"/>
      <c r="D83" s="36"/>
      <c r="E83" s="36"/>
      <c r="F83" s="90" t="s">
        <v>656</v>
      </c>
      <c r="G83" s="90" t="s">
        <v>434</v>
      </c>
      <c r="H83" s="114"/>
      <c r="I83" s="114"/>
      <c r="J83" s="114">
        <f t="shared" ref="J83:N84" si="0">J69 + J77</f>
        <v>49407713.861751176</v>
      </c>
      <c r="K83" s="114">
        <f t="shared" si="0"/>
        <v>88669816.811646089</v>
      </c>
      <c r="L83" s="114">
        <f t="shared" si="0"/>
        <v>27665545.646263182</v>
      </c>
      <c r="M83" s="114">
        <f t="shared" si="0"/>
        <v>105392587.95000711</v>
      </c>
      <c r="N83" s="114">
        <f t="shared" si="0"/>
        <v>149795916.73033246</v>
      </c>
      <c r="O83" s="58"/>
      <c r="P83" s="36"/>
    </row>
    <row r="84" spans="1:16" x14ac:dyDescent="0.35">
      <c r="A84" s="36"/>
      <c r="B84" s="36"/>
      <c r="C84" s="36"/>
      <c r="D84" s="36"/>
      <c r="E84" s="36"/>
      <c r="F84" s="94" t="s">
        <v>657</v>
      </c>
      <c r="G84" s="94" t="s">
        <v>434</v>
      </c>
      <c r="H84" s="115"/>
      <c r="I84" s="115"/>
      <c r="J84" s="115">
        <f t="shared" si="0"/>
        <v>50605681.779101118</v>
      </c>
      <c r="K84" s="115">
        <f t="shared" si="0"/>
        <v>94172237.637675673</v>
      </c>
      <c r="L84" s="115">
        <f t="shared" si="0"/>
        <v>29343895.665944826</v>
      </c>
      <c r="M84" s="115">
        <f t="shared" si="0"/>
        <v>112609491.31443858</v>
      </c>
      <c r="N84" s="115">
        <f t="shared" si="0"/>
        <v>134200274.60283984</v>
      </c>
      <c r="O84" s="58"/>
      <c r="P84" s="36"/>
    </row>
    <row r="85" spans="1:16" x14ac:dyDescent="0.35">
      <c r="A85" s="36"/>
      <c r="B85" s="36"/>
      <c r="C85" s="36"/>
      <c r="D85" s="36"/>
      <c r="E85" s="36"/>
      <c r="F85" s="36"/>
      <c r="G85" s="36"/>
      <c r="H85" s="58"/>
      <c r="I85" s="58"/>
      <c r="J85" s="58"/>
      <c r="K85" s="58"/>
      <c r="L85" s="58"/>
      <c r="M85" s="58"/>
      <c r="N85" s="58"/>
      <c r="O85" s="58"/>
      <c r="P85" s="36"/>
    </row>
    <row r="86" spans="1:16" x14ac:dyDescent="0.35">
      <c r="A86" s="36"/>
      <c r="B86" s="84" t="s">
        <v>663</v>
      </c>
      <c r="C86" s="84"/>
      <c r="D86" s="84"/>
      <c r="E86" s="84"/>
      <c r="F86" s="84"/>
      <c r="G86" s="84"/>
      <c r="H86" s="85"/>
      <c r="I86" s="85"/>
      <c r="J86" s="85"/>
      <c r="K86" s="85"/>
      <c r="L86" s="85"/>
      <c r="M86" s="85"/>
      <c r="N86" s="85"/>
      <c r="O86" s="85"/>
      <c r="P86" s="84"/>
    </row>
    <row r="87" spans="1:16" x14ac:dyDescent="0.35">
      <c r="A87" s="36"/>
      <c r="B87" s="36"/>
      <c r="C87" s="36"/>
      <c r="D87" s="36"/>
      <c r="E87" s="36"/>
      <c r="F87" s="36"/>
      <c r="G87" s="36"/>
      <c r="H87" s="58"/>
      <c r="I87" s="58"/>
      <c r="J87" s="58"/>
      <c r="K87" s="58"/>
      <c r="L87" s="58"/>
      <c r="M87" s="58"/>
      <c r="N87" s="58"/>
      <c r="O87" s="58"/>
      <c r="P87" s="36"/>
    </row>
    <row r="88" spans="1:16" x14ac:dyDescent="0.35">
      <c r="A88" s="36"/>
      <c r="B88" s="36"/>
      <c r="C88" s="86" t="s">
        <v>664</v>
      </c>
      <c r="D88" s="86"/>
      <c r="E88" s="36"/>
      <c r="F88" s="36"/>
      <c r="G88" s="36"/>
      <c r="H88" s="58"/>
      <c r="I88" s="58"/>
      <c r="J88" s="58"/>
      <c r="K88" s="58"/>
      <c r="L88" s="58"/>
      <c r="M88" s="58"/>
      <c r="N88" s="58"/>
      <c r="O88" s="58"/>
      <c r="P88" s="36"/>
    </row>
    <row r="89" spans="1:16" x14ac:dyDescent="0.35">
      <c r="A89" s="36"/>
      <c r="B89" s="36"/>
      <c r="C89" s="86"/>
      <c r="D89" s="86"/>
      <c r="E89" s="36"/>
      <c r="F89" s="36"/>
      <c r="G89" s="36"/>
      <c r="H89" s="58"/>
      <c r="I89" s="58"/>
      <c r="J89" s="58"/>
      <c r="K89" s="58"/>
      <c r="L89" s="58"/>
      <c r="M89" s="58"/>
      <c r="N89" s="58"/>
      <c r="O89" s="58"/>
      <c r="P89" s="36"/>
    </row>
    <row r="90" spans="1:16" x14ac:dyDescent="0.35">
      <c r="A90" s="36"/>
      <c r="B90" s="36"/>
      <c r="C90" s="87" t="s">
        <v>665</v>
      </c>
      <c r="D90" s="87"/>
      <c r="E90" s="87"/>
      <c r="F90" s="87"/>
      <c r="G90" s="87"/>
      <c r="H90" s="88"/>
      <c r="I90" s="88"/>
      <c r="J90" s="88"/>
      <c r="K90" s="88"/>
      <c r="L90" s="88"/>
      <c r="M90" s="88"/>
      <c r="N90" s="88"/>
      <c r="O90" s="88"/>
      <c r="P90" s="87"/>
    </row>
    <row r="91" spans="1:16" x14ac:dyDescent="0.35">
      <c r="A91" s="36"/>
      <c r="B91" s="36"/>
      <c r="C91" s="86"/>
      <c r="D91" s="86"/>
      <c r="E91" s="36"/>
      <c r="F91" s="36"/>
      <c r="G91" s="36"/>
      <c r="H91" s="58"/>
      <c r="I91" s="58"/>
      <c r="J91" s="58"/>
      <c r="K91" s="58"/>
      <c r="L91" s="58"/>
      <c r="M91" s="58"/>
      <c r="N91" s="58"/>
      <c r="O91" s="58"/>
      <c r="P91" s="36"/>
    </row>
    <row r="92" spans="1:16" x14ac:dyDescent="0.35">
      <c r="A92" s="36"/>
      <c r="B92" s="36"/>
      <c r="C92" s="36"/>
      <c r="D92" s="36"/>
      <c r="E92" s="89" t="str">
        <f>'DNO inputs'!E403</f>
        <v>2007/08 units distributed, by network level</v>
      </c>
      <c r="F92" s="36"/>
      <c r="G92" s="36"/>
      <c r="H92" s="58"/>
      <c r="I92" s="58"/>
      <c r="J92" s="58"/>
      <c r="K92" s="58"/>
      <c r="L92" s="58"/>
      <c r="M92" s="58"/>
      <c r="N92" s="58"/>
      <c r="O92" s="58"/>
      <c r="P92" s="36"/>
    </row>
    <row r="93" spans="1:16" x14ac:dyDescent="0.35">
      <c r="A93" s="36"/>
      <c r="B93" s="36"/>
      <c r="C93" s="36"/>
      <c r="D93" s="36"/>
      <c r="E93" s="36"/>
      <c r="F93" s="90" t="str">
        <f>'DNO inputs'!F404</f>
        <v>EHV and 132kV</v>
      </c>
      <c r="G93" s="90" t="str">
        <f>'DNO inputs'!G404</f>
        <v>GWh per year</v>
      </c>
      <c r="H93" s="123">
        <f>'DNO inputs'!H404</f>
        <v>3263</v>
      </c>
      <c r="I93" s="101"/>
      <c r="J93" s="101"/>
      <c r="K93" s="101"/>
      <c r="L93" s="101"/>
      <c r="M93" s="101"/>
      <c r="N93" s="101"/>
      <c r="O93" s="58"/>
      <c r="P93" s="36"/>
    </row>
    <row r="94" spans="1:16" x14ac:dyDescent="0.35">
      <c r="A94" s="36"/>
      <c r="B94" s="36"/>
      <c r="C94" s="36"/>
      <c r="D94" s="36"/>
      <c r="E94" s="36"/>
      <c r="F94" s="92" t="str">
        <f>'DNO inputs'!F405</f>
        <v>HV</v>
      </c>
      <c r="G94" s="92" t="str">
        <f>'DNO inputs'!G405</f>
        <v>GWh per year</v>
      </c>
      <c r="H94" s="119">
        <f>'DNO inputs'!H405</f>
        <v>6511</v>
      </c>
      <c r="I94" s="101"/>
      <c r="J94" s="101"/>
      <c r="K94" s="101"/>
      <c r="L94" s="101"/>
      <c r="M94" s="101"/>
      <c r="N94" s="101"/>
      <c r="O94" s="58"/>
      <c r="P94" s="36"/>
    </row>
    <row r="95" spans="1:16" x14ac:dyDescent="0.35">
      <c r="A95" s="36"/>
      <c r="B95" s="36"/>
      <c r="C95" s="36"/>
      <c r="D95" s="36"/>
      <c r="E95" s="36"/>
      <c r="F95" s="94" t="str">
        <f>'DNO inputs'!F406</f>
        <v>LV</v>
      </c>
      <c r="G95" s="94" t="str">
        <f>'DNO inputs'!G406</f>
        <v>GWh per year</v>
      </c>
      <c r="H95" s="124">
        <f>'DNO inputs'!H406</f>
        <v>24475</v>
      </c>
      <c r="I95" s="101"/>
      <c r="J95" s="101"/>
      <c r="K95" s="101"/>
      <c r="L95" s="101"/>
      <c r="M95" s="101"/>
      <c r="N95" s="101"/>
      <c r="O95" s="58"/>
      <c r="P95" s="36"/>
    </row>
    <row r="96" spans="1:16" x14ac:dyDescent="0.35">
      <c r="A96" s="36"/>
      <c r="B96" s="36"/>
      <c r="C96" s="36"/>
      <c r="D96" s="36"/>
      <c r="E96" s="36"/>
      <c r="F96" s="36"/>
      <c r="G96" s="36"/>
      <c r="H96" s="58"/>
      <c r="I96" s="58"/>
      <c r="J96" s="58"/>
      <c r="K96" s="58"/>
      <c r="L96" s="58"/>
      <c r="M96" s="58"/>
      <c r="N96" s="58"/>
      <c r="O96" s="58"/>
      <c r="P96" s="36"/>
    </row>
    <row r="97" spans="1:16" x14ac:dyDescent="0.35">
      <c r="A97" s="36"/>
      <c r="B97" s="36"/>
      <c r="C97" s="36"/>
      <c r="D97" s="36"/>
      <c r="E97" s="89" t="str">
        <f>'Fixed inputs'!E379</f>
        <v>Units distributed coefficient for the calculation of "U", by network level</v>
      </c>
      <c r="F97" s="36"/>
      <c r="G97" s="36"/>
      <c r="H97" s="58"/>
      <c r="I97" s="58"/>
      <c r="J97" s="58"/>
      <c r="K97" s="58"/>
      <c r="L97" s="58"/>
      <c r="M97" s="58"/>
      <c r="N97" s="58"/>
      <c r="O97" s="58"/>
      <c r="P97" s="36"/>
    </row>
    <row r="98" spans="1:16" x14ac:dyDescent="0.35">
      <c r="A98" s="36"/>
      <c r="B98" s="36"/>
      <c r="C98" s="36"/>
      <c r="D98" s="36"/>
      <c r="E98" s="36"/>
      <c r="F98" s="90" t="str">
        <f>'Fixed inputs'!F380</f>
        <v>EHV and 132kV</v>
      </c>
      <c r="G98" s="90" t="str">
        <f>'Fixed inputs'!G380</f>
        <v>scalar</v>
      </c>
      <c r="H98" s="123">
        <f>'Fixed inputs'!H380</f>
        <v>0.25</v>
      </c>
      <c r="I98" s="101"/>
      <c r="J98" s="101"/>
      <c r="K98" s="101"/>
      <c r="L98" s="101"/>
      <c r="M98" s="101"/>
      <c r="N98" s="101"/>
      <c r="O98" s="58"/>
      <c r="P98" s="36"/>
    </row>
    <row r="99" spans="1:16" x14ac:dyDescent="0.35">
      <c r="A99" s="36"/>
      <c r="B99" s="36"/>
      <c r="C99" s="36"/>
      <c r="D99" s="36"/>
      <c r="E99" s="36"/>
      <c r="F99" s="92" t="str">
        <f>'Fixed inputs'!F381</f>
        <v>HV</v>
      </c>
      <c r="G99" s="92" t="str">
        <f>'Fixed inputs'!G381</f>
        <v>scalar</v>
      </c>
      <c r="H99" s="119">
        <f>'Fixed inputs'!H381</f>
        <v>0.5</v>
      </c>
      <c r="I99" s="101"/>
      <c r="J99" s="101"/>
      <c r="K99" s="101"/>
      <c r="L99" s="101"/>
      <c r="M99" s="101"/>
      <c r="N99" s="101"/>
      <c r="O99" s="58"/>
      <c r="P99" s="36"/>
    </row>
    <row r="100" spans="1:16" x14ac:dyDescent="0.35">
      <c r="A100" s="36"/>
      <c r="B100" s="36"/>
      <c r="C100" s="36"/>
      <c r="D100" s="36"/>
      <c r="E100" s="36"/>
      <c r="F100" s="94" t="str">
        <f>'Fixed inputs'!F382</f>
        <v>LV</v>
      </c>
      <c r="G100" s="94" t="str">
        <f>'Fixed inputs'!G382</f>
        <v>scalar</v>
      </c>
      <c r="H100" s="124">
        <f>'Fixed inputs'!H382</f>
        <v>1</v>
      </c>
      <c r="I100" s="101"/>
      <c r="J100" s="101"/>
      <c r="K100" s="101"/>
      <c r="L100" s="101"/>
      <c r="M100" s="101"/>
      <c r="N100" s="101"/>
      <c r="O100" s="58"/>
      <c r="P100" s="36"/>
    </row>
    <row r="101" spans="1:16" x14ac:dyDescent="0.35">
      <c r="A101" s="36"/>
      <c r="B101" s="36"/>
      <c r="C101" s="36"/>
      <c r="D101" s="36"/>
      <c r="E101" s="36"/>
      <c r="F101" s="36"/>
      <c r="G101" s="36"/>
      <c r="H101" s="58"/>
      <c r="I101" s="58"/>
      <c r="J101" s="58"/>
      <c r="K101" s="58"/>
      <c r="L101" s="58"/>
      <c r="M101" s="58"/>
      <c r="N101" s="58"/>
      <c r="O101" s="58"/>
      <c r="P101" s="36"/>
    </row>
    <row r="102" spans="1:16" x14ac:dyDescent="0.35">
      <c r="A102" s="92"/>
      <c r="B102" s="36"/>
      <c r="C102" s="36"/>
      <c r="D102" s="36"/>
      <c r="E102" s="92" t="s">
        <v>666</v>
      </c>
      <c r="F102" s="36"/>
      <c r="G102" s="92" t="s">
        <v>667</v>
      </c>
      <c r="H102" s="101">
        <f>SUMPRODUCT(H98:H100, H93:H95)</f>
        <v>28546.25</v>
      </c>
      <c r="I102" s="112" t="s">
        <v>120</v>
      </c>
      <c r="J102" s="101"/>
      <c r="K102" s="101"/>
      <c r="L102" s="101"/>
      <c r="M102" s="101"/>
      <c r="N102" s="101"/>
      <c r="O102" s="58"/>
      <c r="P102" s="92" t="s">
        <v>302</v>
      </c>
    </row>
    <row r="103" spans="1:16" x14ac:dyDescent="0.35">
      <c r="A103" s="36"/>
      <c r="B103" s="36"/>
      <c r="C103" s="36"/>
      <c r="D103" s="36"/>
      <c r="E103" s="86"/>
      <c r="F103" s="36"/>
      <c r="G103" s="36"/>
      <c r="H103" s="58"/>
      <c r="I103" s="58"/>
      <c r="J103" s="58"/>
      <c r="K103" s="58"/>
      <c r="L103" s="58"/>
      <c r="M103" s="58"/>
      <c r="N103" s="58"/>
      <c r="O103" s="58"/>
      <c r="P103" s="36"/>
    </row>
    <row r="104" spans="1:16" x14ac:dyDescent="0.35">
      <c r="A104" s="36"/>
      <c r="B104" s="36"/>
      <c r="C104" s="36"/>
      <c r="D104" s="36"/>
      <c r="E104" s="92" t="str">
        <f>'DNO inputs'!E412</f>
        <v>2007/08 network losses</v>
      </c>
      <c r="F104" s="36"/>
      <c r="G104" s="92" t="str">
        <f>'DNO inputs'!G412</f>
        <v>GWh per year</v>
      </c>
      <c r="H104" s="119">
        <f>'DNO inputs'!H412</f>
        <v>2245</v>
      </c>
      <c r="I104" s="101"/>
      <c r="J104" s="101"/>
      <c r="K104" s="101"/>
      <c r="L104" s="101"/>
      <c r="M104" s="101"/>
      <c r="N104" s="101"/>
      <c r="O104" s="58"/>
      <c r="P104" s="36"/>
    </row>
    <row r="105" spans="1:16" x14ac:dyDescent="0.35">
      <c r="A105" s="36"/>
      <c r="B105" s="36"/>
      <c r="C105" s="36"/>
      <c r="D105" s="36"/>
      <c r="E105" s="86"/>
      <c r="F105" s="36"/>
      <c r="G105" s="36"/>
      <c r="H105" s="58"/>
      <c r="I105" s="58"/>
      <c r="J105" s="58"/>
      <c r="K105" s="58"/>
      <c r="L105" s="58"/>
      <c r="M105" s="58"/>
      <c r="N105" s="58"/>
      <c r="O105" s="58"/>
      <c r="P105" s="36"/>
    </row>
    <row r="106" spans="1:16" x14ac:dyDescent="0.35">
      <c r="A106" s="36"/>
      <c r="B106" s="36"/>
      <c r="C106" s="36"/>
      <c r="D106" s="36"/>
      <c r="E106" s="92" t="s">
        <v>668</v>
      </c>
      <c r="F106" s="36"/>
      <c r="G106" s="92" t="s">
        <v>502</v>
      </c>
      <c r="H106" s="101" t="b">
        <f>H102 + H104 &gt; 0</f>
        <v>1</v>
      </c>
      <c r="I106" s="101"/>
      <c r="J106" s="101"/>
      <c r="K106" s="101"/>
      <c r="L106" s="101"/>
      <c r="M106" s="101"/>
      <c r="N106" s="101"/>
      <c r="O106" s="58"/>
      <c r="P106" s="36"/>
    </row>
    <row r="107" spans="1:16" x14ac:dyDescent="0.35">
      <c r="A107" s="36"/>
      <c r="B107" s="36"/>
      <c r="C107" s="36"/>
      <c r="D107" s="36"/>
      <c r="E107" s="86"/>
      <c r="F107" s="36"/>
      <c r="G107" s="36"/>
      <c r="H107" s="58"/>
      <c r="I107" s="58"/>
      <c r="J107" s="58"/>
      <c r="K107" s="58"/>
      <c r="L107" s="58"/>
      <c r="M107" s="58"/>
      <c r="N107" s="58"/>
      <c r="O107" s="58"/>
      <c r="P107" s="36"/>
    </row>
    <row r="108" spans="1:16" x14ac:dyDescent="0.35">
      <c r="A108" s="36"/>
      <c r="B108" s="36"/>
      <c r="C108" s="36"/>
      <c r="D108" s="36"/>
      <c r="E108" s="89" t="str">
        <f>'Fixed inputs'!E388</f>
        <v>Losses coefficient for the calculation of adjustment factors for units distributed, by network level</v>
      </c>
      <c r="F108" s="36"/>
      <c r="G108" s="36"/>
      <c r="H108" s="58"/>
      <c r="I108" s="58"/>
      <c r="J108" s="58"/>
      <c r="K108" s="58"/>
      <c r="L108" s="58"/>
      <c r="M108" s="58"/>
      <c r="N108" s="58"/>
      <c r="O108" s="58"/>
      <c r="P108" s="36"/>
    </row>
    <row r="109" spans="1:16" x14ac:dyDescent="0.35">
      <c r="A109" s="36"/>
      <c r="B109" s="36"/>
      <c r="C109" s="36"/>
      <c r="D109" s="36"/>
      <c r="E109" s="36"/>
      <c r="F109" s="90" t="str">
        <f>'Fixed inputs'!F389</f>
        <v>EHV and 132kV</v>
      </c>
      <c r="G109" s="90" t="str">
        <f>'Fixed inputs'!G389</f>
        <v>scalar</v>
      </c>
      <c r="H109" s="123">
        <f>'Fixed inputs'!H389</f>
        <v>0.25</v>
      </c>
      <c r="I109" s="101"/>
      <c r="J109" s="101"/>
      <c r="K109" s="101"/>
      <c r="L109" s="101"/>
      <c r="M109" s="101"/>
      <c r="N109" s="101"/>
      <c r="O109" s="58"/>
      <c r="P109" s="36"/>
    </row>
    <row r="110" spans="1:16" x14ac:dyDescent="0.35">
      <c r="A110" s="36"/>
      <c r="B110" s="36"/>
      <c r="C110" s="36"/>
      <c r="D110" s="36"/>
      <c r="E110" s="36"/>
      <c r="F110" s="92" t="str">
        <f>'Fixed inputs'!F390</f>
        <v>HV</v>
      </c>
      <c r="G110" s="92" t="str">
        <f>'Fixed inputs'!G390</f>
        <v>scalar</v>
      </c>
      <c r="H110" s="119">
        <f>'Fixed inputs'!H390</f>
        <v>0.5</v>
      </c>
      <c r="I110" s="101"/>
      <c r="J110" s="101"/>
      <c r="K110" s="101"/>
      <c r="L110" s="101"/>
      <c r="M110" s="101"/>
      <c r="N110" s="101"/>
      <c r="O110" s="58"/>
      <c r="P110" s="36"/>
    </row>
    <row r="111" spans="1:16" x14ac:dyDescent="0.35">
      <c r="A111" s="36"/>
      <c r="B111" s="36"/>
      <c r="C111" s="36"/>
      <c r="D111" s="36"/>
      <c r="E111" s="36"/>
      <c r="F111" s="94" t="str">
        <f>'Fixed inputs'!F391</f>
        <v>LV</v>
      </c>
      <c r="G111" s="94" t="str">
        <f>'Fixed inputs'!G391</f>
        <v>scalar</v>
      </c>
      <c r="H111" s="144"/>
      <c r="I111" s="101"/>
      <c r="J111" s="101"/>
      <c r="K111" s="101"/>
      <c r="L111" s="101"/>
      <c r="M111" s="101"/>
      <c r="N111" s="101"/>
      <c r="O111" s="58"/>
      <c r="P111" s="36"/>
    </row>
    <row r="112" spans="1:16" x14ac:dyDescent="0.35">
      <c r="A112" s="36"/>
      <c r="B112" s="36"/>
      <c r="C112" s="36"/>
      <c r="D112" s="36"/>
      <c r="E112" s="36"/>
      <c r="F112" s="36"/>
      <c r="G112" s="36"/>
      <c r="H112" s="58"/>
      <c r="I112" s="58"/>
      <c r="J112" s="58"/>
      <c r="K112" s="58"/>
      <c r="L112" s="58"/>
      <c r="M112" s="58"/>
      <c r="N112" s="58"/>
      <c r="O112" s="58"/>
      <c r="P112" s="36"/>
    </row>
    <row r="113" spans="1:16" x14ac:dyDescent="0.35">
      <c r="A113" s="36"/>
      <c r="B113" s="36"/>
      <c r="C113" s="36"/>
      <c r="D113" s="36"/>
      <c r="E113" s="89" t="s">
        <v>669</v>
      </c>
      <c r="F113" s="36"/>
      <c r="G113" s="36"/>
      <c r="H113" s="58"/>
      <c r="I113" s="58"/>
      <c r="J113" s="58"/>
      <c r="K113" s="58"/>
      <c r="L113" s="58"/>
      <c r="M113" s="58"/>
      <c r="N113" s="58"/>
      <c r="O113" s="58"/>
      <c r="P113" s="36"/>
    </row>
    <row r="114" spans="1:16" x14ac:dyDescent="0.35">
      <c r="A114" s="92"/>
      <c r="B114" s="36"/>
      <c r="C114" s="36"/>
      <c r="D114" s="36"/>
      <c r="E114" s="36"/>
      <c r="F114" s="90" t="s">
        <v>670</v>
      </c>
      <c r="G114" s="90" t="s">
        <v>113</v>
      </c>
      <c r="H114" s="114"/>
      <c r="I114" s="145" t="s">
        <v>120</v>
      </c>
      <c r="J114" s="104"/>
      <c r="K114" s="104"/>
      <c r="L114" s="104"/>
      <c r="M114" s="104"/>
      <c r="N114" s="114">
        <f>IF($H$106, ($H$102 + $H109 * $H$104) / ($H$102 + $H$104), N$116)</f>
        <v>0.94531725733771765</v>
      </c>
      <c r="O114" s="58"/>
      <c r="P114" s="92" t="s">
        <v>302</v>
      </c>
    </row>
    <row r="115" spans="1:16" x14ac:dyDescent="0.35">
      <c r="A115" s="92"/>
      <c r="B115" s="36"/>
      <c r="C115" s="36"/>
      <c r="D115" s="36"/>
      <c r="E115" s="36"/>
      <c r="F115" s="92" t="s">
        <v>671</v>
      </c>
      <c r="G115" s="92" t="s">
        <v>113</v>
      </c>
      <c r="H115" s="101"/>
      <c r="I115" s="112" t="s">
        <v>120</v>
      </c>
      <c r="J115" s="127"/>
      <c r="K115" s="127"/>
      <c r="L115" s="127"/>
      <c r="M115" s="101">
        <f>IF($H$106, ($H$102 + $H110 * $H$104) / ($H$102 + $H$104), M$116)</f>
        <v>0.96354483822514514</v>
      </c>
      <c r="N115" s="101">
        <f>IF($H$106, ($H$102 + $H110 * $H$104) / ($H$102 + $H$104), N$116)</f>
        <v>0.96354483822514514</v>
      </c>
      <c r="O115" s="58"/>
      <c r="P115" s="92" t="s">
        <v>302</v>
      </c>
    </row>
    <row r="116" spans="1:16" x14ac:dyDescent="0.35">
      <c r="A116" s="92"/>
      <c r="B116" s="36"/>
      <c r="C116" s="36"/>
      <c r="D116" s="36"/>
      <c r="E116" s="36"/>
      <c r="F116" s="94" t="s">
        <v>672</v>
      </c>
      <c r="G116" s="94" t="s">
        <v>113</v>
      </c>
      <c r="H116" s="115"/>
      <c r="I116" s="188" t="s">
        <v>120</v>
      </c>
      <c r="J116" s="189">
        <v>1</v>
      </c>
      <c r="K116" s="189">
        <v>1</v>
      </c>
      <c r="L116" s="189">
        <v>1</v>
      </c>
      <c r="M116" s="189">
        <v>1</v>
      </c>
      <c r="N116" s="189">
        <v>1</v>
      </c>
      <c r="O116" s="58"/>
      <c r="P116" s="92" t="s">
        <v>302</v>
      </c>
    </row>
    <row r="117" spans="1:16" x14ac:dyDescent="0.35">
      <c r="A117" s="36"/>
      <c r="B117" s="36"/>
      <c r="C117" s="36"/>
      <c r="D117" s="36"/>
      <c r="E117" s="36"/>
      <c r="F117" s="36"/>
      <c r="G117" s="36"/>
      <c r="H117" s="58"/>
      <c r="I117" s="58"/>
      <c r="J117" s="58"/>
      <c r="K117" s="58"/>
      <c r="L117" s="58"/>
      <c r="M117" s="58"/>
      <c r="N117" s="58"/>
      <c r="O117" s="58"/>
      <c r="P117" s="36"/>
    </row>
    <row r="118" spans="1:16" x14ac:dyDescent="0.35">
      <c r="A118" s="92"/>
      <c r="B118" s="36"/>
      <c r="C118" s="36"/>
      <c r="D118" s="36"/>
      <c r="E118" s="92" t="s">
        <v>673</v>
      </c>
      <c r="F118" s="36"/>
      <c r="G118" s="92" t="str">
        <f>'DNO inputs'!G412</f>
        <v>GWh per year</v>
      </c>
      <c r="H118" s="101"/>
      <c r="I118" s="112" t="s">
        <v>120</v>
      </c>
      <c r="J118" s="101">
        <f>SUMPRODUCT($H93:$H95, J114:J116)</f>
        <v>24475</v>
      </c>
      <c r="K118" s="101">
        <f>SUMPRODUCT($H93:$H95, K114:K116)</f>
        <v>24475</v>
      </c>
      <c r="L118" s="101">
        <f>SUMPRODUCT($H93:$H95, L114:L116)</f>
        <v>24475</v>
      </c>
      <c r="M118" s="101">
        <f>SUMPRODUCT($H93:$H95, M114:M116)</f>
        <v>30748.640441683921</v>
      </c>
      <c r="N118" s="101">
        <f>SUMPRODUCT($H93:$H95, N114:N116)</f>
        <v>33833.210652376889</v>
      </c>
      <c r="O118" s="58"/>
      <c r="P118" s="92" t="s">
        <v>674</v>
      </c>
    </row>
    <row r="119" spans="1:16" x14ac:dyDescent="0.35">
      <c r="A119" s="36"/>
      <c r="B119" s="36"/>
      <c r="C119" s="36"/>
      <c r="D119" s="36"/>
      <c r="E119" s="86"/>
      <c r="F119" s="36"/>
      <c r="G119" s="36"/>
      <c r="H119" s="58"/>
      <c r="I119" s="58"/>
      <c r="J119" s="58"/>
      <c r="K119" s="58"/>
      <c r="L119" s="58"/>
      <c r="M119" s="58"/>
      <c r="N119" s="58"/>
      <c r="O119" s="58"/>
      <c r="P119" s="36"/>
    </row>
    <row r="120" spans="1:16" x14ac:dyDescent="0.35">
      <c r="A120" s="36"/>
      <c r="B120" s="36"/>
      <c r="C120" s="36"/>
      <c r="D120" s="36"/>
      <c r="E120" s="92" t="s">
        <v>675</v>
      </c>
      <c r="F120" s="36"/>
      <c r="G120" s="92" t="s">
        <v>502</v>
      </c>
      <c r="H120" s="101"/>
      <c r="I120" s="101"/>
      <c r="J120" s="101" t="b">
        <f>J118 &gt; 0</f>
        <v>1</v>
      </c>
      <c r="K120" s="101" t="b">
        <f>K118 &gt; 0</f>
        <v>1</v>
      </c>
      <c r="L120" s="101" t="b">
        <f>L118 &gt; 0</f>
        <v>1</v>
      </c>
      <c r="M120" s="101" t="b">
        <f>M118 &gt; 0</f>
        <v>1</v>
      </c>
      <c r="N120" s="101" t="b">
        <f>N118 &gt; 0</f>
        <v>1</v>
      </c>
      <c r="O120" s="58"/>
      <c r="P120" s="36"/>
    </row>
    <row r="121" spans="1:16" x14ac:dyDescent="0.35">
      <c r="A121" s="36"/>
      <c r="B121" s="36"/>
      <c r="C121" s="36"/>
      <c r="D121" s="36"/>
      <c r="E121" s="86"/>
      <c r="F121" s="36"/>
      <c r="G121" s="36"/>
      <c r="H121" s="58"/>
      <c r="I121" s="58"/>
      <c r="J121" s="58"/>
      <c r="K121" s="58"/>
      <c r="L121" s="58"/>
      <c r="M121" s="58"/>
      <c r="N121" s="58"/>
      <c r="O121" s="58"/>
      <c r="P121" s="36"/>
    </row>
    <row r="122" spans="1:16" x14ac:dyDescent="0.35">
      <c r="A122" s="36"/>
      <c r="B122" s="84" t="s">
        <v>676</v>
      </c>
      <c r="C122" s="84"/>
      <c r="D122" s="84"/>
      <c r="E122" s="84"/>
      <c r="F122" s="84"/>
      <c r="G122" s="84"/>
      <c r="H122" s="85"/>
      <c r="I122" s="85"/>
      <c r="J122" s="85"/>
      <c r="K122" s="85"/>
      <c r="L122" s="85"/>
      <c r="M122" s="85"/>
      <c r="N122" s="85"/>
      <c r="O122" s="85"/>
      <c r="P122" s="84"/>
    </row>
    <row r="123" spans="1:16" x14ac:dyDescent="0.35">
      <c r="A123" s="36"/>
      <c r="B123" s="36"/>
      <c r="C123" s="36"/>
      <c r="D123" s="36"/>
      <c r="E123" s="36"/>
      <c r="F123" s="36"/>
      <c r="G123" s="36"/>
      <c r="H123" s="58"/>
      <c r="I123" s="58"/>
      <c r="J123" s="58"/>
      <c r="K123" s="58"/>
      <c r="L123" s="58"/>
      <c r="M123" s="58"/>
      <c r="N123" s="58"/>
      <c r="O123" s="58"/>
      <c r="P123" s="36"/>
    </row>
    <row r="124" spans="1:16" x14ac:dyDescent="0.35">
      <c r="A124" s="36"/>
      <c r="B124" s="36"/>
      <c r="C124" s="86" t="s">
        <v>677</v>
      </c>
      <c r="D124" s="86"/>
      <c r="E124" s="36"/>
      <c r="F124" s="36"/>
      <c r="G124" s="36"/>
      <c r="H124" s="58"/>
      <c r="I124" s="58"/>
      <c r="J124" s="58"/>
      <c r="K124" s="58"/>
      <c r="L124" s="58"/>
      <c r="M124" s="58"/>
      <c r="N124" s="58"/>
      <c r="O124" s="58"/>
      <c r="P124" s="36"/>
    </row>
    <row r="125" spans="1:16" x14ac:dyDescent="0.35">
      <c r="A125" s="36"/>
      <c r="B125" s="36"/>
      <c r="C125" s="86"/>
      <c r="D125" s="86"/>
      <c r="E125" s="36"/>
      <c r="F125" s="36"/>
      <c r="G125" s="36"/>
      <c r="H125" s="58"/>
      <c r="I125" s="58"/>
      <c r="J125" s="58"/>
      <c r="K125" s="58"/>
      <c r="L125" s="58"/>
      <c r="M125" s="58"/>
      <c r="N125" s="58"/>
      <c r="O125" s="58"/>
      <c r="P125" s="36"/>
    </row>
    <row r="126" spans="1:16" x14ac:dyDescent="0.35">
      <c r="A126" s="36"/>
      <c r="B126" s="36"/>
      <c r="C126" s="87" t="s">
        <v>678</v>
      </c>
      <c r="D126" s="87"/>
      <c r="E126" s="87"/>
      <c r="F126" s="87"/>
      <c r="G126" s="87"/>
      <c r="H126" s="88"/>
      <c r="I126" s="88"/>
      <c r="J126" s="88"/>
      <c r="K126" s="88"/>
      <c r="L126" s="88"/>
      <c r="M126" s="88"/>
      <c r="N126" s="88"/>
      <c r="O126" s="88"/>
      <c r="P126" s="87"/>
    </row>
    <row r="127" spans="1:16" x14ac:dyDescent="0.35">
      <c r="A127" s="36"/>
      <c r="B127" s="36"/>
      <c r="C127" s="86"/>
      <c r="D127" s="86"/>
      <c r="E127" s="36"/>
      <c r="F127" s="36"/>
      <c r="G127" s="36"/>
      <c r="H127" s="58"/>
      <c r="I127" s="58"/>
      <c r="J127" s="58"/>
      <c r="K127" s="58"/>
      <c r="L127" s="58"/>
      <c r="M127" s="58"/>
      <c r="N127" s="58"/>
      <c r="O127" s="58"/>
      <c r="P127" s="36"/>
    </row>
    <row r="128" spans="1:16" x14ac:dyDescent="0.35">
      <c r="A128" s="92"/>
      <c r="B128" s="36"/>
      <c r="C128" s="36"/>
      <c r="D128" s="86"/>
      <c r="E128" s="89" t="s">
        <v>679</v>
      </c>
      <c r="F128" s="36"/>
      <c r="G128" s="36"/>
      <c r="H128" s="58"/>
      <c r="I128" s="103" t="s">
        <v>120</v>
      </c>
      <c r="J128" s="58"/>
      <c r="K128" s="58"/>
      <c r="L128" s="58"/>
      <c r="M128" s="58"/>
      <c r="N128" s="58"/>
      <c r="O128" s="58"/>
      <c r="P128" s="92" t="s">
        <v>680</v>
      </c>
    </row>
    <row r="129" spans="1:16" x14ac:dyDescent="0.35">
      <c r="A129" s="36"/>
      <c r="B129" s="36"/>
      <c r="C129" s="36"/>
      <c r="D129" s="36"/>
      <c r="E129" s="36"/>
      <c r="F129" s="90" t="s">
        <v>656</v>
      </c>
      <c r="G129" s="90" t="s">
        <v>681</v>
      </c>
      <c r="H129" s="114"/>
      <c r="I129" s="114"/>
      <c r="J129" s="114">
        <f t="shared" ref="J129:N130" si="1">IF(J$120, J83 / J$118, 0)</f>
        <v>2018.7012813790061</v>
      </c>
      <c r="K129" s="114">
        <f t="shared" si="1"/>
        <v>3622.8730055830883</v>
      </c>
      <c r="L129" s="114">
        <f t="shared" si="1"/>
        <v>1130.3593726767388</v>
      </c>
      <c r="M129" s="114">
        <f t="shared" si="1"/>
        <v>3427.552777492343</v>
      </c>
      <c r="N129" s="114">
        <f t="shared" si="1"/>
        <v>4427.4815733400947</v>
      </c>
      <c r="O129" s="58"/>
      <c r="P129" s="36"/>
    </row>
    <row r="130" spans="1:16" x14ac:dyDescent="0.35">
      <c r="A130" s="36"/>
      <c r="B130" s="36"/>
      <c r="C130" s="36"/>
      <c r="D130" s="36"/>
      <c r="E130" s="36"/>
      <c r="F130" s="94" t="s">
        <v>657</v>
      </c>
      <c r="G130" s="94" t="s">
        <v>681</v>
      </c>
      <c r="H130" s="115"/>
      <c r="I130" s="115"/>
      <c r="J130" s="115">
        <f t="shared" si="1"/>
        <v>2067.6478765720581</v>
      </c>
      <c r="K130" s="115">
        <f t="shared" si="1"/>
        <v>3847.6910168611103</v>
      </c>
      <c r="L130" s="115">
        <f t="shared" si="1"/>
        <v>1198.9334286392166</v>
      </c>
      <c r="M130" s="115">
        <f t="shared" si="1"/>
        <v>3662.2591990044953</v>
      </c>
      <c r="N130" s="115">
        <f t="shared" si="1"/>
        <v>3966.5249621650037</v>
      </c>
      <c r="O130" s="58"/>
      <c r="P130" s="36"/>
    </row>
    <row r="131" spans="1:16" x14ac:dyDescent="0.35">
      <c r="A131" s="36"/>
      <c r="B131" s="36"/>
      <c r="C131" s="36"/>
      <c r="D131" s="36"/>
      <c r="E131" s="36"/>
      <c r="F131" s="36"/>
      <c r="G131" s="36"/>
      <c r="H131" s="58"/>
      <c r="I131" s="58"/>
      <c r="J131" s="58"/>
      <c r="K131" s="58"/>
      <c r="L131" s="58"/>
      <c r="M131" s="58"/>
      <c r="N131" s="58"/>
      <c r="O131" s="58"/>
      <c r="P131" s="36"/>
    </row>
    <row r="132" spans="1:16" x14ac:dyDescent="0.35">
      <c r="A132" s="92"/>
      <c r="B132" s="36"/>
      <c r="C132" s="36"/>
      <c r="D132" s="36"/>
      <c r="E132" s="89" t="s">
        <v>682</v>
      </c>
      <c r="F132" s="36"/>
      <c r="G132" s="36"/>
      <c r="H132" s="58"/>
      <c r="I132" s="103" t="s">
        <v>120</v>
      </c>
      <c r="J132" s="58"/>
      <c r="K132" s="58"/>
      <c r="L132" s="58"/>
      <c r="M132" s="58"/>
      <c r="N132" s="58"/>
      <c r="O132" s="58"/>
      <c r="P132" s="92" t="s">
        <v>683</v>
      </c>
    </row>
    <row r="133" spans="1:16" x14ac:dyDescent="0.35">
      <c r="A133" s="36"/>
      <c r="B133" s="36"/>
      <c r="C133" s="36"/>
      <c r="D133" s="36"/>
      <c r="E133" s="36"/>
      <c r="F133" s="90" t="s">
        <v>656</v>
      </c>
      <c r="G133" s="90" t="s">
        <v>681</v>
      </c>
      <c r="H133" s="114">
        <f>SUM(J129:N129)</f>
        <v>14626.968010471272</v>
      </c>
      <c r="I133" s="101"/>
      <c r="J133" s="101"/>
      <c r="K133" s="101"/>
      <c r="L133" s="101"/>
      <c r="M133" s="101"/>
      <c r="N133" s="101"/>
      <c r="O133" s="58"/>
      <c r="P133" s="36"/>
    </row>
    <row r="134" spans="1:16" x14ac:dyDescent="0.35">
      <c r="A134" s="36"/>
      <c r="B134" s="36"/>
      <c r="C134" s="36"/>
      <c r="D134" s="36"/>
      <c r="E134" s="36"/>
      <c r="F134" s="94" t="s">
        <v>657</v>
      </c>
      <c r="G134" s="94" t="s">
        <v>681</v>
      </c>
      <c r="H134" s="115">
        <f>SUM(J130:N130)</f>
        <v>14743.056483241884</v>
      </c>
      <c r="I134" s="101"/>
      <c r="J134" s="101"/>
      <c r="K134" s="101"/>
      <c r="L134" s="101"/>
      <c r="M134" s="101"/>
      <c r="N134" s="101"/>
      <c r="O134" s="58"/>
      <c r="P134" s="36"/>
    </row>
    <row r="135" spans="1:16" x14ac:dyDescent="0.35">
      <c r="A135" s="36"/>
      <c r="B135" s="36"/>
      <c r="C135" s="36"/>
      <c r="D135" s="36"/>
      <c r="E135" s="36"/>
      <c r="F135" s="36"/>
      <c r="G135" s="36"/>
      <c r="H135" s="58"/>
      <c r="I135" s="58"/>
      <c r="J135" s="58"/>
      <c r="K135" s="58"/>
      <c r="L135" s="58"/>
      <c r="M135" s="58"/>
      <c r="N135" s="58"/>
      <c r="O135" s="58"/>
      <c r="P135" s="36"/>
    </row>
    <row r="136" spans="1:16" x14ac:dyDescent="0.35">
      <c r="A136" s="92"/>
      <c r="B136" s="36"/>
      <c r="C136" s="36"/>
      <c r="D136" s="36"/>
      <c r="E136" s="92" t="s">
        <v>684</v>
      </c>
      <c r="G136" s="92" t="s">
        <v>681</v>
      </c>
      <c r="H136" s="101">
        <f>IF(N120, H64 / N118, 0)</f>
        <v>584.48668094734126</v>
      </c>
      <c r="I136" s="112" t="s">
        <v>120</v>
      </c>
      <c r="J136" s="101"/>
      <c r="K136" s="101"/>
      <c r="L136" s="101"/>
      <c r="M136" s="101"/>
      <c r="N136" s="101"/>
      <c r="O136" s="58"/>
      <c r="P136" s="92" t="s">
        <v>680</v>
      </c>
    </row>
    <row r="137" spans="1:16" x14ac:dyDescent="0.35">
      <c r="A137" s="36"/>
      <c r="B137" s="36"/>
      <c r="C137" s="36"/>
      <c r="D137" s="36"/>
      <c r="E137" s="36"/>
      <c r="F137" s="36"/>
      <c r="G137" s="36"/>
      <c r="H137" s="58"/>
      <c r="I137" s="58"/>
      <c r="J137" s="58"/>
      <c r="K137" s="58"/>
      <c r="L137" s="58"/>
      <c r="M137" s="58"/>
      <c r="N137" s="58"/>
      <c r="O137" s="58"/>
      <c r="P137" s="36"/>
    </row>
    <row r="138" spans="1:16" x14ac:dyDescent="0.35">
      <c r="A138" s="36"/>
      <c r="B138" s="36"/>
      <c r="C138" s="36"/>
      <c r="D138" s="36"/>
      <c r="E138" s="89" t="s">
        <v>685</v>
      </c>
      <c r="F138" s="36"/>
      <c r="G138" s="36"/>
      <c r="H138" s="58"/>
      <c r="I138" s="58"/>
      <c r="J138" s="58"/>
      <c r="K138" s="58"/>
      <c r="L138" s="58"/>
      <c r="M138" s="58"/>
      <c r="N138" s="58"/>
      <c r="O138" s="58"/>
      <c r="P138" s="36"/>
    </row>
    <row r="139" spans="1:16" x14ac:dyDescent="0.35">
      <c r="A139" s="36"/>
      <c r="B139" s="36"/>
      <c r="C139" s="36"/>
      <c r="D139" s="36"/>
      <c r="E139" s="36"/>
      <c r="F139" s="90" t="s">
        <v>656</v>
      </c>
      <c r="G139" s="90" t="s">
        <v>502</v>
      </c>
      <c r="H139" s="114" t="b">
        <f>H133 + H$136 &gt; 0</f>
        <v>1</v>
      </c>
      <c r="I139" s="101"/>
      <c r="J139" s="101"/>
      <c r="K139" s="101"/>
      <c r="L139" s="101"/>
      <c r="M139" s="101"/>
      <c r="N139" s="101"/>
      <c r="O139" s="58"/>
      <c r="P139" s="36"/>
    </row>
    <row r="140" spans="1:16" x14ac:dyDescent="0.35">
      <c r="A140" s="36"/>
      <c r="B140" s="36"/>
      <c r="C140" s="36"/>
      <c r="D140" s="36"/>
      <c r="E140" s="36"/>
      <c r="F140" s="94" t="s">
        <v>657</v>
      </c>
      <c r="G140" s="94" t="s">
        <v>502</v>
      </c>
      <c r="H140" s="115" t="b">
        <f>H134 + H$136 &gt; 0</f>
        <v>1</v>
      </c>
      <c r="I140" s="101"/>
      <c r="J140" s="101"/>
      <c r="K140" s="101"/>
      <c r="L140" s="101"/>
      <c r="M140" s="101"/>
      <c r="N140" s="101"/>
      <c r="O140" s="58"/>
      <c r="P140" s="36"/>
    </row>
    <row r="141" spans="1:16" x14ac:dyDescent="0.35">
      <c r="A141" s="36"/>
      <c r="B141" s="36"/>
      <c r="C141" s="36"/>
      <c r="D141" s="36"/>
      <c r="E141" s="36"/>
      <c r="F141" s="36"/>
      <c r="G141" s="36"/>
      <c r="H141" s="58"/>
      <c r="I141" s="58"/>
      <c r="J141" s="58"/>
      <c r="K141" s="58"/>
      <c r="L141" s="58"/>
      <c r="M141" s="58"/>
      <c r="N141" s="58"/>
      <c r="O141" s="58"/>
      <c r="P141" s="36"/>
    </row>
    <row r="142" spans="1:16" x14ac:dyDescent="0.35">
      <c r="A142" s="36"/>
      <c r="B142" s="36"/>
      <c r="C142" s="87" t="s">
        <v>686</v>
      </c>
      <c r="D142" s="87"/>
      <c r="E142" s="87"/>
      <c r="F142" s="87"/>
      <c r="G142" s="87"/>
      <c r="H142" s="88"/>
      <c r="I142" s="88"/>
      <c r="J142" s="88"/>
      <c r="K142" s="88"/>
      <c r="L142" s="88"/>
      <c r="M142" s="88"/>
      <c r="N142" s="88"/>
      <c r="O142" s="88"/>
      <c r="P142" s="87"/>
    </row>
    <row r="143" spans="1:16" x14ac:dyDescent="0.35">
      <c r="A143" s="36"/>
      <c r="B143" s="36"/>
      <c r="C143" s="86"/>
      <c r="D143" s="86"/>
      <c r="E143" s="36"/>
      <c r="F143" s="36"/>
      <c r="G143" s="36"/>
      <c r="H143" s="58"/>
      <c r="I143" s="58"/>
      <c r="J143" s="58"/>
      <c r="K143" s="58"/>
      <c r="L143" s="58"/>
      <c r="M143" s="58"/>
      <c r="N143" s="58"/>
      <c r="O143" s="58"/>
      <c r="P143" s="36"/>
    </row>
    <row r="144" spans="1:16" x14ac:dyDescent="0.35">
      <c r="A144" s="92"/>
      <c r="B144" s="36"/>
      <c r="C144" s="36"/>
      <c r="D144" s="86"/>
      <c r="E144" s="89" t="s">
        <v>687</v>
      </c>
      <c r="F144" s="36"/>
      <c r="G144" s="36"/>
      <c r="H144" s="58"/>
      <c r="I144" s="103" t="s">
        <v>120</v>
      </c>
      <c r="J144" s="58"/>
      <c r="K144" s="58"/>
      <c r="L144" s="58"/>
      <c r="M144" s="58"/>
      <c r="N144" s="58"/>
      <c r="O144" s="58"/>
      <c r="P144" s="92" t="s">
        <v>683</v>
      </c>
    </row>
    <row r="145" spans="1:16" x14ac:dyDescent="0.35">
      <c r="A145" s="36"/>
      <c r="B145" s="36"/>
      <c r="C145" s="36"/>
      <c r="D145" s="36"/>
      <c r="E145" s="36"/>
      <c r="F145" s="90" t="s">
        <v>656</v>
      </c>
      <c r="G145" s="90" t="s">
        <v>119</v>
      </c>
      <c r="H145" s="117"/>
      <c r="I145" s="117"/>
      <c r="J145" s="139">
        <f t="shared" ref="J145:N146" si="2">IF(J$120, J129 / ($H133 + $H$136), 0)</f>
        <v>0.13270928535965965</v>
      </c>
      <c r="K145" s="139">
        <f t="shared" si="2"/>
        <v>0.23816742573784844</v>
      </c>
      <c r="L145" s="139">
        <f t="shared" si="2"/>
        <v>7.4309748515664284E-2</v>
      </c>
      <c r="M145" s="139">
        <f t="shared" si="2"/>
        <v>0.22532708718686598</v>
      </c>
      <c r="N145" s="139">
        <f t="shared" si="2"/>
        <v>0.29106233842564799</v>
      </c>
      <c r="O145" s="58"/>
      <c r="P145" s="36"/>
    </row>
    <row r="146" spans="1:16" x14ac:dyDescent="0.35">
      <c r="A146" s="36"/>
      <c r="B146" s="36"/>
      <c r="C146" s="36"/>
      <c r="D146" s="36"/>
      <c r="E146" s="36"/>
      <c r="F146" s="94" t="s">
        <v>657</v>
      </c>
      <c r="G146" s="94" t="s">
        <v>119</v>
      </c>
      <c r="H146" s="118"/>
      <c r="I146" s="118"/>
      <c r="J146" s="122">
        <f t="shared" si="2"/>
        <v>0.13489754061843673</v>
      </c>
      <c r="K146" s="122">
        <f t="shared" si="2"/>
        <v>0.25103116498479228</v>
      </c>
      <c r="L146" s="122">
        <f t="shared" si="2"/>
        <v>7.8220848298791015E-2</v>
      </c>
      <c r="M146" s="122">
        <f t="shared" si="2"/>
        <v>0.23893321713559934</v>
      </c>
      <c r="N146" s="149">
        <f t="shared" si="2"/>
        <v>0.25878413256941685</v>
      </c>
      <c r="O146" s="58"/>
      <c r="P146" s="36"/>
    </row>
    <row r="147" spans="1:16" x14ac:dyDescent="0.35">
      <c r="A147" s="36"/>
      <c r="B147" s="36"/>
      <c r="C147" s="36"/>
      <c r="D147" s="36"/>
      <c r="E147" s="36"/>
      <c r="F147" s="36"/>
      <c r="G147" s="36"/>
      <c r="H147" s="58"/>
      <c r="I147" s="58"/>
      <c r="J147" s="58"/>
      <c r="K147" s="58"/>
      <c r="L147" s="58"/>
      <c r="M147" s="58"/>
      <c r="N147" s="58"/>
      <c r="O147" s="58"/>
      <c r="P147" s="36"/>
    </row>
    <row r="148" spans="1:16" x14ac:dyDescent="0.35">
      <c r="A148" s="36"/>
      <c r="B148" s="36"/>
      <c r="C148" s="36"/>
      <c r="D148" s="36"/>
      <c r="E148" s="89" t="s">
        <v>688</v>
      </c>
      <c r="F148" s="36"/>
      <c r="G148" s="36"/>
      <c r="H148" s="58"/>
      <c r="I148" s="58"/>
      <c r="J148" s="58"/>
      <c r="K148" s="58"/>
      <c r="L148" s="58"/>
      <c r="M148" s="58"/>
      <c r="N148" s="58"/>
      <c r="O148" s="58"/>
      <c r="P148" s="36"/>
    </row>
    <row r="149" spans="1:16" x14ac:dyDescent="0.35">
      <c r="A149" s="36"/>
      <c r="B149" s="36"/>
      <c r="C149" s="36"/>
      <c r="D149" s="36"/>
      <c r="E149" s="36"/>
      <c r="F149" s="146" t="s">
        <v>656</v>
      </c>
      <c r="G149" s="146" t="s">
        <v>119</v>
      </c>
      <c r="H149" s="147">
        <f>IF(H139, H$136 / (H133 + H$136), 0)</f>
        <v>3.8424114774313692E-2</v>
      </c>
      <c r="I149" s="148" t="s">
        <v>120</v>
      </c>
      <c r="J149" s="106"/>
      <c r="K149" s="106"/>
      <c r="L149" s="106"/>
      <c r="M149" s="106"/>
      <c r="N149" s="106"/>
      <c r="O149" s="58"/>
      <c r="P149" s="98" t="s">
        <v>121</v>
      </c>
    </row>
    <row r="150" spans="1:16" x14ac:dyDescent="0.35">
      <c r="A150" s="36"/>
      <c r="B150" s="36"/>
      <c r="C150" s="36"/>
      <c r="D150" s="36"/>
      <c r="E150" s="36"/>
      <c r="F150" s="94" t="s">
        <v>657</v>
      </c>
      <c r="G150" s="94" t="s">
        <v>119</v>
      </c>
      <c r="H150" s="149">
        <f>IF(H140, H$136 / (H134 + H$136), 0)</f>
        <v>3.8133096392963813E-2</v>
      </c>
      <c r="I150" s="106"/>
      <c r="J150" s="106"/>
      <c r="K150" s="106"/>
      <c r="L150" s="106"/>
      <c r="M150" s="106"/>
      <c r="N150" s="106"/>
      <c r="O150" s="58"/>
      <c r="P150" s="36"/>
    </row>
    <row r="151" spans="1:16" x14ac:dyDescent="0.35">
      <c r="A151" s="36"/>
      <c r="B151" s="36"/>
      <c r="C151" s="36"/>
      <c r="D151" s="36"/>
      <c r="E151" s="36"/>
      <c r="F151" s="36"/>
      <c r="G151" s="36"/>
      <c r="H151" s="58"/>
      <c r="I151" s="58"/>
      <c r="J151" s="58"/>
      <c r="K151" s="58"/>
      <c r="L151" s="58"/>
      <c r="M151" s="58"/>
      <c r="N151" s="58"/>
      <c r="O151" s="58"/>
      <c r="P151" s="36"/>
    </row>
    <row r="152" spans="1:16" x14ac:dyDescent="0.35">
      <c r="A152" s="36"/>
      <c r="B152" s="36"/>
      <c r="C152" s="36"/>
      <c r="D152" s="36"/>
      <c r="E152" s="89" t="s">
        <v>507</v>
      </c>
      <c r="F152" s="36"/>
      <c r="G152" s="36"/>
      <c r="H152" s="58"/>
      <c r="I152" s="58"/>
      <c r="J152" s="58"/>
      <c r="K152" s="58"/>
      <c r="L152" s="58"/>
      <c r="M152" s="58"/>
      <c r="N152" s="58"/>
      <c r="O152" s="58"/>
      <c r="P152" s="36"/>
    </row>
    <row r="153" spans="1:16" x14ac:dyDescent="0.35">
      <c r="A153" s="36"/>
      <c r="B153" s="36"/>
      <c r="C153" s="36"/>
      <c r="D153" s="36"/>
      <c r="E153" s="92"/>
      <c r="F153" s="90" t="s">
        <v>656</v>
      </c>
      <c r="G153" s="90" t="s">
        <v>73</v>
      </c>
      <c r="H153" s="171">
        <f>IF(H149 + SUM(J145:N145) = 1, 0, 1)</f>
        <v>0</v>
      </c>
      <c r="I153" s="106"/>
      <c r="J153" s="106"/>
      <c r="K153" s="106"/>
      <c r="L153" s="106"/>
      <c r="M153" s="106"/>
      <c r="N153" s="106"/>
      <c r="O153" s="58"/>
      <c r="P153" s="36"/>
    </row>
    <row r="154" spans="1:16" x14ac:dyDescent="0.35">
      <c r="A154" s="36"/>
      <c r="B154" s="36"/>
      <c r="C154" s="36"/>
      <c r="D154" s="36"/>
      <c r="E154" s="92"/>
      <c r="F154" s="94" t="s">
        <v>657</v>
      </c>
      <c r="G154" s="94" t="s">
        <v>73</v>
      </c>
      <c r="H154" s="172">
        <f>IF(H150 + SUM(J146:N146) = 1, 0, 1)</f>
        <v>0</v>
      </c>
      <c r="I154" s="106"/>
      <c r="J154" s="106"/>
      <c r="K154" s="106"/>
      <c r="L154" s="106"/>
      <c r="M154" s="106"/>
      <c r="N154" s="106"/>
      <c r="O154" s="58"/>
      <c r="P154" s="36"/>
    </row>
    <row r="155" spans="1:16" x14ac:dyDescent="0.35">
      <c r="A155" s="36"/>
      <c r="B155" s="36"/>
      <c r="C155" s="36"/>
      <c r="D155" s="36"/>
      <c r="E155" s="86"/>
      <c r="F155" s="36"/>
      <c r="G155" s="36"/>
      <c r="H155" s="58"/>
      <c r="I155" s="58"/>
      <c r="J155" s="58"/>
      <c r="K155" s="58"/>
      <c r="L155" s="58"/>
      <c r="M155" s="58"/>
      <c r="N155" s="58"/>
      <c r="O155" s="58"/>
      <c r="P155" s="36"/>
    </row>
    <row r="156" spans="1:16" x14ac:dyDescent="0.35">
      <c r="A156" s="36"/>
      <c r="B156" s="36"/>
      <c r="C156" s="87" t="s">
        <v>689</v>
      </c>
      <c r="D156" s="87"/>
      <c r="E156" s="87"/>
      <c r="F156" s="87"/>
      <c r="G156" s="87"/>
      <c r="H156" s="88"/>
      <c r="I156" s="88"/>
      <c r="J156" s="88"/>
      <c r="K156" s="88"/>
      <c r="L156" s="88"/>
      <c r="M156" s="88"/>
      <c r="N156" s="88"/>
      <c r="O156" s="88"/>
      <c r="P156" s="87"/>
    </row>
    <row r="157" spans="1:16" x14ac:dyDescent="0.35">
      <c r="A157" s="36"/>
      <c r="B157" s="36"/>
      <c r="C157" s="86"/>
      <c r="D157" s="86"/>
      <c r="E157" s="86"/>
      <c r="F157" s="36"/>
      <c r="G157" s="36"/>
      <c r="H157" s="58"/>
      <c r="I157" s="58"/>
      <c r="J157" s="58"/>
      <c r="K157" s="58"/>
      <c r="L157" s="58"/>
      <c r="M157" s="58"/>
      <c r="N157" s="58"/>
      <c r="O157" s="58"/>
      <c r="P157" s="36"/>
    </row>
    <row r="158" spans="1:16" x14ac:dyDescent="0.35">
      <c r="A158" s="36"/>
      <c r="B158" s="36"/>
      <c r="C158" s="36"/>
      <c r="D158" s="36"/>
      <c r="E158" s="92" t="s">
        <v>666</v>
      </c>
      <c r="F158" s="150"/>
      <c r="G158" s="92" t="s">
        <v>119</v>
      </c>
      <c r="H158" s="121">
        <f>H149</f>
        <v>3.8424114774313692E-2</v>
      </c>
      <c r="I158" s="148" t="s">
        <v>120</v>
      </c>
      <c r="J158" s="106"/>
      <c r="K158" s="106"/>
      <c r="L158" s="106"/>
      <c r="M158" s="106"/>
      <c r="N158" s="106"/>
      <c r="O158" s="58"/>
      <c r="P158" s="98" t="s">
        <v>121</v>
      </c>
    </row>
    <row r="159" spans="1:16" x14ac:dyDescent="0.35">
      <c r="A159" s="36"/>
      <c r="B159" s="36"/>
      <c r="C159" s="36"/>
      <c r="D159" s="36"/>
      <c r="E159" s="86"/>
      <c r="F159" s="36"/>
      <c r="G159" s="36"/>
      <c r="H159" s="58"/>
      <c r="I159" s="58"/>
      <c r="J159" s="58"/>
      <c r="K159" s="58"/>
      <c r="L159" s="58"/>
      <c r="M159" s="58"/>
      <c r="N159" s="58"/>
      <c r="O159" s="58"/>
      <c r="P159" s="36"/>
    </row>
    <row r="160" spans="1:16" x14ac:dyDescent="0.35">
      <c r="A160" s="36"/>
      <c r="B160" s="36"/>
      <c r="C160" s="87" t="s">
        <v>690</v>
      </c>
      <c r="D160" s="87"/>
      <c r="E160" s="87"/>
      <c r="F160" s="87"/>
      <c r="G160" s="87"/>
      <c r="H160" s="88"/>
      <c r="I160" s="88"/>
      <c r="J160" s="88"/>
      <c r="K160" s="88"/>
      <c r="L160" s="88"/>
      <c r="M160" s="88"/>
      <c r="N160" s="88"/>
      <c r="O160" s="88"/>
      <c r="P160" s="87"/>
    </row>
    <row r="161" spans="1:16" x14ac:dyDescent="0.35">
      <c r="A161" s="36"/>
      <c r="B161" s="36"/>
      <c r="C161" s="86"/>
      <c r="D161" s="86"/>
      <c r="E161" s="36"/>
      <c r="F161" s="36"/>
      <c r="G161" s="36"/>
      <c r="H161" s="58"/>
      <c r="I161" s="58"/>
      <c r="J161" s="58"/>
      <c r="K161" s="58"/>
      <c r="L161" s="58"/>
      <c r="M161" s="58"/>
      <c r="N161" s="58"/>
      <c r="O161" s="58"/>
      <c r="P161" s="36"/>
    </row>
    <row r="162" spans="1:16" x14ac:dyDescent="0.35">
      <c r="A162" s="36"/>
      <c r="B162" s="36"/>
      <c r="C162" s="36"/>
      <c r="D162" s="86"/>
      <c r="E162" s="89" t="str">
        <f>MEAV!E91</f>
        <v>Share of EHV and 132kV MEAV, by network level</v>
      </c>
      <c r="F162" s="36"/>
      <c r="G162" s="36"/>
      <c r="H162" s="58"/>
      <c r="I162" s="58"/>
      <c r="J162" s="58"/>
      <c r="K162" s="58"/>
      <c r="L162" s="58"/>
      <c r="M162" s="58"/>
      <c r="N162" s="58"/>
      <c r="O162" s="58"/>
      <c r="P162" s="36"/>
    </row>
    <row r="163" spans="1:16" x14ac:dyDescent="0.35">
      <c r="A163" s="36"/>
      <c r="B163" s="36"/>
      <c r="C163" s="36"/>
      <c r="D163" s="36"/>
      <c r="E163" s="36"/>
      <c r="F163" s="90" t="str">
        <f>MEAV!F92</f>
        <v>EHV/HV</v>
      </c>
      <c r="G163" s="90" t="str">
        <f>MEAV!G92</f>
        <v>%</v>
      </c>
      <c r="H163" s="132">
        <f>MEAV!H92</f>
        <v>0.20968106058059077</v>
      </c>
      <c r="I163" s="106"/>
      <c r="J163" s="106"/>
      <c r="K163" s="106"/>
      <c r="L163" s="106"/>
      <c r="M163" s="106"/>
      <c r="N163" s="106"/>
      <c r="O163" s="58"/>
      <c r="P163" s="36"/>
    </row>
    <row r="164" spans="1:16" x14ac:dyDescent="0.35">
      <c r="A164" s="36"/>
      <c r="B164" s="36"/>
      <c r="C164" s="36"/>
      <c r="D164" s="36"/>
      <c r="E164" s="36"/>
      <c r="F164" s="92" t="str">
        <f>MEAV!F93</f>
        <v>EHV</v>
      </c>
      <c r="G164" s="92" t="str">
        <f>MEAV!G93</f>
        <v>%</v>
      </c>
      <c r="H164" s="130">
        <f>MEAV!H93</f>
        <v>0.26692744696598553</v>
      </c>
      <c r="I164" s="106"/>
      <c r="J164" s="106"/>
      <c r="K164" s="106"/>
      <c r="L164" s="106"/>
      <c r="M164" s="106"/>
      <c r="N164" s="106"/>
      <c r="O164" s="58"/>
      <c r="P164" s="36"/>
    </row>
    <row r="165" spans="1:16" x14ac:dyDescent="0.35">
      <c r="A165" s="36"/>
      <c r="B165" s="36"/>
      <c r="C165" s="36"/>
      <c r="D165" s="36"/>
      <c r="E165" s="36"/>
      <c r="F165" s="92" t="str">
        <f>MEAV!F94</f>
        <v>132kV/EHV</v>
      </c>
      <c r="G165" s="92" t="str">
        <f>MEAV!G94</f>
        <v>%</v>
      </c>
      <c r="H165" s="130">
        <f>MEAV!H94</f>
        <v>0.11308740827502696</v>
      </c>
      <c r="I165" s="106"/>
      <c r="J165" s="106"/>
      <c r="K165" s="106"/>
      <c r="L165" s="106"/>
      <c r="M165" s="106"/>
      <c r="N165" s="106"/>
      <c r="O165" s="58"/>
      <c r="P165" s="36"/>
    </row>
    <row r="166" spans="1:16" x14ac:dyDescent="0.35">
      <c r="A166" s="36"/>
      <c r="B166" s="36"/>
      <c r="C166" s="36"/>
      <c r="D166" s="36"/>
      <c r="E166" s="36"/>
      <c r="F166" s="94" t="str">
        <f>MEAV!F95</f>
        <v>132kV</v>
      </c>
      <c r="G166" s="94" t="str">
        <f>MEAV!G95</f>
        <v>%</v>
      </c>
      <c r="H166" s="133">
        <f>MEAV!H95</f>
        <v>0.4103040841783967</v>
      </c>
      <c r="I166" s="106"/>
      <c r="J166" s="106"/>
      <c r="K166" s="106"/>
      <c r="L166" s="106"/>
      <c r="M166" s="106"/>
      <c r="N166" s="106"/>
      <c r="O166" s="58"/>
      <c r="P166" s="36"/>
    </row>
    <row r="167" spans="1:16" x14ac:dyDescent="0.35">
      <c r="A167" s="36"/>
      <c r="B167" s="36"/>
      <c r="C167" s="36"/>
      <c r="D167" s="36"/>
      <c r="E167" s="36"/>
      <c r="F167" s="36"/>
      <c r="G167" s="36"/>
      <c r="H167" s="58"/>
      <c r="I167" s="58"/>
      <c r="J167" s="58"/>
      <c r="K167" s="58"/>
      <c r="L167" s="58"/>
      <c r="M167" s="58"/>
      <c r="N167" s="58"/>
      <c r="O167" s="58"/>
      <c r="P167" s="36"/>
    </row>
    <row r="168" spans="1:16" x14ac:dyDescent="0.35">
      <c r="A168" s="36"/>
      <c r="B168" s="36"/>
      <c r="C168" s="36"/>
      <c r="D168" s="36"/>
      <c r="E168" s="89" t="s">
        <v>691</v>
      </c>
      <c r="F168" s="36"/>
      <c r="G168" s="36"/>
      <c r="H168" s="58"/>
      <c r="I168" s="58"/>
      <c r="J168" s="58"/>
      <c r="K168" s="58"/>
      <c r="L168" s="58"/>
      <c r="M168" s="58"/>
      <c r="N168" s="58"/>
      <c r="O168" s="58"/>
      <c r="P168" s="36"/>
    </row>
    <row r="169" spans="1:16" x14ac:dyDescent="0.35">
      <c r="A169" s="36"/>
      <c r="B169" s="36"/>
      <c r="C169" s="36"/>
      <c r="D169" s="36"/>
      <c r="E169" s="36"/>
      <c r="F169" s="90" t="s">
        <v>303</v>
      </c>
      <c r="G169" s="90" t="s">
        <v>119</v>
      </c>
      <c r="H169" s="139">
        <f>J145 + K145</f>
        <v>0.37087671109750808</v>
      </c>
      <c r="I169" s="106"/>
      <c r="J169" s="106"/>
      <c r="K169" s="106"/>
      <c r="L169" s="106"/>
      <c r="M169" s="106"/>
      <c r="N169" s="106"/>
      <c r="O169" s="58"/>
      <c r="P169" s="36"/>
    </row>
    <row r="170" spans="1:16" x14ac:dyDescent="0.35">
      <c r="A170" s="36"/>
      <c r="B170" s="36"/>
      <c r="C170" s="36"/>
      <c r="D170" s="36"/>
      <c r="E170" s="36"/>
      <c r="F170" s="92" t="s">
        <v>198</v>
      </c>
      <c r="G170" s="92" t="s">
        <v>119</v>
      </c>
      <c r="H170" s="157">
        <f>L145</f>
        <v>7.4309748515664284E-2</v>
      </c>
      <c r="I170" s="106"/>
      <c r="J170" s="106"/>
      <c r="K170" s="106"/>
      <c r="L170" s="106"/>
      <c r="M170" s="106"/>
      <c r="N170" s="106"/>
      <c r="O170" s="58"/>
      <c r="P170" s="36"/>
    </row>
    <row r="171" spans="1:16" x14ac:dyDescent="0.35">
      <c r="A171" s="36"/>
      <c r="B171" s="36"/>
      <c r="C171" s="36"/>
      <c r="D171" s="36"/>
      <c r="E171" s="36"/>
      <c r="F171" s="92" t="s">
        <v>199</v>
      </c>
      <c r="G171" s="92" t="s">
        <v>119</v>
      </c>
      <c r="H171" s="149">
        <f>M145</f>
        <v>0.22532708718686598</v>
      </c>
      <c r="I171" s="106"/>
      <c r="J171" s="106"/>
      <c r="K171" s="106"/>
      <c r="L171" s="106"/>
      <c r="M171" s="106"/>
      <c r="N171" s="106"/>
      <c r="O171" s="58"/>
      <c r="P171" s="36"/>
    </row>
    <row r="172" spans="1:16" x14ac:dyDescent="0.35">
      <c r="A172" s="92"/>
      <c r="B172" s="36"/>
      <c r="C172" s="36"/>
      <c r="D172" s="36"/>
      <c r="E172" s="36"/>
      <c r="F172" s="92" t="s">
        <v>295</v>
      </c>
      <c r="G172" s="92" t="s">
        <v>119</v>
      </c>
      <c r="H172" s="136">
        <f>N$145 * H163</f>
        <v>6.1030259816156708E-2</v>
      </c>
      <c r="I172" s="102" t="s">
        <v>120</v>
      </c>
      <c r="J172" s="106"/>
      <c r="K172" s="106"/>
      <c r="L172" s="106"/>
      <c r="M172" s="106"/>
      <c r="N172" s="106"/>
      <c r="O172" s="58"/>
      <c r="P172" s="92" t="s">
        <v>498</v>
      </c>
    </row>
    <row r="173" spans="1:16" x14ac:dyDescent="0.35">
      <c r="A173" s="92"/>
      <c r="B173" s="36"/>
      <c r="C173" s="36"/>
      <c r="D173" s="36"/>
      <c r="E173" s="36"/>
      <c r="F173" s="92" t="s">
        <v>293</v>
      </c>
      <c r="G173" s="92" t="s">
        <v>119</v>
      </c>
      <c r="H173" s="136">
        <f>N$145 * H164</f>
        <v>7.7692526903907891E-2</v>
      </c>
      <c r="I173" s="102" t="s">
        <v>120</v>
      </c>
      <c r="J173" s="106"/>
      <c r="K173" s="106"/>
      <c r="L173" s="106"/>
      <c r="M173" s="106"/>
      <c r="N173" s="106"/>
      <c r="O173" s="58"/>
      <c r="P173" s="92" t="s">
        <v>498</v>
      </c>
    </row>
    <row r="174" spans="1:16" x14ac:dyDescent="0.35">
      <c r="A174" s="92"/>
      <c r="B174" s="36"/>
      <c r="C174" s="36"/>
      <c r="D174" s="36"/>
      <c r="E174" s="36"/>
      <c r="F174" s="92" t="s">
        <v>294</v>
      </c>
      <c r="G174" s="92" t="s">
        <v>119</v>
      </c>
      <c r="H174" s="136">
        <f>N$145 * H165</f>
        <v>3.2915485499025322E-2</v>
      </c>
      <c r="I174" s="102" t="s">
        <v>120</v>
      </c>
      <c r="J174" s="106"/>
      <c r="K174" s="106"/>
      <c r="L174" s="106"/>
      <c r="M174" s="106"/>
      <c r="N174" s="106"/>
      <c r="O174" s="58"/>
      <c r="P174" s="92" t="s">
        <v>498</v>
      </c>
    </row>
    <row r="175" spans="1:16" x14ac:dyDescent="0.35">
      <c r="A175" s="92"/>
      <c r="B175" s="36"/>
      <c r="C175" s="36"/>
      <c r="D175" s="36"/>
      <c r="E175" s="36"/>
      <c r="F175" s="94" t="s">
        <v>296</v>
      </c>
      <c r="G175" s="94" t="s">
        <v>119</v>
      </c>
      <c r="H175" s="149">
        <f>N$145 * H166</f>
        <v>0.11942406620655806</v>
      </c>
      <c r="I175" s="102" t="s">
        <v>120</v>
      </c>
      <c r="J175" s="106"/>
      <c r="K175" s="106"/>
      <c r="L175" s="106"/>
      <c r="M175" s="106"/>
      <c r="N175" s="106"/>
      <c r="O175" s="58"/>
      <c r="P175" s="92" t="s">
        <v>498</v>
      </c>
    </row>
    <row r="176" spans="1:16" x14ac:dyDescent="0.35">
      <c r="A176" s="36"/>
      <c r="B176" s="36"/>
      <c r="C176" s="36"/>
      <c r="D176" s="36"/>
      <c r="E176" s="36"/>
      <c r="F176" s="36"/>
      <c r="G176" s="36"/>
      <c r="H176" s="58"/>
      <c r="I176" s="58"/>
      <c r="J176" s="58"/>
      <c r="K176" s="58"/>
      <c r="L176" s="58"/>
      <c r="M176" s="58"/>
      <c r="N176" s="58"/>
      <c r="O176" s="58"/>
      <c r="P176" s="36"/>
    </row>
    <row r="177" spans="1:16" x14ac:dyDescent="0.35">
      <c r="A177" s="36"/>
      <c r="B177" s="36"/>
      <c r="C177" s="36"/>
      <c r="D177" s="36"/>
      <c r="E177" s="89" t="s">
        <v>692</v>
      </c>
      <c r="F177" s="36"/>
      <c r="G177" s="36"/>
      <c r="H177" s="58"/>
      <c r="I177" s="58"/>
      <c r="J177" s="58"/>
      <c r="K177" s="58"/>
      <c r="L177" s="58"/>
      <c r="M177" s="58"/>
      <c r="N177" s="58"/>
      <c r="O177" s="58"/>
      <c r="P177" s="36"/>
    </row>
    <row r="178" spans="1:16" x14ac:dyDescent="0.35">
      <c r="A178" s="36"/>
      <c r="B178" s="36"/>
      <c r="C178" s="36"/>
      <c r="D178" s="36"/>
      <c r="E178" s="36"/>
      <c r="F178" s="90" t="s">
        <v>296</v>
      </c>
      <c r="G178" s="90" t="s">
        <v>119</v>
      </c>
      <c r="H178" s="120">
        <f>INDEX(H$169:H$175, MATCH(F178, F$169:F$175, 0), 0)</f>
        <v>0.11942406620655806</v>
      </c>
      <c r="I178" s="106"/>
      <c r="J178" s="106"/>
      <c r="K178" s="106"/>
      <c r="L178" s="106"/>
      <c r="M178" s="106"/>
      <c r="N178" s="106"/>
      <c r="O178" s="58"/>
      <c r="P178" s="36"/>
    </row>
    <row r="179" spans="1:16" x14ac:dyDescent="0.35">
      <c r="A179" s="36"/>
      <c r="B179" s="36"/>
      <c r="C179" s="36"/>
      <c r="D179" s="36"/>
      <c r="E179" s="36"/>
      <c r="F179" s="92" t="s">
        <v>294</v>
      </c>
      <c r="G179" s="92" t="s">
        <v>119</v>
      </c>
      <c r="H179" s="121">
        <f t="shared" ref="H179:H184" si="3">INDEX(H$169:H$175, MATCH(F179, F$169:F$175, 0), 0)</f>
        <v>3.2915485499025322E-2</v>
      </c>
      <c r="I179" s="106"/>
      <c r="J179" s="106"/>
      <c r="K179" s="106"/>
      <c r="L179" s="106"/>
      <c r="M179" s="106"/>
      <c r="N179" s="106"/>
      <c r="O179" s="58"/>
      <c r="P179" s="36"/>
    </row>
    <row r="180" spans="1:16" x14ac:dyDescent="0.35">
      <c r="A180" s="36"/>
      <c r="B180" s="36"/>
      <c r="C180" s="36"/>
      <c r="D180" s="36"/>
      <c r="E180" s="36"/>
      <c r="F180" s="92" t="s">
        <v>293</v>
      </c>
      <c r="G180" s="92" t="s">
        <v>119</v>
      </c>
      <c r="H180" s="121">
        <f t="shared" si="3"/>
        <v>7.7692526903907891E-2</v>
      </c>
      <c r="I180" s="106"/>
      <c r="J180" s="106"/>
      <c r="K180" s="106"/>
      <c r="L180" s="106"/>
      <c r="M180" s="106"/>
      <c r="N180" s="106"/>
      <c r="O180" s="58"/>
      <c r="P180" s="36"/>
    </row>
    <row r="181" spans="1:16" x14ac:dyDescent="0.35">
      <c r="A181" s="36"/>
      <c r="B181" s="36"/>
      <c r="C181" s="36"/>
      <c r="D181" s="36"/>
      <c r="E181" s="36"/>
      <c r="F181" s="92" t="s">
        <v>295</v>
      </c>
      <c r="G181" s="92" t="s">
        <v>119</v>
      </c>
      <c r="H181" s="121">
        <f t="shared" si="3"/>
        <v>6.1030259816156708E-2</v>
      </c>
      <c r="I181" s="106"/>
      <c r="J181" s="106"/>
      <c r="K181" s="106"/>
      <c r="L181" s="106"/>
      <c r="M181" s="106"/>
      <c r="N181" s="106"/>
      <c r="O181" s="58"/>
      <c r="P181" s="36"/>
    </row>
    <row r="182" spans="1:16" x14ac:dyDescent="0.35">
      <c r="A182" s="36"/>
      <c r="B182" s="36"/>
      <c r="C182" s="36"/>
      <c r="D182" s="36"/>
      <c r="E182" s="36"/>
      <c r="F182" s="92" t="s">
        <v>199</v>
      </c>
      <c r="G182" s="92" t="s">
        <v>119</v>
      </c>
      <c r="H182" s="121">
        <f t="shared" si="3"/>
        <v>0.22532708718686598</v>
      </c>
      <c r="I182" s="106"/>
      <c r="J182" s="106"/>
      <c r="K182" s="106"/>
      <c r="L182" s="106"/>
      <c r="M182" s="106"/>
      <c r="N182" s="106"/>
      <c r="O182" s="58"/>
      <c r="P182" s="36"/>
    </row>
    <row r="183" spans="1:16" x14ac:dyDescent="0.35">
      <c r="A183" s="36"/>
      <c r="B183" s="36"/>
      <c r="C183" s="36"/>
      <c r="D183" s="36"/>
      <c r="E183" s="36"/>
      <c r="F183" s="92" t="s">
        <v>198</v>
      </c>
      <c r="G183" s="92" t="s">
        <v>119</v>
      </c>
      <c r="H183" s="121">
        <f t="shared" si="3"/>
        <v>7.4309748515664284E-2</v>
      </c>
      <c r="I183" s="106"/>
      <c r="J183" s="106"/>
      <c r="K183" s="106"/>
      <c r="L183" s="106"/>
      <c r="M183" s="106"/>
      <c r="N183" s="106"/>
      <c r="O183" s="58"/>
      <c r="P183" s="36"/>
    </row>
    <row r="184" spans="1:16" x14ac:dyDescent="0.35">
      <c r="A184" s="36"/>
      <c r="B184" s="36"/>
      <c r="C184" s="36"/>
      <c r="D184" s="36"/>
      <c r="E184" s="36"/>
      <c r="F184" s="94" t="s">
        <v>303</v>
      </c>
      <c r="G184" s="94" t="s">
        <v>119</v>
      </c>
      <c r="H184" s="122">
        <f t="shared" si="3"/>
        <v>0.37087671109750808</v>
      </c>
      <c r="I184" s="106"/>
      <c r="J184" s="106"/>
      <c r="K184" s="106"/>
      <c r="L184" s="106"/>
      <c r="M184" s="106"/>
      <c r="N184" s="106"/>
      <c r="O184" s="58"/>
      <c r="P184" s="36"/>
    </row>
    <row r="185" spans="1:16" x14ac:dyDescent="0.35">
      <c r="A185" s="36"/>
      <c r="B185" s="36"/>
      <c r="C185" s="36"/>
      <c r="D185" s="36"/>
      <c r="E185" s="36"/>
      <c r="F185" s="36"/>
      <c r="G185" s="36"/>
      <c r="H185" s="58"/>
      <c r="I185" s="58"/>
      <c r="J185" s="58"/>
      <c r="K185" s="58"/>
      <c r="L185" s="58"/>
      <c r="M185" s="58"/>
      <c r="N185" s="58"/>
      <c r="O185" s="58"/>
      <c r="P185" s="36"/>
    </row>
    <row r="186" spans="1:16" x14ac:dyDescent="0.35">
      <c r="A186" s="36"/>
      <c r="B186" s="84" t="s">
        <v>535</v>
      </c>
      <c r="C186" s="84"/>
      <c r="D186" s="84"/>
      <c r="E186" s="84"/>
      <c r="F186" s="84"/>
      <c r="G186" s="84"/>
      <c r="H186" s="85"/>
      <c r="I186" s="85"/>
      <c r="J186" s="85"/>
      <c r="K186" s="85"/>
      <c r="L186" s="85"/>
      <c r="M186" s="85"/>
      <c r="N186" s="85"/>
      <c r="O186" s="85"/>
      <c r="P186" s="84"/>
    </row>
    <row r="187" spans="1:16" x14ac:dyDescent="0.35">
      <c r="A187" s="36"/>
      <c r="B187" s="36"/>
      <c r="C187" s="36"/>
      <c r="D187" s="36"/>
      <c r="E187" s="36"/>
      <c r="F187" s="36"/>
      <c r="G187" s="36"/>
      <c r="H187" s="58"/>
      <c r="I187" s="58"/>
      <c r="J187" s="58"/>
      <c r="K187" s="58"/>
      <c r="L187" s="58"/>
      <c r="M187" s="58"/>
      <c r="N187" s="58"/>
      <c r="O187" s="58"/>
      <c r="P187" s="36"/>
    </row>
    <row r="188" spans="1:16" x14ac:dyDescent="0.35">
      <c r="A188" s="36"/>
      <c r="B188" s="36"/>
      <c r="C188" s="86"/>
      <c r="D188" s="86"/>
      <c r="E188" s="92" t="s">
        <v>693</v>
      </c>
      <c r="F188" s="36"/>
      <c r="G188" s="92" t="s">
        <v>73</v>
      </c>
      <c r="H188" s="151">
        <f>H39 + H49 + H153 + H154</f>
        <v>0</v>
      </c>
      <c r="I188" s="107"/>
      <c r="J188" s="107"/>
      <c r="K188" s="107"/>
      <c r="L188" s="107"/>
      <c r="M188" s="107"/>
      <c r="N188" s="107"/>
      <c r="O188" s="58"/>
      <c r="P188" s="36"/>
    </row>
    <row r="189" spans="1:16" x14ac:dyDescent="0.35">
      <c r="A189" s="36"/>
      <c r="B189" s="36"/>
      <c r="C189" s="36"/>
      <c r="D189" s="36"/>
      <c r="E189" s="86"/>
      <c r="F189" s="36"/>
      <c r="G189" s="36"/>
      <c r="H189" s="58"/>
      <c r="I189" s="58"/>
      <c r="J189" s="58"/>
      <c r="K189" s="58"/>
      <c r="L189" s="58"/>
      <c r="M189" s="58"/>
      <c r="N189" s="58"/>
      <c r="O189" s="58"/>
      <c r="P189" s="36"/>
    </row>
    <row r="190" spans="1:16" x14ac:dyDescent="0.35">
      <c r="A190" s="36"/>
      <c r="B190" s="84" t="s">
        <v>87</v>
      </c>
      <c r="C190" s="84"/>
      <c r="D190" s="84"/>
      <c r="E190" s="84"/>
      <c r="F190" s="84"/>
      <c r="G190" s="84"/>
      <c r="H190" s="85"/>
      <c r="I190" s="85"/>
      <c r="J190" s="85"/>
      <c r="K190" s="85"/>
      <c r="L190" s="85"/>
      <c r="M190" s="85"/>
      <c r="N190" s="85"/>
      <c r="O190" s="85"/>
      <c r="P190" s="84"/>
    </row>
  </sheetData>
  <sheetProtection sheet="1" objects="1" formatCells="0" formatColumns="0" formatRows="0" sort="0" autoFilter="0"/>
  <conditionalFormatting sqref="H39">
    <cfRule type="cellIs" dxfId="15" priority="2" stopIfTrue="1" operator="greaterThan">
      <formula>0</formula>
    </cfRule>
  </conditionalFormatting>
  <conditionalFormatting sqref="H49">
    <cfRule type="cellIs" dxfId="14" priority="3" stopIfTrue="1" operator="greaterThan">
      <formula>0</formula>
    </cfRule>
  </conditionalFormatting>
  <conditionalFormatting sqref="H188">
    <cfRule type="cellIs" dxfId="13" priority="4" stopIfTrue="1" operator="greaterThan">
      <formula>0</formula>
    </cfRule>
  </conditionalFormatting>
  <conditionalFormatting sqref="A4:XFD4">
    <cfRule type="expression" dxfId="12" priority="1">
      <formula>LEFT($A$4,1) &lt;&gt; "0"</formula>
    </cfRule>
  </conditionalFormatting>
  <hyperlinks>
    <hyperlink ref="B5" location="'Model map'!A1" display="Click here to return to model map" xr:uid="{8C62B46F-5DD1-4FBE-B19C-AC5BBDA56DF1}"/>
    <hyperlink ref="B5:H5" location="'Model map'!A4" tooltip="Click to return to model map" display="'Model map'!A4" xr:uid="{02D5E91A-3911-4740-947B-86F96DAFC31A}"/>
    <hyperlink ref="B5:F5" location="'Model map'!A4" tooltip="Click to return to model map" display="'Model map'!A4" xr:uid="{C3CBC4D6-807E-4B9F-9748-7F3696FFA076}"/>
    <hyperlink ref="A1" location="Index!A1" display="Index!A1" xr:uid="{DE369470-4C5B-43C2-8227-B799A121B8AC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tabColor theme="4" tint="0.59999389629810485"/>
  </sheetPr>
  <dimension ref="A1:AU64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44" width="20.7265625" customWidth="1"/>
    <col min="45" max="45" width="2.7265625" customWidth="1"/>
    <col min="46" max="46" width="40.7265625" customWidth="1"/>
    <col min="47" max="47" width="2.7265625" customWidth="1"/>
    <col min="48" max="16384" width="9.1796875" hidden="1"/>
  </cols>
  <sheetData>
    <row r="1" spans="1:47" x14ac:dyDescent="0.35">
      <c r="A1" s="74" t="str">
        <f ca="1">MID(CELL("filename",A1),FIND("]",CELL("filename",A1))+1,255)</f>
        <v>Direct</v>
      </c>
      <c r="B1" s="74"/>
      <c r="C1" s="74"/>
      <c r="D1" s="74"/>
      <c r="E1" s="74"/>
      <c r="F1" s="74"/>
      <c r="G1" s="74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4"/>
      <c r="AU1" s="2"/>
    </row>
    <row r="2" spans="1:47" x14ac:dyDescent="0.35">
      <c r="A2" s="74" t="str">
        <f>Cover!D21&amp;" - "&amp;Cover!D23</f>
        <v>Southern Electric Power Distribution - Final</v>
      </c>
      <c r="B2" s="74"/>
      <c r="C2" s="74"/>
      <c r="D2" s="74"/>
      <c r="E2" s="74"/>
      <c r="F2" s="74"/>
      <c r="G2" s="74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4"/>
      <c r="AU2" s="2"/>
    </row>
    <row r="3" spans="1:47" x14ac:dyDescent="0.35">
      <c r="A3" s="76" t="str">
        <f>Cover!D2&amp;" - "&amp;Cover!D8&amp;" v"&amp;Cover!D10&amp;" - "&amp;Cover!D19</f>
        <v>PCDM charging model - Release for charge setting v5 - 2024/25</v>
      </c>
      <c r="B3" s="77"/>
      <c r="C3" s="77"/>
      <c r="D3" s="77"/>
      <c r="E3" s="77"/>
      <c r="F3" s="77"/>
      <c r="G3" s="77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7"/>
      <c r="AU3" s="3"/>
    </row>
    <row r="4" spans="1:47" x14ac:dyDescent="0.35">
      <c r="A4" s="57" t="str">
        <f>H62 &amp; IF(H62 = 1, " issue", " issues") &amp;" identified in checks on this sheet"</f>
        <v>0 issues identified in checks on this sheet</v>
      </c>
      <c r="B4" s="36"/>
      <c r="C4" s="36"/>
      <c r="D4" s="36"/>
      <c r="E4" s="36"/>
      <c r="F4" s="36"/>
      <c r="G4" s="36"/>
      <c r="H4" s="58"/>
      <c r="I4" s="58"/>
      <c r="J4" s="36"/>
    </row>
    <row r="5" spans="1:47" ht="58" x14ac:dyDescent="0.35">
      <c r="A5" s="36"/>
      <c r="B5" s="79" t="s">
        <v>104</v>
      </c>
      <c r="C5" s="42"/>
      <c r="D5" s="42"/>
      <c r="E5" s="42"/>
      <c r="F5" s="42"/>
      <c r="G5" s="80" t="s">
        <v>105</v>
      </c>
      <c r="H5" s="100" t="s">
        <v>106</v>
      </c>
      <c r="I5" s="58"/>
      <c r="J5" s="81" t="s">
        <v>145</v>
      </c>
      <c r="K5" s="81" t="s">
        <v>694</v>
      </c>
      <c r="L5" s="81" t="s">
        <v>147</v>
      </c>
      <c r="M5" s="81" t="s">
        <v>148</v>
      </c>
      <c r="N5" s="81" t="s">
        <v>149</v>
      </c>
      <c r="O5" s="81" t="s">
        <v>150</v>
      </c>
      <c r="P5" s="81" t="s">
        <v>151</v>
      </c>
      <c r="Q5" s="81" t="s">
        <v>152</v>
      </c>
      <c r="R5" s="81" t="s">
        <v>153</v>
      </c>
      <c r="S5" s="81" t="s">
        <v>154</v>
      </c>
      <c r="T5" s="81" t="s">
        <v>155</v>
      </c>
      <c r="U5" s="81" t="s">
        <v>156</v>
      </c>
      <c r="V5" s="81" t="s">
        <v>157</v>
      </c>
      <c r="W5" s="81" t="s">
        <v>158</v>
      </c>
      <c r="X5" s="81" t="s">
        <v>159</v>
      </c>
      <c r="Y5" s="81" t="s">
        <v>160</v>
      </c>
      <c r="Z5" s="81" t="s">
        <v>161</v>
      </c>
      <c r="AA5" s="81" t="s">
        <v>162</v>
      </c>
      <c r="AB5" s="81" t="s">
        <v>163</v>
      </c>
      <c r="AC5" s="81" t="s">
        <v>164</v>
      </c>
      <c r="AD5" s="81" t="s">
        <v>165</v>
      </c>
      <c r="AE5" s="81" t="s">
        <v>166</v>
      </c>
      <c r="AF5" s="81" t="s">
        <v>167</v>
      </c>
      <c r="AG5" s="81" t="s">
        <v>168</v>
      </c>
      <c r="AH5" s="81" t="s">
        <v>169</v>
      </c>
      <c r="AI5" s="81" t="s">
        <v>170</v>
      </c>
      <c r="AJ5" s="81" t="s">
        <v>171</v>
      </c>
      <c r="AK5" s="81" t="s">
        <v>172</v>
      </c>
      <c r="AL5" s="81" t="s">
        <v>173</v>
      </c>
      <c r="AM5" s="81" t="s">
        <v>174</v>
      </c>
      <c r="AN5" s="81" t="s">
        <v>175</v>
      </c>
      <c r="AO5" s="81" t="s">
        <v>176</v>
      </c>
      <c r="AP5" s="81" t="s">
        <v>177</v>
      </c>
      <c r="AQ5" s="81" t="s">
        <v>179</v>
      </c>
      <c r="AR5" s="81" t="s">
        <v>180</v>
      </c>
      <c r="AS5" s="58"/>
      <c r="AT5" s="80" t="s">
        <v>107</v>
      </c>
    </row>
    <row r="6" spans="1:47" x14ac:dyDescent="0.35">
      <c r="A6" s="36"/>
      <c r="B6" s="36"/>
      <c r="C6" s="36"/>
      <c r="D6" s="36"/>
      <c r="E6" s="36"/>
      <c r="F6" s="36"/>
      <c r="G6" s="36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36"/>
    </row>
    <row r="7" spans="1:47" x14ac:dyDescent="0.35">
      <c r="A7" s="36"/>
      <c r="B7" s="84" t="s">
        <v>13</v>
      </c>
      <c r="C7" s="84"/>
      <c r="D7" s="84"/>
      <c r="E7" s="84"/>
      <c r="F7" s="84"/>
      <c r="G7" s="84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4"/>
    </row>
    <row r="8" spans="1:47" x14ac:dyDescent="0.35">
      <c r="A8" s="36"/>
      <c r="B8" s="36"/>
      <c r="C8" s="36"/>
      <c r="D8" s="36"/>
      <c r="E8" s="36"/>
      <c r="F8" s="36"/>
      <c r="G8" s="36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36"/>
    </row>
    <row r="9" spans="1:47" x14ac:dyDescent="0.35">
      <c r="A9" s="36"/>
      <c r="B9" s="36"/>
      <c r="C9" s="86" t="s">
        <v>695</v>
      </c>
      <c r="D9" s="86"/>
      <c r="E9" s="36"/>
      <c r="F9" s="36"/>
      <c r="G9" s="36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36"/>
    </row>
    <row r="10" spans="1:47" x14ac:dyDescent="0.35">
      <c r="A10" s="36"/>
      <c r="B10" s="36"/>
      <c r="C10" s="86" t="s">
        <v>696</v>
      </c>
      <c r="D10" s="86"/>
      <c r="E10" s="36"/>
      <c r="F10" s="36"/>
      <c r="G10" s="36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36"/>
    </row>
    <row r="11" spans="1:47" x14ac:dyDescent="0.35">
      <c r="A11" s="36"/>
      <c r="B11" s="36"/>
      <c r="C11" s="86" t="s">
        <v>697</v>
      </c>
      <c r="D11" s="86"/>
      <c r="E11" s="36"/>
      <c r="F11" s="36"/>
      <c r="G11" s="36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36"/>
      <c r="AU11" s="58"/>
    </row>
    <row r="12" spans="1:47" x14ac:dyDescent="0.35">
      <c r="A12" s="36"/>
      <c r="B12" s="36"/>
      <c r="C12" s="86"/>
      <c r="D12" s="86"/>
      <c r="E12" s="36"/>
      <c r="F12" s="36"/>
      <c r="G12" s="36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36"/>
    </row>
    <row r="13" spans="1:47" x14ac:dyDescent="0.35">
      <c r="A13" s="36"/>
      <c r="B13" s="84" t="s">
        <v>698</v>
      </c>
      <c r="C13" s="84"/>
      <c r="D13" s="84"/>
      <c r="E13" s="84"/>
      <c r="F13" s="84"/>
      <c r="G13" s="84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4"/>
    </row>
    <row r="14" spans="1:47" x14ac:dyDescent="0.35">
      <c r="A14" s="36"/>
      <c r="B14" s="36"/>
      <c r="C14" s="36"/>
      <c r="D14" s="36"/>
      <c r="E14" s="36"/>
      <c r="F14" s="36"/>
      <c r="G14" s="36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36"/>
    </row>
    <row r="15" spans="1:47" x14ac:dyDescent="0.35">
      <c r="A15" s="36"/>
      <c r="B15" s="36"/>
      <c r="C15" s="86" t="s">
        <v>699</v>
      </c>
      <c r="D15" s="86"/>
      <c r="E15" s="36"/>
      <c r="F15" s="36"/>
      <c r="G15" s="36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36"/>
    </row>
    <row r="16" spans="1:47" x14ac:dyDescent="0.35">
      <c r="A16" s="36"/>
      <c r="B16" s="36"/>
      <c r="C16" s="86" t="s">
        <v>700</v>
      </c>
      <c r="D16" s="86"/>
      <c r="E16" s="36"/>
      <c r="F16" s="36"/>
      <c r="G16" s="36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36"/>
    </row>
    <row r="17" spans="1:46" x14ac:dyDescent="0.35">
      <c r="A17" s="36"/>
      <c r="B17" s="36"/>
      <c r="C17" s="86"/>
      <c r="D17" s="86"/>
      <c r="E17" s="36"/>
      <c r="F17" s="36"/>
      <c r="G17" s="36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36"/>
    </row>
    <row r="18" spans="1:46" x14ac:dyDescent="0.35">
      <c r="A18" s="36"/>
      <c r="B18" s="36"/>
      <c r="C18" s="87" t="s">
        <v>701</v>
      </c>
      <c r="D18" s="87"/>
      <c r="E18" s="87"/>
      <c r="F18" s="87"/>
      <c r="G18" s="87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7"/>
    </row>
    <row r="19" spans="1:46" x14ac:dyDescent="0.35">
      <c r="A19" s="36"/>
      <c r="B19" s="36"/>
      <c r="C19" s="86"/>
      <c r="D19" s="86"/>
      <c r="E19" s="36"/>
      <c r="F19" s="36"/>
      <c r="G19" s="36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36"/>
    </row>
    <row r="20" spans="1:46" x14ac:dyDescent="0.35">
      <c r="A20" s="36"/>
      <c r="B20" s="36"/>
      <c r="C20" s="36"/>
      <c r="D20" s="86"/>
      <c r="E20" s="89" t="s">
        <v>702</v>
      </c>
      <c r="F20" s="36"/>
      <c r="G20" s="36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36"/>
    </row>
    <row r="21" spans="1:46" x14ac:dyDescent="0.35">
      <c r="A21" s="36"/>
      <c r="B21" s="36"/>
      <c r="C21" s="36"/>
      <c r="D21" s="36"/>
      <c r="E21" s="36"/>
      <c r="F21" s="90" t="str">
        <f>Expenditure!F145</f>
        <v>EHV and 132kV (EDCM)</v>
      </c>
      <c r="G21" s="90" t="str">
        <f>Expenditure!G145</f>
        <v>£ per year</v>
      </c>
      <c r="H21" s="114"/>
      <c r="I21" s="114"/>
      <c r="J21" s="123">
        <f>Expenditure!J145</f>
        <v>37080000</v>
      </c>
      <c r="K21" s="123">
        <f>Expenditure!K145</f>
        <v>13299999.999999998</v>
      </c>
      <c r="L21" s="123">
        <f>Expenditure!L145</f>
        <v>1402791.5174344559</v>
      </c>
      <c r="M21" s="123">
        <f>Expenditure!M145</f>
        <v>1282579.5047548516</v>
      </c>
      <c r="N21" s="123">
        <f>Expenditure!N145</f>
        <v>5000398.7882049223</v>
      </c>
      <c r="O21" s="123">
        <f>Expenditure!O145</f>
        <v>1200000</v>
      </c>
      <c r="P21" s="123">
        <f>Expenditure!P145</f>
        <v>36436.14330998587</v>
      </c>
      <c r="Q21" s="123">
        <f>Expenditure!Q145</f>
        <v>546542.14964978804</v>
      </c>
      <c r="R21" s="123">
        <f>Expenditure!R145</f>
        <v>1238828.8725395196</v>
      </c>
      <c r="S21" s="123">
        <f>Expenditure!S145</f>
        <v>3588960.1160336081</v>
      </c>
      <c r="T21" s="123">
        <f>Expenditure!T145</f>
        <v>473669.8630298163</v>
      </c>
      <c r="U21" s="123">
        <f>Expenditure!U145</f>
        <v>163962.64489493641</v>
      </c>
      <c r="V21" s="123">
        <f>Expenditure!V145</f>
        <v>455451.79137482337</v>
      </c>
      <c r="W21" s="123">
        <f>Expenditure!W145</f>
        <v>273271.07482489402</v>
      </c>
      <c r="X21" s="123">
        <f>Expenditure!X145</f>
        <v>2167950.5269441591</v>
      </c>
      <c r="Y21" s="123">
        <f>Expenditure!Y145</f>
        <v>0</v>
      </c>
      <c r="Z21" s="123">
        <f>Expenditure!Z145</f>
        <v>0</v>
      </c>
      <c r="AA21" s="123">
        <f>Expenditure!AA145</f>
        <v>582978.29295977391</v>
      </c>
      <c r="AB21" s="123">
        <f>Expenditure!AB145</f>
        <v>327925.28978987283</v>
      </c>
      <c r="AC21" s="123">
        <f>Expenditure!AC145</f>
        <v>1676062.59225935</v>
      </c>
      <c r="AD21" s="123">
        <f>Expenditure!AD145</f>
        <v>419015.6480648375</v>
      </c>
      <c r="AE21" s="123">
        <f>Expenditure!AE145</f>
        <v>0</v>
      </c>
      <c r="AF21" s="123">
        <f>Expenditure!AF145</f>
        <v>0</v>
      </c>
      <c r="AG21" s="123">
        <f>Expenditure!AG145</f>
        <v>0</v>
      </c>
      <c r="AH21" s="123">
        <f>Expenditure!AH145</f>
        <v>0</v>
      </c>
      <c r="AI21" s="123">
        <f>Expenditure!AI145</f>
        <v>0</v>
      </c>
      <c r="AJ21" s="123">
        <f>Expenditure!AJ145</f>
        <v>0</v>
      </c>
      <c r="AK21" s="123">
        <f>Expenditure!AK145</f>
        <v>0</v>
      </c>
      <c r="AL21" s="123">
        <f>Expenditure!AL145</f>
        <v>0</v>
      </c>
      <c r="AM21" s="123">
        <f>Expenditure!AM145</f>
        <v>0</v>
      </c>
      <c r="AN21" s="123">
        <f>Expenditure!AN145</f>
        <v>0</v>
      </c>
      <c r="AO21" s="123">
        <f>Expenditure!AO145</f>
        <v>0</v>
      </c>
      <c r="AP21" s="123">
        <f>Expenditure!AP145</f>
        <v>0</v>
      </c>
      <c r="AQ21" s="123">
        <f>Expenditure!AQ145</f>
        <v>0</v>
      </c>
      <c r="AR21" s="123">
        <f>Expenditure!AR145</f>
        <v>0</v>
      </c>
      <c r="AS21" s="58"/>
      <c r="AT21" s="36"/>
    </row>
    <row r="22" spans="1:46" x14ac:dyDescent="0.35">
      <c r="A22" s="36"/>
      <c r="B22" s="36"/>
      <c r="C22" s="36"/>
      <c r="D22" s="36"/>
      <c r="E22" s="36"/>
      <c r="F22" s="92" t="str">
        <f>Expenditure!F151</f>
        <v>HV (CDCM)</v>
      </c>
      <c r="G22" s="92" t="str">
        <f>Expenditure!G151</f>
        <v>£ per year</v>
      </c>
      <c r="H22" s="101"/>
      <c r="I22" s="101"/>
      <c r="J22" s="190">
        <f>Expenditure!J151</f>
        <v>17380000.000000004</v>
      </c>
      <c r="K22" s="190">
        <f>Expenditure!K151</f>
        <v>10800000</v>
      </c>
      <c r="L22" s="190">
        <f>Expenditure!L151</f>
        <v>1637533.1366131906</v>
      </c>
      <c r="M22" s="190">
        <f>Expenditure!M151</f>
        <v>6546599.9463490518</v>
      </c>
      <c r="N22" s="190">
        <f>Expenditure!N151</f>
        <v>1133933.3052304557</v>
      </c>
      <c r="O22" s="190">
        <f>Expenditure!O151</f>
        <v>2900000</v>
      </c>
      <c r="P22" s="190">
        <f>Expenditure!P151</f>
        <v>42533.328223719232</v>
      </c>
      <c r="Q22" s="190">
        <f>Expenditure!Q151</f>
        <v>637999.92335578857</v>
      </c>
      <c r="R22" s="190">
        <f>Expenditure!R151</f>
        <v>1446133.159606454</v>
      </c>
      <c r="S22" s="190">
        <f>Expenditure!S151</f>
        <v>4189532.8300363449</v>
      </c>
      <c r="T22" s="190">
        <f>Expenditure!T151</f>
        <v>552933.26690835005</v>
      </c>
      <c r="U22" s="190">
        <f>Expenditure!U151</f>
        <v>191399.97700673656</v>
      </c>
      <c r="V22" s="190">
        <f>Expenditure!V151</f>
        <v>531666.60279649042</v>
      </c>
      <c r="W22" s="190">
        <f>Expenditure!W151</f>
        <v>318999.96167789429</v>
      </c>
      <c r="X22" s="190">
        <f>Expenditure!X151</f>
        <v>2530733.0293112947</v>
      </c>
      <c r="Y22" s="190">
        <f>Expenditure!Y151</f>
        <v>0</v>
      </c>
      <c r="Z22" s="190">
        <f>Expenditure!Z151</f>
        <v>0</v>
      </c>
      <c r="AA22" s="190">
        <f>Expenditure!AA151</f>
        <v>680533.25157950772</v>
      </c>
      <c r="AB22" s="190">
        <f>Expenditure!AB151</f>
        <v>382799.95401347312</v>
      </c>
      <c r="AC22" s="190">
        <f>Expenditure!AC151</f>
        <v>1956533.0982910849</v>
      </c>
      <c r="AD22" s="190">
        <f>Expenditure!AD151</f>
        <v>489133.27457277122</v>
      </c>
      <c r="AE22" s="190">
        <f>Expenditure!AE151</f>
        <v>0</v>
      </c>
      <c r="AF22" s="190">
        <f>Expenditure!AF151</f>
        <v>0</v>
      </c>
      <c r="AG22" s="190">
        <f>Expenditure!AG151</f>
        <v>0</v>
      </c>
      <c r="AH22" s="190">
        <f>Expenditure!AH151</f>
        <v>0</v>
      </c>
      <c r="AI22" s="190">
        <f>Expenditure!AI151</f>
        <v>0</v>
      </c>
      <c r="AJ22" s="190">
        <f>Expenditure!AJ151</f>
        <v>0</v>
      </c>
      <c r="AK22" s="190">
        <f>Expenditure!AK151</f>
        <v>0</v>
      </c>
      <c r="AL22" s="190">
        <f>Expenditure!AL151</f>
        <v>0</v>
      </c>
      <c r="AM22" s="190">
        <f>Expenditure!AM151</f>
        <v>0</v>
      </c>
      <c r="AN22" s="190">
        <f>Expenditure!AN151</f>
        <v>0</v>
      </c>
      <c r="AO22" s="190">
        <f>Expenditure!AO151</f>
        <v>0</v>
      </c>
      <c r="AP22" s="190">
        <f>Expenditure!AP151</f>
        <v>0</v>
      </c>
      <c r="AQ22" s="190">
        <f>Expenditure!AQ151</f>
        <v>0</v>
      </c>
      <c r="AR22" s="190">
        <f>Expenditure!AR151</f>
        <v>0</v>
      </c>
      <c r="AS22" s="58"/>
      <c r="AT22" s="36"/>
    </row>
    <row r="23" spans="1:46" x14ac:dyDescent="0.35">
      <c r="A23" s="36"/>
      <c r="B23" s="36"/>
      <c r="C23" s="36"/>
      <c r="D23" s="36"/>
      <c r="E23" s="36"/>
      <c r="F23" s="92" t="str">
        <f>Expenditure!F148</f>
        <v>LV services (CDCM)</v>
      </c>
      <c r="G23" s="92" t="str">
        <f>Expenditure!G148</f>
        <v>£ per year</v>
      </c>
      <c r="H23" s="101"/>
      <c r="I23" s="101"/>
      <c r="J23" s="119">
        <f>Expenditure!J148</f>
        <v>0</v>
      </c>
      <c r="K23" s="119">
        <f>Expenditure!K148</f>
        <v>9837160.8505084664</v>
      </c>
      <c r="L23" s="119">
        <f>Expenditure!L148</f>
        <v>2127863.5976081113</v>
      </c>
      <c r="M23" s="119">
        <f>Expenditure!M148</f>
        <v>6974480.9885418061</v>
      </c>
      <c r="N23" s="119">
        <f>Expenditure!N148</f>
        <v>1927112.0542779127</v>
      </c>
      <c r="O23" s="119">
        <f>Expenditure!O148</f>
        <v>1377202.5190711853</v>
      </c>
      <c r="P23" s="119">
        <f>Expenditure!P148</f>
        <v>55269.184353457436</v>
      </c>
      <c r="Q23" s="119">
        <f>Expenditure!Q148</f>
        <v>829037.76530186157</v>
      </c>
      <c r="R23" s="119">
        <f>Expenditure!R148</f>
        <v>1879152.2680175528</v>
      </c>
      <c r="S23" s="119">
        <f>Expenditure!S148</f>
        <v>5444014.6588155571</v>
      </c>
      <c r="T23" s="119">
        <f>Expenditure!T148</f>
        <v>718499.39659494662</v>
      </c>
      <c r="U23" s="119">
        <f>Expenditure!U148</f>
        <v>248711.32959055845</v>
      </c>
      <c r="V23" s="119">
        <f>Expenditure!V148</f>
        <v>690864.80441821797</v>
      </c>
      <c r="W23" s="119">
        <f>Expenditure!W148</f>
        <v>414518.88265093078</v>
      </c>
      <c r="X23" s="119">
        <f>Expenditure!X148</f>
        <v>3288516.4690307174</v>
      </c>
      <c r="Y23" s="119">
        <f>Expenditure!Y148</f>
        <v>0</v>
      </c>
      <c r="Z23" s="119">
        <f>Expenditure!Z148</f>
        <v>0</v>
      </c>
      <c r="AA23" s="119">
        <f>Expenditure!AA148</f>
        <v>884306.94965531898</v>
      </c>
      <c r="AB23" s="119">
        <f>Expenditure!AB148</f>
        <v>497422.65918111691</v>
      </c>
      <c r="AC23" s="119">
        <f>Expenditure!AC148</f>
        <v>2542382.4802590418</v>
      </c>
      <c r="AD23" s="119">
        <f>Expenditure!AD148</f>
        <v>635595.62006476044</v>
      </c>
      <c r="AE23" s="119">
        <f>Expenditure!AE148</f>
        <v>0</v>
      </c>
      <c r="AF23" s="119">
        <f>Expenditure!AF148</f>
        <v>0</v>
      </c>
      <c r="AG23" s="119">
        <f>Expenditure!AG148</f>
        <v>0</v>
      </c>
      <c r="AH23" s="119">
        <f>Expenditure!AH148</f>
        <v>0</v>
      </c>
      <c r="AI23" s="119">
        <f>Expenditure!AI148</f>
        <v>0</v>
      </c>
      <c r="AJ23" s="119">
        <f>Expenditure!AJ148</f>
        <v>0</v>
      </c>
      <c r="AK23" s="119">
        <f>Expenditure!AK148</f>
        <v>0</v>
      </c>
      <c r="AL23" s="119">
        <f>Expenditure!AL148</f>
        <v>0</v>
      </c>
      <c r="AM23" s="119">
        <f>Expenditure!AM148</f>
        <v>0</v>
      </c>
      <c r="AN23" s="119">
        <f>Expenditure!AN148</f>
        <v>0</v>
      </c>
      <c r="AO23" s="119">
        <f>Expenditure!AO148</f>
        <v>0</v>
      </c>
      <c r="AP23" s="119">
        <f>Expenditure!AP148</f>
        <v>1300000</v>
      </c>
      <c r="AQ23" s="119">
        <f>Expenditure!AQ148</f>
        <v>0</v>
      </c>
      <c r="AR23" s="119">
        <f>Expenditure!AR148</f>
        <v>4559433.9274855116</v>
      </c>
      <c r="AS23" s="58"/>
      <c r="AT23" s="36"/>
    </row>
    <row r="24" spans="1:46" x14ac:dyDescent="0.35">
      <c r="A24" s="36"/>
      <c r="B24" s="36"/>
      <c r="C24" s="36"/>
      <c r="D24" s="36"/>
      <c r="E24" s="36"/>
      <c r="F24" s="94" t="str">
        <f>Expenditure!F149</f>
        <v>LV mains (CDCM)</v>
      </c>
      <c r="G24" s="94" t="str">
        <f>Expenditure!G149</f>
        <v>£ per year</v>
      </c>
      <c r="H24" s="115"/>
      <c r="I24" s="115"/>
      <c r="J24" s="124">
        <f>Expenditure!J149</f>
        <v>4840000.0000000037</v>
      </c>
      <c r="K24" s="124">
        <f>Expenditure!K149</f>
        <v>10162839.149491534</v>
      </c>
      <c r="L24" s="124">
        <f>Expenditure!L149</f>
        <v>2198310.6511297766</v>
      </c>
      <c r="M24" s="124">
        <f>Expenditure!M149</f>
        <v>7205384.7156594358</v>
      </c>
      <c r="N24" s="124">
        <f>Expenditure!N149</f>
        <v>1990912.8383989283</v>
      </c>
      <c r="O24" s="124">
        <f>Expenditure!O149</f>
        <v>1422797.4809288147</v>
      </c>
      <c r="P24" s="124">
        <f>Expenditure!P149</f>
        <v>57098.97795142277</v>
      </c>
      <c r="Q24" s="124">
        <f>Expenditure!Q149</f>
        <v>856484.66927134153</v>
      </c>
      <c r="R24" s="124">
        <f>Expenditure!R149</f>
        <v>1941365.2503483742</v>
      </c>
      <c r="S24" s="124">
        <f>Expenditure!S149</f>
        <v>5624249.3282151427</v>
      </c>
      <c r="T24" s="124">
        <f>Expenditure!T149</f>
        <v>742286.71336849604</v>
      </c>
      <c r="U24" s="124">
        <f>Expenditure!U149</f>
        <v>256945.40078140245</v>
      </c>
      <c r="V24" s="124">
        <f>Expenditure!V149</f>
        <v>713737.22439278464</v>
      </c>
      <c r="W24" s="124">
        <f>Expenditure!W149</f>
        <v>428242.33463567076</v>
      </c>
      <c r="X24" s="124">
        <f>Expenditure!X149</f>
        <v>3397389.1881096549</v>
      </c>
      <c r="Y24" s="124">
        <f>Expenditure!Y149</f>
        <v>0</v>
      </c>
      <c r="Z24" s="124">
        <f>Expenditure!Z149</f>
        <v>0</v>
      </c>
      <c r="AA24" s="124">
        <f>Expenditure!AA149</f>
        <v>913583.64722276432</v>
      </c>
      <c r="AB24" s="124">
        <f>Expenditure!AB149</f>
        <v>513890.8015628049</v>
      </c>
      <c r="AC24" s="124">
        <f>Expenditure!AC149</f>
        <v>2626552.9857654474</v>
      </c>
      <c r="AD24" s="124">
        <f>Expenditure!AD149</f>
        <v>656638.24644136184</v>
      </c>
      <c r="AE24" s="124">
        <f>Expenditure!AE149</f>
        <v>0</v>
      </c>
      <c r="AF24" s="124">
        <f>Expenditure!AF149</f>
        <v>0</v>
      </c>
      <c r="AG24" s="124">
        <f>Expenditure!AG149</f>
        <v>0</v>
      </c>
      <c r="AH24" s="124">
        <f>Expenditure!AH149</f>
        <v>0</v>
      </c>
      <c r="AI24" s="124">
        <f>Expenditure!AI149</f>
        <v>0</v>
      </c>
      <c r="AJ24" s="124">
        <f>Expenditure!AJ149</f>
        <v>0</v>
      </c>
      <c r="AK24" s="124">
        <f>Expenditure!AK149</f>
        <v>0</v>
      </c>
      <c r="AL24" s="124">
        <f>Expenditure!AL149</f>
        <v>0</v>
      </c>
      <c r="AM24" s="124">
        <f>Expenditure!AM149</f>
        <v>0</v>
      </c>
      <c r="AN24" s="124">
        <f>Expenditure!AN149</f>
        <v>0</v>
      </c>
      <c r="AO24" s="124">
        <f>Expenditure!AO149</f>
        <v>0</v>
      </c>
      <c r="AP24" s="124">
        <f>Expenditure!AP149</f>
        <v>0</v>
      </c>
      <c r="AQ24" s="124">
        <f>Expenditure!AQ149</f>
        <v>0</v>
      </c>
      <c r="AR24" s="124">
        <f>Expenditure!AR149</f>
        <v>0</v>
      </c>
      <c r="AS24" s="58"/>
      <c r="AT24" s="36"/>
    </row>
    <row r="25" spans="1:46" x14ac:dyDescent="0.35">
      <c r="A25" s="36"/>
      <c r="B25" s="36"/>
      <c r="C25" s="36"/>
      <c r="D25" s="36"/>
      <c r="E25" s="36"/>
      <c r="F25" s="36"/>
      <c r="G25" s="36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36"/>
    </row>
    <row r="26" spans="1:46" x14ac:dyDescent="0.35">
      <c r="A26" s="92"/>
      <c r="B26" s="36"/>
      <c r="C26" s="36"/>
      <c r="D26" s="36"/>
      <c r="E26" s="89" t="s">
        <v>703</v>
      </c>
      <c r="F26" s="36"/>
      <c r="G26" s="36"/>
      <c r="H26" s="58"/>
      <c r="I26" s="103" t="s">
        <v>120</v>
      </c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92" t="s">
        <v>704</v>
      </c>
    </row>
    <row r="27" spans="1:46" x14ac:dyDescent="0.35">
      <c r="A27" s="36"/>
      <c r="B27" s="36"/>
      <c r="C27" s="36"/>
      <c r="D27" s="36"/>
      <c r="E27" s="36"/>
      <c r="F27" s="90" t="s">
        <v>579</v>
      </c>
      <c r="G27" s="90" t="s">
        <v>434</v>
      </c>
      <c r="H27" s="114"/>
      <c r="I27" s="114"/>
      <c r="J27" s="114">
        <f t="shared" ref="J27:AQ27" si="0">MAX(J21, 0)</f>
        <v>37080000</v>
      </c>
      <c r="K27" s="114">
        <f t="shared" si="0"/>
        <v>13299999.999999998</v>
      </c>
      <c r="L27" s="114">
        <f t="shared" si="0"/>
        <v>1402791.5174344559</v>
      </c>
      <c r="M27" s="114">
        <f t="shared" si="0"/>
        <v>1282579.5047548516</v>
      </c>
      <c r="N27" s="114">
        <f t="shared" si="0"/>
        <v>5000398.7882049223</v>
      </c>
      <c r="O27" s="114">
        <f t="shared" si="0"/>
        <v>1200000</v>
      </c>
      <c r="P27" s="114">
        <f t="shared" si="0"/>
        <v>36436.14330998587</v>
      </c>
      <c r="Q27" s="114">
        <f t="shared" si="0"/>
        <v>546542.14964978804</v>
      </c>
      <c r="R27" s="114">
        <f t="shared" si="0"/>
        <v>1238828.8725395196</v>
      </c>
      <c r="S27" s="114">
        <f t="shared" si="0"/>
        <v>3588960.1160336081</v>
      </c>
      <c r="T27" s="114">
        <f t="shared" si="0"/>
        <v>473669.8630298163</v>
      </c>
      <c r="U27" s="114">
        <f t="shared" si="0"/>
        <v>163962.64489493641</v>
      </c>
      <c r="V27" s="114">
        <f t="shared" si="0"/>
        <v>455451.79137482337</v>
      </c>
      <c r="W27" s="114">
        <f t="shared" si="0"/>
        <v>273271.07482489402</v>
      </c>
      <c r="X27" s="114">
        <f t="shared" si="0"/>
        <v>2167950.5269441591</v>
      </c>
      <c r="Y27" s="114">
        <f t="shared" si="0"/>
        <v>0</v>
      </c>
      <c r="Z27" s="114">
        <f t="shared" si="0"/>
        <v>0</v>
      </c>
      <c r="AA27" s="114">
        <f t="shared" si="0"/>
        <v>582978.29295977391</v>
      </c>
      <c r="AB27" s="114">
        <f t="shared" si="0"/>
        <v>327925.28978987283</v>
      </c>
      <c r="AC27" s="114">
        <f t="shared" si="0"/>
        <v>1676062.59225935</v>
      </c>
      <c r="AD27" s="114">
        <f t="shared" si="0"/>
        <v>419015.6480648375</v>
      </c>
      <c r="AE27" s="114">
        <f t="shared" si="0"/>
        <v>0</v>
      </c>
      <c r="AF27" s="114">
        <f t="shared" si="0"/>
        <v>0</v>
      </c>
      <c r="AG27" s="114">
        <f t="shared" si="0"/>
        <v>0</v>
      </c>
      <c r="AH27" s="114">
        <f t="shared" si="0"/>
        <v>0</v>
      </c>
      <c r="AI27" s="114">
        <f t="shared" si="0"/>
        <v>0</v>
      </c>
      <c r="AJ27" s="114">
        <f t="shared" si="0"/>
        <v>0</v>
      </c>
      <c r="AK27" s="114">
        <f t="shared" si="0"/>
        <v>0</v>
      </c>
      <c r="AL27" s="114">
        <f t="shared" si="0"/>
        <v>0</v>
      </c>
      <c r="AM27" s="114">
        <f t="shared" si="0"/>
        <v>0</v>
      </c>
      <c r="AN27" s="114">
        <f t="shared" si="0"/>
        <v>0</v>
      </c>
      <c r="AO27" s="114">
        <f t="shared" si="0"/>
        <v>0</v>
      </c>
      <c r="AP27" s="114">
        <f t="shared" ref="AP27" si="1">MAX(AP21, 0)</f>
        <v>0</v>
      </c>
      <c r="AQ27" s="114">
        <f t="shared" si="0"/>
        <v>0</v>
      </c>
      <c r="AR27" s="114">
        <f t="shared" ref="AR27" si="2">MAX(AR21, 0)</f>
        <v>0</v>
      </c>
      <c r="AS27" s="58"/>
      <c r="AT27" s="36"/>
    </row>
    <row r="28" spans="1:46" x14ac:dyDescent="0.35">
      <c r="A28" s="36"/>
      <c r="B28" s="36"/>
      <c r="C28" s="36"/>
      <c r="D28" s="36"/>
      <c r="E28" s="36"/>
      <c r="F28" s="92" t="s">
        <v>584</v>
      </c>
      <c r="G28" s="92" t="s">
        <v>434</v>
      </c>
      <c r="H28" s="101"/>
      <c r="I28" s="101"/>
      <c r="J28" s="101">
        <f t="shared" ref="J28:AQ28" si="3">MAX(J22, 0)</f>
        <v>17380000.000000004</v>
      </c>
      <c r="K28" s="101">
        <f t="shared" si="3"/>
        <v>10800000</v>
      </c>
      <c r="L28" s="101">
        <f t="shared" si="3"/>
        <v>1637533.1366131906</v>
      </c>
      <c r="M28" s="101">
        <f t="shared" si="3"/>
        <v>6546599.9463490518</v>
      </c>
      <c r="N28" s="101">
        <f t="shared" si="3"/>
        <v>1133933.3052304557</v>
      </c>
      <c r="O28" s="101">
        <f t="shared" si="3"/>
        <v>2900000</v>
      </c>
      <c r="P28" s="101">
        <f t="shared" si="3"/>
        <v>42533.328223719232</v>
      </c>
      <c r="Q28" s="101">
        <f t="shared" si="3"/>
        <v>637999.92335578857</v>
      </c>
      <c r="R28" s="101">
        <f t="shared" si="3"/>
        <v>1446133.159606454</v>
      </c>
      <c r="S28" s="101">
        <f t="shared" si="3"/>
        <v>4189532.8300363449</v>
      </c>
      <c r="T28" s="101">
        <f t="shared" si="3"/>
        <v>552933.26690835005</v>
      </c>
      <c r="U28" s="101">
        <f t="shared" si="3"/>
        <v>191399.97700673656</v>
      </c>
      <c r="V28" s="101">
        <f t="shared" si="3"/>
        <v>531666.60279649042</v>
      </c>
      <c r="W28" s="101">
        <f t="shared" si="3"/>
        <v>318999.96167789429</v>
      </c>
      <c r="X28" s="101">
        <f t="shared" si="3"/>
        <v>2530733.0293112947</v>
      </c>
      <c r="Y28" s="101">
        <f t="shared" si="3"/>
        <v>0</v>
      </c>
      <c r="Z28" s="101">
        <f t="shared" si="3"/>
        <v>0</v>
      </c>
      <c r="AA28" s="101">
        <f t="shared" si="3"/>
        <v>680533.25157950772</v>
      </c>
      <c r="AB28" s="101">
        <f t="shared" si="3"/>
        <v>382799.95401347312</v>
      </c>
      <c r="AC28" s="101">
        <f t="shared" si="3"/>
        <v>1956533.0982910849</v>
      </c>
      <c r="AD28" s="101">
        <f t="shared" si="3"/>
        <v>489133.27457277122</v>
      </c>
      <c r="AE28" s="101">
        <f t="shared" si="3"/>
        <v>0</v>
      </c>
      <c r="AF28" s="101">
        <f t="shared" si="3"/>
        <v>0</v>
      </c>
      <c r="AG28" s="101">
        <f t="shared" si="3"/>
        <v>0</v>
      </c>
      <c r="AH28" s="101">
        <f t="shared" si="3"/>
        <v>0</v>
      </c>
      <c r="AI28" s="101">
        <f t="shared" si="3"/>
        <v>0</v>
      </c>
      <c r="AJ28" s="101">
        <f t="shared" si="3"/>
        <v>0</v>
      </c>
      <c r="AK28" s="101">
        <f t="shared" si="3"/>
        <v>0</v>
      </c>
      <c r="AL28" s="101">
        <f t="shared" si="3"/>
        <v>0</v>
      </c>
      <c r="AM28" s="101">
        <f t="shared" si="3"/>
        <v>0</v>
      </c>
      <c r="AN28" s="101">
        <f t="shared" si="3"/>
        <v>0</v>
      </c>
      <c r="AO28" s="101">
        <f t="shared" si="3"/>
        <v>0</v>
      </c>
      <c r="AP28" s="101">
        <f t="shared" ref="AP28" si="4">MAX(AP22, 0)</f>
        <v>0</v>
      </c>
      <c r="AQ28" s="101">
        <f t="shared" si="3"/>
        <v>0</v>
      </c>
      <c r="AR28" s="101">
        <f t="shared" ref="AR28" si="5">MAX(AR22, 0)</f>
        <v>0</v>
      </c>
      <c r="AS28" s="58"/>
      <c r="AT28" s="36"/>
    </row>
    <row r="29" spans="1:46" x14ac:dyDescent="0.35">
      <c r="A29" s="36"/>
      <c r="B29" s="36"/>
      <c r="C29" s="36"/>
      <c r="D29" s="36"/>
      <c r="E29" s="36"/>
      <c r="F29" s="92" t="s">
        <v>581</v>
      </c>
      <c r="G29" s="92" t="s">
        <v>434</v>
      </c>
      <c r="H29" s="101"/>
      <c r="I29" s="101"/>
      <c r="J29" s="101">
        <f t="shared" ref="J29:AQ29" si="6">MAX(J23, 0)</f>
        <v>0</v>
      </c>
      <c r="K29" s="101">
        <f t="shared" si="6"/>
        <v>9837160.8505084664</v>
      </c>
      <c r="L29" s="101">
        <f t="shared" si="6"/>
        <v>2127863.5976081113</v>
      </c>
      <c r="M29" s="101">
        <f t="shared" si="6"/>
        <v>6974480.9885418061</v>
      </c>
      <c r="N29" s="101">
        <f t="shared" si="6"/>
        <v>1927112.0542779127</v>
      </c>
      <c r="O29" s="101">
        <f t="shared" si="6"/>
        <v>1377202.5190711853</v>
      </c>
      <c r="P29" s="101">
        <f t="shared" si="6"/>
        <v>55269.184353457436</v>
      </c>
      <c r="Q29" s="101">
        <f t="shared" si="6"/>
        <v>829037.76530186157</v>
      </c>
      <c r="R29" s="101">
        <f t="shared" si="6"/>
        <v>1879152.2680175528</v>
      </c>
      <c r="S29" s="101">
        <f t="shared" si="6"/>
        <v>5444014.6588155571</v>
      </c>
      <c r="T29" s="101">
        <f t="shared" si="6"/>
        <v>718499.39659494662</v>
      </c>
      <c r="U29" s="101">
        <f t="shared" si="6"/>
        <v>248711.32959055845</v>
      </c>
      <c r="V29" s="101">
        <f t="shared" si="6"/>
        <v>690864.80441821797</v>
      </c>
      <c r="W29" s="101">
        <f t="shared" si="6"/>
        <v>414518.88265093078</v>
      </c>
      <c r="X29" s="101">
        <f t="shared" si="6"/>
        <v>3288516.4690307174</v>
      </c>
      <c r="Y29" s="101">
        <f t="shared" si="6"/>
        <v>0</v>
      </c>
      <c r="Z29" s="101">
        <f t="shared" si="6"/>
        <v>0</v>
      </c>
      <c r="AA29" s="101">
        <f t="shared" si="6"/>
        <v>884306.94965531898</v>
      </c>
      <c r="AB29" s="101">
        <f t="shared" si="6"/>
        <v>497422.65918111691</v>
      </c>
      <c r="AC29" s="101">
        <f t="shared" si="6"/>
        <v>2542382.4802590418</v>
      </c>
      <c r="AD29" s="101">
        <f t="shared" si="6"/>
        <v>635595.62006476044</v>
      </c>
      <c r="AE29" s="101">
        <f t="shared" si="6"/>
        <v>0</v>
      </c>
      <c r="AF29" s="101">
        <f t="shared" si="6"/>
        <v>0</v>
      </c>
      <c r="AG29" s="101">
        <f t="shared" si="6"/>
        <v>0</v>
      </c>
      <c r="AH29" s="101">
        <f t="shared" si="6"/>
        <v>0</v>
      </c>
      <c r="AI29" s="101">
        <f t="shared" si="6"/>
        <v>0</v>
      </c>
      <c r="AJ29" s="101">
        <f t="shared" si="6"/>
        <v>0</v>
      </c>
      <c r="AK29" s="101">
        <f t="shared" si="6"/>
        <v>0</v>
      </c>
      <c r="AL29" s="101">
        <f t="shared" si="6"/>
        <v>0</v>
      </c>
      <c r="AM29" s="101">
        <f t="shared" si="6"/>
        <v>0</v>
      </c>
      <c r="AN29" s="101">
        <f t="shared" si="6"/>
        <v>0</v>
      </c>
      <c r="AO29" s="101">
        <f t="shared" si="6"/>
        <v>0</v>
      </c>
      <c r="AP29" s="101">
        <f t="shared" ref="AP29" si="7">MAX(AP23, 0)</f>
        <v>1300000</v>
      </c>
      <c r="AQ29" s="101">
        <f t="shared" si="6"/>
        <v>0</v>
      </c>
      <c r="AR29" s="101">
        <f t="shared" ref="AR29" si="8">MAX(AR23, 0)</f>
        <v>4559433.9274855116</v>
      </c>
      <c r="AS29" s="58"/>
      <c r="AT29" s="36"/>
    </row>
    <row r="30" spans="1:46" x14ac:dyDescent="0.35">
      <c r="A30" s="36"/>
      <c r="B30" s="36"/>
      <c r="C30" s="36"/>
      <c r="D30" s="36"/>
      <c r="E30" s="36"/>
      <c r="F30" s="94" t="s">
        <v>582</v>
      </c>
      <c r="G30" s="94" t="s">
        <v>434</v>
      </c>
      <c r="H30" s="115"/>
      <c r="I30" s="115"/>
      <c r="J30" s="115">
        <f t="shared" ref="J30:AQ30" si="9">MAX(J24, 0)</f>
        <v>4840000.0000000037</v>
      </c>
      <c r="K30" s="115">
        <f t="shared" si="9"/>
        <v>10162839.149491534</v>
      </c>
      <c r="L30" s="115">
        <f t="shared" si="9"/>
        <v>2198310.6511297766</v>
      </c>
      <c r="M30" s="115">
        <f t="shared" si="9"/>
        <v>7205384.7156594358</v>
      </c>
      <c r="N30" s="115">
        <f t="shared" si="9"/>
        <v>1990912.8383989283</v>
      </c>
      <c r="O30" s="115">
        <f t="shared" si="9"/>
        <v>1422797.4809288147</v>
      </c>
      <c r="P30" s="115">
        <f t="shared" si="9"/>
        <v>57098.97795142277</v>
      </c>
      <c r="Q30" s="115">
        <f t="shared" si="9"/>
        <v>856484.66927134153</v>
      </c>
      <c r="R30" s="115">
        <f t="shared" si="9"/>
        <v>1941365.2503483742</v>
      </c>
      <c r="S30" s="115">
        <f t="shared" si="9"/>
        <v>5624249.3282151427</v>
      </c>
      <c r="T30" s="115">
        <f t="shared" si="9"/>
        <v>742286.71336849604</v>
      </c>
      <c r="U30" s="115">
        <f t="shared" si="9"/>
        <v>256945.40078140245</v>
      </c>
      <c r="V30" s="115">
        <f t="shared" si="9"/>
        <v>713737.22439278464</v>
      </c>
      <c r="W30" s="115">
        <f t="shared" si="9"/>
        <v>428242.33463567076</v>
      </c>
      <c r="X30" s="115">
        <f t="shared" si="9"/>
        <v>3397389.1881096549</v>
      </c>
      <c r="Y30" s="115">
        <f t="shared" si="9"/>
        <v>0</v>
      </c>
      <c r="Z30" s="115">
        <f t="shared" si="9"/>
        <v>0</v>
      </c>
      <c r="AA30" s="115">
        <f t="shared" si="9"/>
        <v>913583.64722276432</v>
      </c>
      <c r="AB30" s="115">
        <f t="shared" si="9"/>
        <v>513890.8015628049</v>
      </c>
      <c r="AC30" s="115">
        <f t="shared" si="9"/>
        <v>2626552.9857654474</v>
      </c>
      <c r="AD30" s="115">
        <f t="shared" si="9"/>
        <v>656638.24644136184</v>
      </c>
      <c r="AE30" s="115">
        <f t="shared" si="9"/>
        <v>0</v>
      </c>
      <c r="AF30" s="115">
        <f t="shared" si="9"/>
        <v>0</v>
      </c>
      <c r="AG30" s="115">
        <f t="shared" si="9"/>
        <v>0</v>
      </c>
      <c r="AH30" s="115">
        <f t="shared" si="9"/>
        <v>0</v>
      </c>
      <c r="AI30" s="115">
        <f t="shared" si="9"/>
        <v>0</v>
      </c>
      <c r="AJ30" s="115">
        <f t="shared" si="9"/>
        <v>0</v>
      </c>
      <c r="AK30" s="115">
        <f t="shared" si="9"/>
        <v>0</v>
      </c>
      <c r="AL30" s="115">
        <f t="shared" si="9"/>
        <v>0</v>
      </c>
      <c r="AM30" s="115">
        <f t="shared" si="9"/>
        <v>0</v>
      </c>
      <c r="AN30" s="115">
        <f t="shared" si="9"/>
        <v>0</v>
      </c>
      <c r="AO30" s="115">
        <f t="shared" si="9"/>
        <v>0</v>
      </c>
      <c r="AP30" s="115">
        <f t="shared" ref="AP30" si="10">MAX(AP24, 0)</f>
        <v>0</v>
      </c>
      <c r="AQ30" s="115">
        <f t="shared" si="9"/>
        <v>0</v>
      </c>
      <c r="AR30" s="115">
        <f t="shared" ref="AR30" si="11">MAX(AR24, 0)</f>
        <v>0</v>
      </c>
      <c r="AS30" s="58"/>
      <c r="AT30" s="36"/>
    </row>
    <row r="31" spans="1:46" x14ac:dyDescent="0.35">
      <c r="A31" s="36"/>
      <c r="B31" s="36"/>
      <c r="C31" s="36"/>
      <c r="D31" s="36"/>
      <c r="E31" s="36"/>
      <c r="F31" s="36"/>
      <c r="G31" s="36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36"/>
    </row>
    <row r="32" spans="1:46" x14ac:dyDescent="0.35">
      <c r="A32" s="36"/>
      <c r="B32" s="36"/>
      <c r="C32" s="87" t="s">
        <v>705</v>
      </c>
      <c r="D32" s="87"/>
      <c r="E32" s="87"/>
      <c r="F32" s="87"/>
      <c r="G32" s="87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7"/>
    </row>
    <row r="33" spans="1:46" x14ac:dyDescent="0.35">
      <c r="A33" s="36"/>
      <c r="B33" s="36"/>
      <c r="C33" s="86"/>
      <c r="D33" s="86"/>
      <c r="E33" s="36"/>
      <c r="F33" s="36"/>
      <c r="G33" s="36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36"/>
    </row>
    <row r="34" spans="1:46" x14ac:dyDescent="0.35">
      <c r="A34" s="36"/>
      <c r="B34" s="36"/>
      <c r="C34" s="36"/>
      <c r="D34" s="86"/>
      <c r="E34" s="89" t="s">
        <v>706</v>
      </c>
      <c r="F34" s="36"/>
      <c r="G34" s="36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36"/>
    </row>
    <row r="35" spans="1:46" x14ac:dyDescent="0.35">
      <c r="A35" s="92"/>
      <c r="B35" s="36"/>
      <c r="C35" s="36"/>
      <c r="D35" s="36"/>
      <c r="E35" s="36"/>
      <c r="F35" s="90" t="s">
        <v>579</v>
      </c>
      <c r="G35" s="90" t="s">
        <v>434</v>
      </c>
      <c r="H35" s="114">
        <f>SUM(J27:AR27)</f>
        <v>71216824.816069588</v>
      </c>
      <c r="I35" s="112" t="s">
        <v>120</v>
      </c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58"/>
      <c r="AT35" s="92" t="s">
        <v>707</v>
      </c>
    </row>
    <row r="36" spans="1:46" x14ac:dyDescent="0.35">
      <c r="A36" s="92"/>
      <c r="B36" s="36"/>
      <c r="C36" s="36"/>
      <c r="D36" s="36"/>
      <c r="E36" s="36"/>
      <c r="F36" s="92" t="s">
        <v>584</v>
      </c>
      <c r="G36" s="92" t="s">
        <v>434</v>
      </c>
      <c r="H36" s="101">
        <f>SUM(J28:AR28)</f>
        <v>54348998.045572601</v>
      </c>
      <c r="I36" s="112" t="s">
        <v>120</v>
      </c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58"/>
      <c r="AT36" s="92" t="s">
        <v>708</v>
      </c>
    </row>
    <row r="37" spans="1:46" x14ac:dyDescent="0.35">
      <c r="A37" s="92"/>
      <c r="B37" s="36"/>
      <c r="C37" s="36"/>
      <c r="D37" s="36"/>
      <c r="E37" s="36"/>
      <c r="F37" s="92" t="s">
        <v>581</v>
      </c>
      <c r="G37" s="92" t="s">
        <v>434</v>
      </c>
      <c r="H37" s="101">
        <f>SUM(J29:AR29)</f>
        <v>46231546.405427016</v>
      </c>
      <c r="I37" s="112" t="s">
        <v>120</v>
      </c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101"/>
      <c r="AR37" s="101"/>
      <c r="AS37" s="58"/>
      <c r="AT37" s="92" t="s">
        <v>709</v>
      </c>
    </row>
    <row r="38" spans="1:46" x14ac:dyDescent="0.35">
      <c r="A38" s="92"/>
      <c r="B38" s="36"/>
      <c r="C38" s="36"/>
      <c r="D38" s="36"/>
      <c r="E38" s="36"/>
      <c r="F38" s="94" t="s">
        <v>582</v>
      </c>
      <c r="G38" s="94" t="s">
        <v>434</v>
      </c>
      <c r="H38" s="115">
        <f>SUM(J30:AR30)</f>
        <v>46548709.603675179</v>
      </c>
      <c r="I38" s="112" t="s">
        <v>120</v>
      </c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  <c r="AR38" s="101"/>
      <c r="AS38" s="58"/>
      <c r="AT38" s="92" t="s">
        <v>709</v>
      </c>
    </row>
    <row r="39" spans="1:46" x14ac:dyDescent="0.35">
      <c r="A39" s="36"/>
      <c r="B39" s="36"/>
      <c r="C39" s="36"/>
      <c r="D39" s="36"/>
      <c r="E39" s="36"/>
      <c r="F39" s="36"/>
      <c r="G39" s="36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36"/>
    </row>
    <row r="40" spans="1:46" x14ac:dyDescent="0.35">
      <c r="A40" s="36"/>
      <c r="B40" s="36"/>
      <c r="C40" s="36"/>
      <c r="D40" s="36"/>
      <c r="E40" s="92" t="str">
        <f>'Fixed inputs'!E$141</f>
        <v>Direct cost indicator, by cost category</v>
      </c>
      <c r="F40" s="36"/>
      <c r="G40" s="92" t="str">
        <f>'Fixed inputs'!G$142</f>
        <v>flag</v>
      </c>
      <c r="H40" s="107"/>
      <c r="I40" s="107"/>
      <c r="J40" s="152">
        <f t="array" ref="J40:AR40">TRANSPOSE('Fixed inputs'!H142:H176)</f>
        <v>1</v>
      </c>
      <c r="K40" s="152">
        <v>1</v>
      </c>
      <c r="L40" s="152">
        <v>1</v>
      </c>
      <c r="M40" s="152">
        <v>1</v>
      </c>
      <c r="N40" s="152">
        <v>1</v>
      </c>
      <c r="O40" s="152">
        <v>1</v>
      </c>
      <c r="P40" s="152">
        <v>0</v>
      </c>
      <c r="Q40" s="152">
        <v>0</v>
      </c>
      <c r="R40" s="152">
        <v>0</v>
      </c>
      <c r="S40" s="152">
        <v>0</v>
      </c>
      <c r="T40" s="152">
        <v>0</v>
      </c>
      <c r="U40" s="152">
        <v>0</v>
      </c>
      <c r="V40" s="152">
        <v>0</v>
      </c>
      <c r="W40" s="152">
        <v>0</v>
      </c>
      <c r="X40" s="152">
        <v>0</v>
      </c>
      <c r="Y40" s="152">
        <v>0</v>
      </c>
      <c r="Z40" s="152">
        <v>0</v>
      </c>
      <c r="AA40" s="152">
        <v>0</v>
      </c>
      <c r="AB40" s="152">
        <v>0</v>
      </c>
      <c r="AC40" s="152">
        <v>0</v>
      </c>
      <c r="AD40" s="152">
        <v>0</v>
      </c>
      <c r="AE40" s="152">
        <v>1</v>
      </c>
      <c r="AF40" s="152">
        <v>1</v>
      </c>
      <c r="AG40" s="152">
        <v>1</v>
      </c>
      <c r="AH40" s="152">
        <v>1</v>
      </c>
      <c r="AI40" s="152">
        <v>1</v>
      </c>
      <c r="AJ40" s="152">
        <v>1</v>
      </c>
      <c r="AK40" s="152">
        <v>1</v>
      </c>
      <c r="AL40" s="152">
        <v>1</v>
      </c>
      <c r="AM40" s="152">
        <v>1</v>
      </c>
      <c r="AN40" s="152">
        <v>1</v>
      </c>
      <c r="AO40" s="152">
        <v>1</v>
      </c>
      <c r="AP40" s="152">
        <v>0</v>
      </c>
      <c r="AQ40" s="152">
        <v>1</v>
      </c>
      <c r="AR40" s="152">
        <v>0</v>
      </c>
      <c r="AS40" s="58"/>
      <c r="AT40" s="36"/>
    </row>
    <row r="41" spans="1:46" x14ac:dyDescent="0.35">
      <c r="A41" s="36"/>
      <c r="B41" s="36"/>
      <c r="C41" s="36"/>
      <c r="D41" s="36"/>
      <c r="E41" s="86"/>
      <c r="F41" s="36"/>
      <c r="G41" s="36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36"/>
    </row>
    <row r="42" spans="1:46" x14ac:dyDescent="0.35">
      <c r="A42" s="36"/>
      <c r="B42" s="36"/>
      <c r="C42" s="36"/>
      <c r="D42" s="36"/>
      <c r="E42" s="89" t="s">
        <v>710</v>
      </c>
      <c r="F42" s="36"/>
      <c r="G42" s="36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36"/>
    </row>
    <row r="43" spans="1:46" x14ac:dyDescent="0.35">
      <c r="A43" s="92"/>
      <c r="B43" s="36"/>
      <c r="C43" s="36"/>
      <c r="D43" s="36"/>
      <c r="E43" s="36"/>
      <c r="F43" s="90" t="s">
        <v>579</v>
      </c>
      <c r="G43" s="90" t="s">
        <v>434</v>
      </c>
      <c r="H43" s="114">
        <f>SUMPRODUCT(J27:AR27, J$40:AR$40)</f>
        <v>59265769.810394228</v>
      </c>
      <c r="I43" s="112" t="s">
        <v>120</v>
      </c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1"/>
      <c r="AO43" s="101"/>
      <c r="AP43" s="101"/>
      <c r="AQ43" s="101"/>
      <c r="AR43" s="101"/>
      <c r="AS43" s="58"/>
      <c r="AT43" s="92" t="s">
        <v>707</v>
      </c>
    </row>
    <row r="44" spans="1:46" x14ac:dyDescent="0.35">
      <c r="A44" s="92"/>
      <c r="B44" s="36"/>
      <c r="C44" s="36"/>
      <c r="D44" s="36"/>
      <c r="E44" s="36"/>
      <c r="F44" s="92" t="s">
        <v>584</v>
      </c>
      <c r="G44" s="92" t="s">
        <v>434</v>
      </c>
      <c r="H44" s="101">
        <f t="shared" ref="H44:H46" si="12">SUMPRODUCT(J28:AR28, J$40:AR$40)</f>
        <v>40398066.388192698</v>
      </c>
      <c r="I44" s="112" t="s">
        <v>120</v>
      </c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101"/>
      <c r="AQ44" s="101"/>
      <c r="AR44" s="101"/>
      <c r="AS44" s="58"/>
      <c r="AT44" s="92" t="s">
        <v>708</v>
      </c>
    </row>
    <row r="45" spans="1:46" x14ac:dyDescent="0.35">
      <c r="A45" s="92"/>
      <c r="B45" s="36"/>
      <c r="C45" s="36"/>
      <c r="D45" s="36"/>
      <c r="E45" s="36"/>
      <c r="F45" s="92" t="s">
        <v>581</v>
      </c>
      <c r="G45" s="92" t="s">
        <v>434</v>
      </c>
      <c r="H45" s="101">
        <f t="shared" si="12"/>
        <v>22243820.010007478</v>
      </c>
      <c r="I45" s="112" t="s">
        <v>120</v>
      </c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101"/>
      <c r="AQ45" s="101"/>
      <c r="AR45" s="101"/>
      <c r="AS45" s="58"/>
      <c r="AT45" s="92" t="s">
        <v>709</v>
      </c>
    </row>
    <row r="46" spans="1:46" x14ac:dyDescent="0.35">
      <c r="A46" s="92"/>
      <c r="B46" s="36"/>
      <c r="C46" s="36"/>
      <c r="D46" s="36"/>
      <c r="E46" s="36"/>
      <c r="F46" s="94" t="s">
        <v>582</v>
      </c>
      <c r="G46" s="94" t="s">
        <v>434</v>
      </c>
      <c r="H46" s="115">
        <f t="shared" si="12"/>
        <v>27820244.835608497</v>
      </c>
      <c r="I46" s="112" t="s">
        <v>120</v>
      </c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  <c r="AN46" s="101"/>
      <c r="AO46" s="101"/>
      <c r="AP46" s="101"/>
      <c r="AQ46" s="101"/>
      <c r="AR46" s="101"/>
      <c r="AS46" s="58"/>
      <c r="AT46" s="92" t="s">
        <v>709</v>
      </c>
    </row>
    <row r="47" spans="1:46" x14ac:dyDescent="0.35">
      <c r="A47" s="36"/>
      <c r="B47" s="36"/>
      <c r="C47" s="36"/>
      <c r="D47" s="36"/>
      <c r="E47" s="36"/>
      <c r="F47" s="36"/>
      <c r="G47" s="36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36"/>
    </row>
    <row r="48" spans="1:46" x14ac:dyDescent="0.35">
      <c r="A48" s="36"/>
      <c r="B48" s="36"/>
      <c r="C48" s="36"/>
      <c r="D48" s="36"/>
      <c r="E48" s="89" t="s">
        <v>711</v>
      </c>
      <c r="F48" s="36"/>
      <c r="G48" s="36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36"/>
    </row>
    <row r="49" spans="1:46" x14ac:dyDescent="0.35">
      <c r="A49" s="36"/>
      <c r="B49" s="36"/>
      <c r="C49" s="36"/>
      <c r="D49" s="36"/>
      <c r="E49" s="36"/>
      <c r="F49" s="90" t="s">
        <v>579</v>
      </c>
      <c r="G49" s="90" t="s">
        <v>502</v>
      </c>
      <c r="H49" s="114" t="b">
        <f>H43 &gt; 0</f>
        <v>1</v>
      </c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101"/>
      <c r="AQ49" s="101"/>
      <c r="AR49" s="101"/>
      <c r="AS49" s="58"/>
      <c r="AT49" s="36"/>
    </row>
    <row r="50" spans="1:46" x14ac:dyDescent="0.35">
      <c r="A50" s="36"/>
      <c r="B50" s="36"/>
      <c r="C50" s="36"/>
      <c r="D50" s="36"/>
      <c r="E50" s="36"/>
      <c r="F50" s="92" t="s">
        <v>584</v>
      </c>
      <c r="G50" s="92" t="s">
        <v>502</v>
      </c>
      <c r="H50" s="101" t="b">
        <f>H44 &gt; 0</f>
        <v>1</v>
      </c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101"/>
      <c r="AQ50" s="101"/>
      <c r="AR50" s="101"/>
      <c r="AS50" s="58"/>
      <c r="AT50" s="36"/>
    </row>
    <row r="51" spans="1:46" x14ac:dyDescent="0.35">
      <c r="A51" s="36"/>
      <c r="B51" s="36"/>
      <c r="C51" s="36"/>
      <c r="D51" s="36"/>
      <c r="E51" s="36"/>
      <c r="F51" s="94" t="s">
        <v>712</v>
      </c>
      <c r="G51" s="94" t="s">
        <v>502</v>
      </c>
      <c r="H51" s="125" t="b">
        <f>H45 + H46 &gt; 0</f>
        <v>1</v>
      </c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1"/>
      <c r="AP51" s="101"/>
      <c r="AQ51" s="101"/>
      <c r="AR51" s="101"/>
      <c r="AS51" s="58"/>
      <c r="AT51" s="36"/>
    </row>
    <row r="52" spans="1:46" x14ac:dyDescent="0.35">
      <c r="A52" s="36"/>
      <c r="B52" s="36"/>
      <c r="C52" s="36"/>
      <c r="D52" s="36"/>
      <c r="E52" s="36"/>
      <c r="F52" s="36"/>
      <c r="G52" s="36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36"/>
    </row>
    <row r="53" spans="1:46" x14ac:dyDescent="0.35">
      <c r="A53" s="36"/>
      <c r="B53" s="36"/>
      <c r="C53" s="36"/>
      <c r="D53" s="36"/>
      <c r="E53" s="92" t="s">
        <v>713</v>
      </c>
      <c r="F53" s="36"/>
      <c r="G53" s="92" t="s">
        <v>73</v>
      </c>
      <c r="H53" s="107">
        <f>COUNTIF(H49:H51, "=FALSE")</f>
        <v>0</v>
      </c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58"/>
      <c r="AT53" s="36"/>
    </row>
    <row r="54" spans="1:46" x14ac:dyDescent="0.35">
      <c r="A54" s="36"/>
      <c r="B54" s="36"/>
      <c r="C54" s="36"/>
      <c r="D54" s="36"/>
      <c r="E54" s="86"/>
      <c r="F54" s="36"/>
      <c r="G54" s="36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36"/>
    </row>
    <row r="55" spans="1:46" x14ac:dyDescent="0.35">
      <c r="A55" s="36"/>
      <c r="B55" s="36"/>
      <c r="C55" s="36"/>
      <c r="D55" s="36"/>
      <c r="E55" s="89" t="s">
        <v>698</v>
      </c>
      <c r="F55" s="36"/>
      <c r="G55" s="36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36"/>
    </row>
    <row r="56" spans="1:46" x14ac:dyDescent="0.35">
      <c r="A56" s="92"/>
      <c r="B56" s="36"/>
      <c r="C56" s="36"/>
      <c r="D56" s="36"/>
      <c r="E56" s="36"/>
      <c r="F56" s="90" t="s">
        <v>714</v>
      </c>
      <c r="G56" s="90" t="s">
        <v>119</v>
      </c>
      <c r="H56" s="120">
        <f>IF(H49, H43 / H35, 0)</f>
        <v>0.832187758489077</v>
      </c>
      <c r="I56" s="102" t="s">
        <v>120</v>
      </c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  <c r="AS56" s="58"/>
      <c r="AT56" s="92" t="s">
        <v>707</v>
      </c>
    </row>
    <row r="57" spans="1:46" x14ac:dyDescent="0.35">
      <c r="A57" s="92"/>
      <c r="B57" s="36"/>
      <c r="C57" s="36"/>
      <c r="D57" s="36"/>
      <c r="E57" s="36"/>
      <c r="F57" s="92" t="s">
        <v>715</v>
      </c>
      <c r="G57" s="92" t="s">
        <v>119</v>
      </c>
      <c r="H57" s="121">
        <f>IF(H50, H44 / H36, 0)</f>
        <v>0.74330839281191907</v>
      </c>
      <c r="I57" s="102" t="s">
        <v>120</v>
      </c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  <c r="AJ57" s="106"/>
      <c r="AK57" s="106"/>
      <c r="AL57" s="106"/>
      <c r="AM57" s="106"/>
      <c r="AN57" s="106"/>
      <c r="AO57" s="106"/>
      <c r="AP57" s="106"/>
      <c r="AQ57" s="106"/>
      <c r="AR57" s="106"/>
      <c r="AS57" s="58"/>
      <c r="AT57" s="92" t="s">
        <v>708</v>
      </c>
    </row>
    <row r="58" spans="1:46" x14ac:dyDescent="0.35">
      <c r="A58" s="92"/>
      <c r="B58" s="36"/>
      <c r="C58" s="36"/>
      <c r="D58" s="36"/>
      <c r="E58" s="36"/>
      <c r="F58" s="94" t="s">
        <v>716</v>
      </c>
      <c r="G58" s="94" t="s">
        <v>119</v>
      </c>
      <c r="H58" s="153">
        <f>IF(H51, (H45 + H46) / (H37 + H38), 0)</f>
        <v>0.53959826151702417</v>
      </c>
      <c r="I58" s="102" t="s">
        <v>120</v>
      </c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58"/>
      <c r="AT58" s="92" t="s">
        <v>709</v>
      </c>
    </row>
    <row r="59" spans="1:46" x14ac:dyDescent="0.35">
      <c r="A59" s="36"/>
      <c r="B59" s="36"/>
      <c r="C59" s="36"/>
      <c r="D59" s="36"/>
      <c r="E59" s="36"/>
      <c r="F59" s="36"/>
      <c r="G59" s="36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36"/>
    </row>
    <row r="60" spans="1:46" x14ac:dyDescent="0.35">
      <c r="A60" s="36"/>
      <c r="B60" s="84" t="s">
        <v>535</v>
      </c>
      <c r="C60" s="84"/>
      <c r="D60" s="84"/>
      <c r="E60" s="84"/>
      <c r="F60" s="84"/>
      <c r="G60" s="84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4"/>
    </row>
    <row r="61" spans="1:46" x14ac:dyDescent="0.35">
      <c r="A61" s="36"/>
      <c r="B61" s="36"/>
      <c r="C61" s="36"/>
      <c r="D61" s="36"/>
      <c r="E61" s="36"/>
      <c r="F61" s="36"/>
      <c r="G61" s="36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36"/>
    </row>
    <row r="62" spans="1:46" x14ac:dyDescent="0.35">
      <c r="A62" s="36"/>
      <c r="B62" s="36"/>
      <c r="C62" s="86"/>
      <c r="D62" s="86"/>
      <c r="E62" s="92" t="s">
        <v>496</v>
      </c>
      <c r="F62" s="36"/>
      <c r="G62" s="92" t="s">
        <v>73</v>
      </c>
      <c r="H62" s="126">
        <f>H53</f>
        <v>0</v>
      </c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58"/>
      <c r="AT62" s="36"/>
    </row>
    <row r="63" spans="1:46" x14ac:dyDescent="0.35">
      <c r="A63" s="36"/>
      <c r="B63" s="36"/>
      <c r="C63" s="36"/>
      <c r="D63" s="36"/>
      <c r="E63" s="86"/>
      <c r="F63" s="36"/>
      <c r="G63" s="36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36"/>
    </row>
    <row r="64" spans="1:46" x14ac:dyDescent="0.35">
      <c r="A64" s="36"/>
      <c r="B64" s="84" t="s">
        <v>87</v>
      </c>
      <c r="C64" s="84"/>
      <c r="D64" s="84"/>
      <c r="E64" s="84"/>
      <c r="F64" s="84"/>
      <c r="G64" s="84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  <c r="AS64" s="85"/>
      <c r="AT64" s="84"/>
    </row>
  </sheetData>
  <sheetProtection sheet="1" formatCells="0" formatColumns="0" formatRows="0" sort="0" autoFilter="0"/>
  <dataConsolidate/>
  <conditionalFormatting sqref="H53">
    <cfRule type="cellIs" dxfId="11" priority="4" stopIfTrue="1" operator="greaterThan">
      <formula>0</formula>
    </cfRule>
  </conditionalFormatting>
  <conditionalFormatting sqref="H62">
    <cfRule type="cellIs" dxfId="10" priority="5" stopIfTrue="1" operator="greaterThan">
      <formula>0</formula>
    </cfRule>
  </conditionalFormatting>
  <conditionalFormatting sqref="A4:AO4 AQ4 AS4:XFD4">
    <cfRule type="expression" dxfId="9" priority="3">
      <formula>LEFT($A$4,1) &lt;&gt; "0"</formula>
    </cfRule>
  </conditionalFormatting>
  <conditionalFormatting sqref="AP4">
    <cfRule type="expression" dxfId="8" priority="2">
      <formula>LEFT($A$4,1) &lt;&gt; "0"</formula>
    </cfRule>
  </conditionalFormatting>
  <conditionalFormatting sqref="AR4">
    <cfRule type="expression" dxfId="7" priority="1">
      <formula>LEFT($A$4,1) &lt;&gt; "0"</formula>
    </cfRule>
  </conditionalFormatting>
  <hyperlinks>
    <hyperlink ref="B5" location="'Model map'!A1" display="Click here to return to model map" xr:uid="{82DD2133-1792-45F5-ABF9-BCBFAA6DC862}"/>
    <hyperlink ref="B5:F5" location="'Model map'!A4" tooltip="Click to return to model map" display="'Model map'!A4" xr:uid="{E7E4B77D-D701-4127-B2FF-A83313EB2317}"/>
    <hyperlink ref="B5:H5" location="'Model map'!A4" tooltip="Click to return to model map" display="'Model map'!A4" xr:uid="{6E7AD475-6B53-498E-894B-1882DDF736B8}"/>
    <hyperlink ref="A1" location="Index!A1" display="Index!A1" xr:uid="{B8AA3CEA-FD41-4C2F-B661-82A555C2472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13" width="20.7265625" customWidth="1"/>
    <col min="14" max="14" width="2.7265625" customWidth="1"/>
    <col min="15" max="15" width="40.7265625" customWidth="1"/>
    <col min="16" max="16" width="2.7265625" customWidth="1"/>
    <col min="17" max="16384" width="9.1796875" hidden="1"/>
  </cols>
  <sheetData>
    <row r="1" spans="1:16" x14ac:dyDescent="0.35">
      <c r="A1" s="74" t="str">
        <f ca="1">MID(CELL("filename",A1),FIND("]",CELL("filename",A1))+1,255)</f>
        <v>EDCM discounts</v>
      </c>
      <c r="B1" s="74"/>
      <c r="C1" s="74"/>
      <c r="D1" s="74"/>
      <c r="E1" s="74"/>
      <c r="F1" s="74"/>
      <c r="G1" s="74"/>
      <c r="H1" s="75"/>
      <c r="I1" s="75"/>
      <c r="J1" s="75"/>
      <c r="K1" s="75"/>
      <c r="L1" s="75"/>
      <c r="M1" s="75"/>
      <c r="N1" s="75"/>
      <c r="O1" s="74"/>
      <c r="P1" s="2"/>
    </row>
    <row r="2" spans="1:16" x14ac:dyDescent="0.35">
      <c r="A2" s="74" t="str">
        <f>Cover!D21&amp;" - "&amp;Cover!D23</f>
        <v>Southern Electric Power Distribution - Final</v>
      </c>
      <c r="B2" s="74"/>
      <c r="C2" s="74"/>
      <c r="D2" s="74"/>
      <c r="E2" s="74"/>
      <c r="F2" s="74"/>
      <c r="G2" s="74"/>
      <c r="H2" s="75"/>
      <c r="I2" s="75"/>
      <c r="J2" s="75"/>
      <c r="K2" s="75"/>
      <c r="L2" s="75"/>
      <c r="M2" s="75"/>
      <c r="N2" s="75"/>
      <c r="O2" s="74"/>
      <c r="P2" s="2"/>
    </row>
    <row r="3" spans="1:16" x14ac:dyDescent="0.35">
      <c r="A3" s="76" t="str">
        <f>Cover!D2&amp;" - "&amp;Cover!D8&amp;" v"&amp;Cover!D10&amp;" - "&amp;Cover!D19</f>
        <v>PCDM charging model - Release for charge setting v5 - 2024/25</v>
      </c>
      <c r="B3" s="77"/>
      <c r="C3" s="77"/>
      <c r="D3" s="77"/>
      <c r="E3" s="77"/>
      <c r="F3" s="77"/>
      <c r="G3" s="77"/>
      <c r="H3" s="78"/>
      <c r="I3" s="78"/>
      <c r="J3" s="78"/>
      <c r="K3" s="78"/>
      <c r="L3" s="78"/>
      <c r="M3" s="78"/>
      <c r="N3" s="78"/>
      <c r="O3" s="77"/>
      <c r="P3" s="3"/>
    </row>
    <row r="4" spans="1:16" x14ac:dyDescent="0.35">
      <c r="A4" s="57" t="str">
        <f>H113 &amp; IF(H113 = 1, " issue", " issues") &amp;" identified in checks on this sheet"</f>
        <v>0 issues identified in checks on this sheet</v>
      </c>
      <c r="B4" s="36"/>
      <c r="C4" s="36"/>
      <c r="D4" s="36"/>
      <c r="E4" s="36"/>
      <c r="F4" s="36"/>
      <c r="G4" s="36"/>
      <c r="H4" s="58"/>
      <c r="I4" s="58"/>
      <c r="J4" s="36"/>
    </row>
    <row r="5" spans="1:16" ht="29" x14ac:dyDescent="0.35">
      <c r="A5" s="36"/>
      <c r="B5" s="79" t="s">
        <v>104</v>
      </c>
      <c r="C5" s="42"/>
      <c r="D5" s="42"/>
      <c r="E5" s="42"/>
      <c r="F5" s="42"/>
      <c r="G5" s="80" t="s">
        <v>105</v>
      </c>
      <c r="H5" s="100" t="s">
        <v>106</v>
      </c>
      <c r="I5" s="58"/>
      <c r="J5" s="81" t="s">
        <v>311</v>
      </c>
      <c r="K5" s="81" t="s">
        <v>312</v>
      </c>
      <c r="L5" s="81" t="s">
        <v>313</v>
      </c>
      <c r="M5" s="81" t="s">
        <v>314</v>
      </c>
      <c r="N5" s="58"/>
      <c r="O5" s="80" t="s">
        <v>107</v>
      </c>
    </row>
    <row r="6" spans="1:16" x14ac:dyDescent="0.35">
      <c r="A6" s="36"/>
      <c r="B6" s="36"/>
      <c r="C6" s="36"/>
      <c r="D6" s="36"/>
      <c r="E6" s="36"/>
      <c r="F6" s="36"/>
      <c r="G6" s="36"/>
      <c r="H6" s="58"/>
      <c r="I6" s="58"/>
      <c r="J6" s="58"/>
      <c r="K6" s="58"/>
      <c r="L6" s="58"/>
      <c r="M6" s="58"/>
      <c r="N6" s="58"/>
      <c r="O6" s="36"/>
    </row>
    <row r="7" spans="1:16" x14ac:dyDescent="0.35">
      <c r="A7" s="36"/>
      <c r="B7" s="84" t="s">
        <v>13</v>
      </c>
      <c r="C7" s="84"/>
      <c r="D7" s="84"/>
      <c r="E7" s="84"/>
      <c r="F7" s="84"/>
      <c r="G7" s="84"/>
      <c r="H7" s="85"/>
      <c r="I7" s="85"/>
      <c r="J7" s="85"/>
      <c r="K7" s="85"/>
      <c r="L7" s="85"/>
      <c r="M7" s="85"/>
      <c r="N7" s="85"/>
      <c r="O7" s="84"/>
    </row>
    <row r="8" spans="1:16" x14ac:dyDescent="0.35">
      <c r="A8" s="36"/>
      <c r="B8" s="36"/>
      <c r="C8" s="36"/>
      <c r="D8" s="36"/>
      <c r="E8" s="36"/>
      <c r="F8" s="36"/>
      <c r="G8" s="36"/>
      <c r="H8" s="58"/>
      <c r="I8" s="58"/>
      <c r="J8" s="58"/>
      <c r="K8" s="58"/>
      <c r="L8" s="58"/>
      <c r="M8" s="58"/>
      <c r="N8" s="58"/>
      <c r="O8" s="36"/>
    </row>
    <row r="9" spans="1:16" x14ac:dyDescent="0.35">
      <c r="A9" s="36"/>
      <c r="B9" s="36"/>
      <c r="C9" s="86" t="s">
        <v>717</v>
      </c>
      <c r="D9" s="86"/>
      <c r="E9" s="36"/>
      <c r="F9" s="36"/>
      <c r="G9" s="36"/>
      <c r="H9" s="58"/>
      <c r="I9" s="58"/>
      <c r="J9" s="58"/>
      <c r="K9" s="58"/>
      <c r="L9" s="58"/>
      <c r="M9" s="58"/>
      <c r="N9" s="58"/>
      <c r="O9" s="36"/>
    </row>
    <row r="10" spans="1:16" x14ac:dyDescent="0.35">
      <c r="A10" s="36"/>
      <c r="B10" s="36"/>
      <c r="C10" s="86"/>
      <c r="D10" s="86"/>
      <c r="E10" s="36"/>
      <c r="F10" s="36"/>
      <c r="G10" s="36"/>
      <c r="H10" s="58"/>
      <c r="I10" s="58"/>
      <c r="J10" s="58"/>
      <c r="K10" s="58"/>
      <c r="L10" s="58"/>
      <c r="M10" s="58"/>
      <c r="N10" s="58"/>
      <c r="O10" s="36"/>
    </row>
    <row r="11" spans="1:16" x14ac:dyDescent="0.35">
      <c r="A11" s="36"/>
      <c r="B11" s="84" t="s">
        <v>718</v>
      </c>
      <c r="C11" s="84"/>
      <c r="D11" s="84"/>
      <c r="E11" s="84"/>
      <c r="F11" s="84"/>
      <c r="G11" s="84"/>
      <c r="H11" s="85"/>
      <c r="I11" s="85"/>
      <c r="J11" s="85"/>
      <c r="K11" s="85"/>
      <c r="L11" s="85"/>
      <c r="M11" s="85"/>
      <c r="N11" s="85"/>
      <c r="O11" s="84"/>
    </row>
    <row r="12" spans="1:16" x14ac:dyDescent="0.35">
      <c r="A12" s="36"/>
      <c r="B12" s="36"/>
      <c r="C12" s="36"/>
      <c r="D12" s="36"/>
      <c r="E12" s="36"/>
      <c r="F12" s="36"/>
      <c r="G12" s="36"/>
      <c r="H12" s="58"/>
      <c r="I12" s="58"/>
      <c r="J12" s="58"/>
      <c r="K12" s="58"/>
      <c r="L12" s="58"/>
      <c r="M12" s="58"/>
      <c r="N12" s="58"/>
      <c r="O12" s="36"/>
    </row>
    <row r="13" spans="1:16" x14ac:dyDescent="0.35">
      <c r="A13" s="36"/>
      <c r="B13" s="36"/>
      <c r="C13" s="86" t="s">
        <v>719</v>
      </c>
      <c r="D13" s="86"/>
      <c r="E13" s="36"/>
      <c r="F13" s="36"/>
      <c r="G13" s="36"/>
      <c r="H13" s="58"/>
      <c r="I13" s="58"/>
      <c r="J13" s="58"/>
      <c r="K13" s="58"/>
      <c r="L13" s="58"/>
      <c r="M13" s="58"/>
      <c r="N13" s="58"/>
      <c r="O13" s="36"/>
    </row>
    <row r="14" spans="1:16" x14ac:dyDescent="0.35">
      <c r="A14" s="36"/>
      <c r="B14" s="36"/>
      <c r="C14" s="86" t="s">
        <v>720</v>
      </c>
      <c r="D14" s="86"/>
      <c r="E14" s="36"/>
      <c r="F14" s="36"/>
      <c r="G14" s="36"/>
      <c r="H14" s="58"/>
      <c r="I14" s="58"/>
      <c r="J14" s="58"/>
      <c r="K14" s="58"/>
      <c r="L14" s="58"/>
      <c r="M14" s="58"/>
      <c r="N14" s="58"/>
      <c r="O14" s="36"/>
    </row>
    <row r="15" spans="1:16" x14ac:dyDescent="0.35">
      <c r="A15" s="36"/>
      <c r="B15" s="36"/>
      <c r="C15" s="86"/>
      <c r="D15" s="86"/>
      <c r="E15" s="36"/>
      <c r="F15" s="36"/>
      <c r="G15" s="36"/>
      <c r="H15" s="58"/>
      <c r="I15" s="58"/>
      <c r="J15" s="58"/>
      <c r="K15" s="58"/>
      <c r="L15" s="58"/>
      <c r="M15" s="58"/>
      <c r="N15" s="58"/>
      <c r="O15" s="36"/>
    </row>
    <row r="16" spans="1:16" x14ac:dyDescent="0.35">
      <c r="A16" s="36"/>
      <c r="B16" s="36"/>
      <c r="C16" s="87" t="s">
        <v>721</v>
      </c>
      <c r="D16" s="87"/>
      <c r="E16" s="87"/>
      <c r="F16" s="87"/>
      <c r="G16" s="87"/>
      <c r="H16" s="88"/>
      <c r="I16" s="88"/>
      <c r="J16" s="88"/>
      <c r="K16" s="88"/>
      <c r="L16" s="88"/>
      <c r="M16" s="88"/>
      <c r="N16" s="88"/>
      <c r="O16" s="87"/>
    </row>
    <row r="17" spans="1:15" x14ac:dyDescent="0.35">
      <c r="A17" s="36"/>
      <c r="B17" s="36"/>
      <c r="C17" s="86"/>
      <c r="D17" s="86"/>
      <c r="E17" s="36"/>
      <c r="F17" s="36"/>
      <c r="G17" s="36"/>
      <c r="H17" s="58"/>
      <c r="I17" s="58"/>
      <c r="J17" s="58"/>
      <c r="K17" s="58"/>
      <c r="L17" s="58"/>
      <c r="M17" s="58"/>
      <c r="N17" s="58"/>
      <c r="O17" s="36"/>
    </row>
    <row r="18" spans="1:15" x14ac:dyDescent="0.35">
      <c r="A18" s="36"/>
      <c r="B18" s="36"/>
      <c r="C18" s="36"/>
      <c r="D18" s="36"/>
      <c r="E18" s="89" t="str">
        <f>'Rev allocation'!E177</f>
        <v>Allocation (EDCM), by network level (re-ordered)</v>
      </c>
      <c r="F18" s="36"/>
      <c r="G18" s="36"/>
      <c r="H18" s="58"/>
      <c r="I18" s="58"/>
      <c r="J18" s="58"/>
      <c r="K18" s="58"/>
      <c r="L18" s="58"/>
      <c r="M18" s="58"/>
      <c r="N18" s="58"/>
      <c r="O18" s="36"/>
    </row>
    <row r="19" spans="1:15" x14ac:dyDescent="0.35">
      <c r="A19" s="36"/>
      <c r="B19" s="36"/>
      <c r="C19" s="36"/>
      <c r="D19" s="36"/>
      <c r="E19" s="36"/>
      <c r="F19" s="90" t="str">
        <f>'Rev allocation'!F178</f>
        <v>132kV</v>
      </c>
      <c r="G19" s="90" t="str">
        <f>'Rev allocation'!G178</f>
        <v>%</v>
      </c>
      <c r="H19" s="132">
        <f>'Rev allocation'!H178</f>
        <v>0.11942406620655806</v>
      </c>
      <c r="I19" s="106"/>
      <c r="J19" s="106"/>
      <c r="K19" s="106"/>
      <c r="L19" s="106"/>
      <c r="M19" s="106"/>
      <c r="N19" s="58"/>
      <c r="O19" s="36"/>
    </row>
    <row r="20" spans="1:15" x14ac:dyDescent="0.35">
      <c r="A20" s="36"/>
      <c r="B20" s="36"/>
      <c r="C20" s="36"/>
      <c r="D20" s="36"/>
      <c r="E20" s="36"/>
      <c r="F20" s="92" t="str">
        <f>'Rev allocation'!F179</f>
        <v>132kV/EHV</v>
      </c>
      <c r="G20" s="92" t="str">
        <f>'Rev allocation'!G179</f>
        <v>%</v>
      </c>
      <c r="H20" s="130">
        <f>'Rev allocation'!H179</f>
        <v>3.2915485499025322E-2</v>
      </c>
      <c r="I20" s="106"/>
      <c r="J20" s="106"/>
      <c r="K20" s="106"/>
      <c r="L20" s="106"/>
      <c r="M20" s="106"/>
      <c r="N20" s="58"/>
      <c r="O20" s="36"/>
    </row>
    <row r="21" spans="1:15" x14ac:dyDescent="0.35">
      <c r="A21" s="36"/>
      <c r="B21" s="36"/>
      <c r="C21" s="36"/>
      <c r="D21" s="36"/>
      <c r="E21" s="36"/>
      <c r="F21" s="92" t="str">
        <f>'Rev allocation'!F180</f>
        <v>EHV</v>
      </c>
      <c r="G21" s="92" t="str">
        <f>'Rev allocation'!G180</f>
        <v>%</v>
      </c>
      <c r="H21" s="130">
        <f>'Rev allocation'!H180</f>
        <v>7.7692526903907891E-2</v>
      </c>
      <c r="I21" s="106"/>
      <c r="J21" s="106"/>
      <c r="K21" s="106"/>
      <c r="L21" s="106"/>
      <c r="M21" s="106"/>
      <c r="N21" s="58"/>
      <c r="O21" s="36"/>
    </row>
    <row r="22" spans="1:15" x14ac:dyDescent="0.35">
      <c r="A22" s="36"/>
      <c r="B22" s="36"/>
      <c r="C22" s="36"/>
      <c r="D22" s="36"/>
      <c r="E22" s="36"/>
      <c r="F22" s="92" t="str">
        <f>'Rev allocation'!F181</f>
        <v>EHV/HV</v>
      </c>
      <c r="G22" s="92" t="str">
        <f>'Rev allocation'!G181</f>
        <v>%</v>
      </c>
      <c r="H22" s="130">
        <f>'Rev allocation'!H181</f>
        <v>6.1030259816156708E-2</v>
      </c>
      <c r="I22" s="106"/>
      <c r="J22" s="106"/>
      <c r="K22" s="106"/>
      <c r="L22" s="106"/>
      <c r="M22" s="106"/>
      <c r="N22" s="58"/>
      <c r="O22" s="36"/>
    </row>
    <row r="23" spans="1:15" x14ac:dyDescent="0.35">
      <c r="A23" s="36"/>
      <c r="B23" s="36"/>
      <c r="C23" s="36"/>
      <c r="D23" s="36"/>
      <c r="E23" s="36"/>
      <c r="F23" s="92" t="str">
        <f>'Rev allocation'!F182</f>
        <v>HV</v>
      </c>
      <c r="G23" s="92" t="str">
        <f>'Rev allocation'!G182</f>
        <v>%</v>
      </c>
      <c r="H23" s="130">
        <f>'Rev allocation'!H182</f>
        <v>0.22532708718686598</v>
      </c>
      <c r="I23" s="106"/>
      <c r="J23" s="106"/>
      <c r="K23" s="106"/>
      <c r="L23" s="106"/>
      <c r="M23" s="106"/>
      <c r="N23" s="58"/>
      <c r="O23" s="36"/>
    </row>
    <row r="24" spans="1:15" x14ac:dyDescent="0.35">
      <c r="A24" s="36"/>
      <c r="B24" s="36"/>
      <c r="C24" s="36"/>
      <c r="D24" s="36"/>
      <c r="E24" s="36"/>
      <c r="F24" s="92" t="str">
        <f>'Rev allocation'!F183</f>
        <v>HV/LV</v>
      </c>
      <c r="G24" s="92" t="str">
        <f>'Rev allocation'!G183</f>
        <v>%</v>
      </c>
      <c r="H24" s="130">
        <f>'Rev allocation'!H183</f>
        <v>7.4309748515664284E-2</v>
      </c>
      <c r="I24" s="106"/>
      <c r="J24" s="106"/>
      <c r="K24" s="106"/>
      <c r="L24" s="106"/>
      <c r="M24" s="106"/>
      <c r="N24" s="58"/>
      <c r="O24" s="36"/>
    </row>
    <row r="25" spans="1:15" x14ac:dyDescent="0.35">
      <c r="A25" s="36"/>
      <c r="B25" s="36"/>
      <c r="C25" s="36"/>
      <c r="D25" s="36"/>
      <c r="E25" s="36"/>
      <c r="F25" s="94" t="str">
        <f>'Rev allocation'!F184</f>
        <v>LV</v>
      </c>
      <c r="G25" s="94" t="str">
        <f>'Rev allocation'!G184</f>
        <v>%</v>
      </c>
      <c r="H25" s="133">
        <f>'Rev allocation'!H184</f>
        <v>0.37087671109750808</v>
      </c>
      <c r="I25" s="106"/>
      <c r="J25" s="106"/>
      <c r="K25" s="106"/>
      <c r="L25" s="106"/>
      <c r="M25" s="106"/>
      <c r="N25" s="58"/>
      <c r="O25" s="36"/>
    </row>
    <row r="26" spans="1:15" x14ac:dyDescent="0.35">
      <c r="A26" s="36"/>
      <c r="B26" s="36"/>
      <c r="C26" s="36"/>
      <c r="D26" s="36"/>
      <c r="E26" s="36"/>
      <c r="F26" s="36"/>
      <c r="G26" s="36"/>
      <c r="H26" s="58"/>
      <c r="I26" s="58"/>
      <c r="J26" s="58"/>
      <c r="K26" s="58"/>
      <c r="L26" s="58"/>
      <c r="M26" s="58"/>
      <c r="N26" s="58"/>
      <c r="O26" s="36"/>
    </row>
    <row r="27" spans="1:15" x14ac:dyDescent="0.35">
      <c r="A27" s="36"/>
      <c r="B27" s="84" t="s">
        <v>722</v>
      </c>
      <c r="C27" s="84"/>
      <c r="D27" s="84"/>
      <c r="E27" s="84"/>
      <c r="F27" s="84"/>
      <c r="G27" s="84"/>
      <c r="H27" s="85"/>
      <c r="I27" s="85"/>
      <c r="J27" s="85"/>
      <c r="K27" s="85"/>
      <c r="L27" s="85"/>
      <c r="M27" s="85"/>
      <c r="N27" s="85"/>
      <c r="O27" s="84"/>
    </row>
    <row r="28" spans="1:15" x14ac:dyDescent="0.35">
      <c r="A28" s="36"/>
      <c r="B28" s="36"/>
      <c r="C28" s="36"/>
      <c r="D28" s="36"/>
      <c r="E28" s="36"/>
      <c r="F28" s="36"/>
      <c r="G28" s="36"/>
      <c r="H28" s="58"/>
      <c r="I28" s="58"/>
      <c r="J28" s="58"/>
      <c r="K28" s="58"/>
      <c r="L28" s="58"/>
      <c r="M28" s="58"/>
      <c r="N28" s="58"/>
      <c r="O28" s="36"/>
    </row>
    <row r="29" spans="1:15" x14ac:dyDescent="0.35">
      <c r="A29" s="36"/>
      <c r="B29" s="36"/>
      <c r="C29" s="86" t="s">
        <v>723</v>
      </c>
      <c r="D29" s="86"/>
      <c r="E29" s="36"/>
      <c r="F29" s="36"/>
      <c r="G29" s="36"/>
      <c r="H29" s="58"/>
      <c r="I29" s="58"/>
      <c r="J29" s="58"/>
      <c r="K29" s="58"/>
      <c r="L29" s="58"/>
      <c r="M29" s="58"/>
      <c r="N29" s="58"/>
      <c r="O29" s="36"/>
    </row>
    <row r="30" spans="1:15" x14ac:dyDescent="0.35">
      <c r="A30" s="36"/>
      <c r="B30" s="36"/>
      <c r="C30" s="86" t="s">
        <v>724</v>
      </c>
      <c r="D30" s="86"/>
      <c r="E30" s="36"/>
      <c r="F30" s="36"/>
      <c r="G30" s="36"/>
      <c r="H30" s="58"/>
      <c r="I30" s="58"/>
      <c r="J30" s="58"/>
      <c r="K30" s="58"/>
      <c r="L30" s="58"/>
      <c r="M30" s="58"/>
      <c r="N30" s="58"/>
      <c r="O30" s="36"/>
    </row>
    <row r="31" spans="1:15" x14ac:dyDescent="0.35">
      <c r="A31" s="36"/>
      <c r="B31" s="36"/>
      <c r="C31" s="86"/>
      <c r="D31" s="86"/>
      <c r="E31" s="36"/>
      <c r="F31" s="36"/>
      <c r="G31" s="36"/>
      <c r="H31" s="58"/>
      <c r="I31" s="58"/>
      <c r="J31" s="58"/>
      <c r="K31" s="58"/>
      <c r="L31" s="58"/>
      <c r="M31" s="58"/>
      <c r="N31" s="58"/>
      <c r="O31" s="36"/>
    </row>
    <row r="32" spans="1:15" x14ac:dyDescent="0.35">
      <c r="A32" s="36"/>
      <c r="B32" s="36"/>
      <c r="C32" s="87" t="s">
        <v>725</v>
      </c>
      <c r="D32" s="87"/>
      <c r="E32" s="87"/>
      <c r="F32" s="87"/>
      <c r="G32" s="87"/>
      <c r="H32" s="88"/>
      <c r="I32" s="88"/>
      <c r="J32" s="88"/>
      <c r="K32" s="88"/>
      <c r="L32" s="88"/>
      <c r="M32" s="88"/>
      <c r="N32" s="88"/>
      <c r="O32" s="87"/>
    </row>
    <row r="33" spans="1:15" x14ac:dyDescent="0.35">
      <c r="A33" s="36"/>
      <c r="B33" s="36"/>
      <c r="C33" s="86"/>
      <c r="D33" s="86"/>
      <c r="E33" s="36"/>
      <c r="F33" s="36"/>
      <c r="G33" s="36"/>
      <c r="H33" s="58"/>
      <c r="I33" s="58"/>
      <c r="J33" s="58"/>
      <c r="K33" s="58"/>
      <c r="L33" s="58"/>
      <c r="M33" s="58"/>
      <c r="N33" s="58"/>
      <c r="O33" s="36"/>
    </row>
    <row r="34" spans="1:15" x14ac:dyDescent="0.35">
      <c r="A34" s="36"/>
      <c r="B34" s="36"/>
      <c r="C34" s="36"/>
      <c r="D34" s="86" t="s">
        <v>726</v>
      </c>
      <c r="E34" s="36"/>
      <c r="F34" s="36"/>
      <c r="G34" s="36"/>
      <c r="H34" s="58"/>
      <c r="I34" s="58"/>
      <c r="J34" s="58"/>
      <c r="K34" s="58"/>
      <c r="L34" s="58"/>
      <c r="M34" s="58"/>
      <c r="N34" s="58"/>
      <c r="O34" s="36"/>
    </row>
    <row r="35" spans="1:15" x14ac:dyDescent="0.35">
      <c r="A35" s="36"/>
      <c r="B35" s="36"/>
      <c r="C35" s="36"/>
      <c r="D35" s="86" t="s">
        <v>727</v>
      </c>
      <c r="E35" s="36"/>
      <c r="F35" s="36"/>
      <c r="G35" s="36"/>
      <c r="H35" s="58"/>
      <c r="I35" s="58"/>
      <c r="J35" s="58"/>
      <c r="K35" s="58"/>
      <c r="L35" s="58"/>
      <c r="M35" s="58"/>
      <c r="N35" s="58"/>
      <c r="O35" s="36"/>
    </row>
    <row r="36" spans="1:15" x14ac:dyDescent="0.35">
      <c r="A36" s="36"/>
      <c r="B36" s="36"/>
      <c r="C36" s="36"/>
      <c r="D36" s="86"/>
      <c r="E36" s="36"/>
      <c r="F36" s="36"/>
      <c r="G36" s="36"/>
      <c r="H36" s="58"/>
      <c r="I36" s="58"/>
      <c r="J36" s="58"/>
      <c r="K36" s="58"/>
      <c r="L36" s="58"/>
      <c r="M36" s="58"/>
      <c r="N36" s="58"/>
      <c r="O36" s="36"/>
    </row>
    <row r="37" spans="1:15" x14ac:dyDescent="0.35">
      <c r="A37" s="92"/>
      <c r="B37" s="36"/>
      <c r="C37" s="36"/>
      <c r="D37" s="86"/>
      <c r="E37" s="89" t="str">
        <f>'Fixed inputs'!E398</f>
        <v>Network levels included in the calculation of "S", by user type and network level</v>
      </c>
      <c r="F37" s="36"/>
      <c r="G37" s="36"/>
      <c r="H37" s="58"/>
      <c r="I37" s="103"/>
      <c r="J37" s="58"/>
      <c r="K37" s="58"/>
      <c r="L37" s="58"/>
      <c r="M37" s="58"/>
      <c r="N37" s="58"/>
      <c r="O37" s="92"/>
    </row>
    <row r="38" spans="1:15" x14ac:dyDescent="0.35">
      <c r="A38" s="36"/>
      <c r="B38" s="36"/>
      <c r="C38" s="36"/>
      <c r="D38" s="36"/>
      <c r="E38" s="36"/>
      <c r="F38" s="90" t="str">
        <f>'Fixed inputs'!F399</f>
        <v>132kV</v>
      </c>
      <c r="G38" s="90" t="str">
        <f>'Fixed inputs'!G399</f>
        <v>flag</v>
      </c>
      <c r="H38" s="109"/>
      <c r="I38" s="109"/>
      <c r="J38" s="154">
        <f>'Fixed inputs'!J399</f>
        <v>1</v>
      </c>
      <c r="K38" s="154">
        <f>'Fixed inputs'!K399</f>
        <v>1</v>
      </c>
      <c r="L38" s="154">
        <f>'Fixed inputs'!L399</f>
        <v>1</v>
      </c>
      <c r="M38" s="154">
        <f>'Fixed inputs'!M399</f>
        <v>1</v>
      </c>
      <c r="N38" s="58"/>
      <c r="O38" s="36"/>
    </row>
    <row r="39" spans="1:15" x14ac:dyDescent="0.35">
      <c r="A39" s="36"/>
      <c r="B39" s="36"/>
      <c r="C39" s="36"/>
      <c r="D39" s="36"/>
      <c r="E39" s="36"/>
      <c r="F39" s="92" t="str">
        <f>'Fixed inputs'!F400</f>
        <v>132kV/EHV</v>
      </c>
      <c r="G39" s="92" t="str">
        <f>'Fixed inputs'!G400</f>
        <v>flag</v>
      </c>
      <c r="H39" s="107"/>
      <c r="I39" s="107"/>
      <c r="J39" s="152">
        <f>'Fixed inputs'!J400</f>
        <v>1</v>
      </c>
      <c r="K39" s="152">
        <f>'Fixed inputs'!K400</f>
        <v>1</v>
      </c>
      <c r="L39" s="152">
        <f>'Fixed inputs'!L400</f>
        <v>1</v>
      </c>
      <c r="M39" s="152">
        <f>'Fixed inputs'!M400</f>
        <v>1</v>
      </c>
      <c r="N39" s="58"/>
      <c r="O39" s="36"/>
    </row>
    <row r="40" spans="1:15" x14ac:dyDescent="0.35">
      <c r="A40" s="36"/>
      <c r="B40" s="36"/>
      <c r="C40" s="36"/>
      <c r="D40" s="36"/>
      <c r="E40" s="36"/>
      <c r="F40" s="92" t="str">
        <f>'Fixed inputs'!F401</f>
        <v>EHV</v>
      </c>
      <c r="G40" s="92" t="str">
        <f>'Fixed inputs'!G401</f>
        <v>flag</v>
      </c>
      <c r="H40" s="107"/>
      <c r="I40" s="107"/>
      <c r="J40" s="152">
        <f>'Fixed inputs'!J401</f>
        <v>1</v>
      </c>
      <c r="K40" s="152">
        <f>'Fixed inputs'!K401</f>
        <v>1</v>
      </c>
      <c r="L40" s="152">
        <f>'Fixed inputs'!L401</f>
        <v>1</v>
      </c>
      <c r="M40" s="152">
        <f>'Fixed inputs'!M401</f>
        <v>1</v>
      </c>
      <c r="N40" s="58"/>
      <c r="O40" s="36"/>
    </row>
    <row r="41" spans="1:15" x14ac:dyDescent="0.35">
      <c r="A41" s="36"/>
      <c r="B41" s="36"/>
      <c r="C41" s="36"/>
      <c r="D41" s="36"/>
      <c r="E41" s="36"/>
      <c r="F41" s="92" t="str">
        <f>'Fixed inputs'!F402</f>
        <v>EHV/HV</v>
      </c>
      <c r="G41" s="92" t="str">
        <f>'Fixed inputs'!G402</f>
        <v>flag</v>
      </c>
      <c r="H41" s="107"/>
      <c r="I41" s="107"/>
      <c r="J41" s="152">
        <f>'Fixed inputs'!J402</f>
        <v>1</v>
      </c>
      <c r="K41" s="152">
        <f>'Fixed inputs'!K402</f>
        <v>1</v>
      </c>
      <c r="L41" s="152">
        <f>'Fixed inputs'!L402</f>
        <v>1</v>
      </c>
      <c r="M41" s="152">
        <f>'Fixed inputs'!M402</f>
        <v>1</v>
      </c>
      <c r="N41" s="58"/>
      <c r="O41" s="36"/>
    </row>
    <row r="42" spans="1:15" x14ac:dyDescent="0.35">
      <c r="A42" s="36"/>
      <c r="B42" s="36"/>
      <c r="C42" s="36"/>
      <c r="D42" s="36"/>
      <c r="E42" s="36"/>
      <c r="F42" s="92" t="str">
        <f>'Fixed inputs'!F403</f>
        <v>HV</v>
      </c>
      <c r="G42" s="92" t="str">
        <f>'Fixed inputs'!G403</f>
        <v>flag</v>
      </c>
      <c r="H42" s="107"/>
      <c r="I42" s="107"/>
      <c r="J42" s="152">
        <f>'Fixed inputs'!J403</f>
        <v>1</v>
      </c>
      <c r="K42" s="152">
        <f>'Fixed inputs'!K403</f>
        <v>1</v>
      </c>
      <c r="L42" s="152">
        <f>'Fixed inputs'!L403</f>
        <v>1</v>
      </c>
      <c r="M42" s="110"/>
      <c r="N42" s="58"/>
      <c r="O42" s="36"/>
    </row>
    <row r="43" spans="1:15" x14ac:dyDescent="0.35">
      <c r="A43" s="36"/>
      <c r="B43" s="36"/>
      <c r="C43" s="36"/>
      <c r="D43" s="36"/>
      <c r="E43" s="36"/>
      <c r="F43" s="92" t="str">
        <f>'Fixed inputs'!F404</f>
        <v>HV/LV</v>
      </c>
      <c r="G43" s="92" t="str">
        <f>'Fixed inputs'!G404</f>
        <v>flag</v>
      </c>
      <c r="H43" s="107"/>
      <c r="I43" s="107"/>
      <c r="J43" s="152">
        <f>'Fixed inputs'!J404</f>
        <v>1</v>
      </c>
      <c r="K43" s="152">
        <f>'Fixed inputs'!K404</f>
        <v>1</v>
      </c>
      <c r="L43" s="110"/>
      <c r="M43" s="110"/>
      <c r="N43" s="58"/>
      <c r="O43" s="36"/>
    </row>
    <row r="44" spans="1:15" x14ac:dyDescent="0.35">
      <c r="A44" s="36"/>
      <c r="B44" s="36"/>
      <c r="C44" s="36"/>
      <c r="D44" s="36"/>
      <c r="E44" s="36"/>
      <c r="F44" s="94" t="str">
        <f>'Fixed inputs'!F405</f>
        <v>LV</v>
      </c>
      <c r="G44" s="94" t="str">
        <f>'Fixed inputs'!G405</f>
        <v>flag</v>
      </c>
      <c r="H44" s="111"/>
      <c r="I44" s="111"/>
      <c r="J44" s="191">
        <f>'Fixed inputs'!J405</f>
        <v>1</v>
      </c>
      <c r="K44" s="183"/>
      <c r="L44" s="183"/>
      <c r="M44" s="183"/>
      <c r="N44" s="58"/>
      <c r="O44" s="36"/>
    </row>
    <row r="45" spans="1:15" x14ac:dyDescent="0.35">
      <c r="A45" s="36"/>
      <c r="B45" s="36"/>
      <c r="C45" s="36"/>
      <c r="D45" s="36"/>
      <c r="E45" s="36"/>
      <c r="F45" s="36"/>
      <c r="G45" s="36"/>
      <c r="H45" s="58"/>
      <c r="I45" s="58"/>
      <c r="J45" s="58"/>
      <c r="K45" s="58"/>
      <c r="L45" s="58"/>
      <c r="M45" s="58"/>
      <c r="N45" s="58"/>
      <c r="O45" s="36"/>
    </row>
    <row r="46" spans="1:15" x14ac:dyDescent="0.35">
      <c r="A46" s="92"/>
      <c r="B46" s="36"/>
      <c r="C46" s="36"/>
      <c r="D46" s="36"/>
      <c r="E46" s="92" t="s">
        <v>728</v>
      </c>
      <c r="F46" s="36"/>
      <c r="G46" s="92" t="s">
        <v>119</v>
      </c>
      <c r="H46" s="106"/>
      <c r="I46" s="102" t="s">
        <v>120</v>
      </c>
      <c r="J46" s="136">
        <f>SUMPRODUCT($H19:$H25, J38:J44)</f>
        <v>0.96157588522568638</v>
      </c>
      <c r="K46" s="136">
        <f>SUMPRODUCT($H19:$H25, K38:K44)</f>
        <v>0.59069917412817829</v>
      </c>
      <c r="L46" s="136">
        <f>SUMPRODUCT($H19:$H25, L38:L44)</f>
        <v>0.516389425612514</v>
      </c>
      <c r="M46" s="136">
        <f>SUMPRODUCT($H19:$H25, M38:M44)</f>
        <v>0.29106233842564799</v>
      </c>
      <c r="N46" s="58"/>
      <c r="O46" s="92" t="s">
        <v>121</v>
      </c>
    </row>
    <row r="47" spans="1:15" x14ac:dyDescent="0.35">
      <c r="A47" s="36"/>
      <c r="B47" s="36"/>
      <c r="C47" s="36"/>
      <c r="D47" s="36"/>
      <c r="E47" s="92" t="s">
        <v>729</v>
      </c>
      <c r="F47" s="36"/>
      <c r="G47" s="92" t="s">
        <v>502</v>
      </c>
      <c r="H47" s="101"/>
      <c r="I47" s="101"/>
      <c r="J47" s="142" t="b">
        <f>J46 &gt; 0</f>
        <v>1</v>
      </c>
      <c r="K47" s="142" t="b">
        <f>K46 &gt; 0</f>
        <v>1</v>
      </c>
      <c r="L47" s="142" t="b">
        <f>L46 &gt; 0</f>
        <v>1</v>
      </c>
      <c r="M47" s="142" t="b">
        <f>M46 &gt; 0</f>
        <v>1</v>
      </c>
      <c r="N47" s="58"/>
      <c r="O47" s="36"/>
    </row>
    <row r="48" spans="1:15" x14ac:dyDescent="0.35">
      <c r="A48" s="36"/>
      <c r="B48" s="36"/>
      <c r="C48" s="36"/>
      <c r="D48" s="36"/>
      <c r="E48" s="92" t="s">
        <v>730</v>
      </c>
      <c r="F48" s="36"/>
      <c r="G48" s="92" t="s">
        <v>73</v>
      </c>
      <c r="H48" s="107">
        <f>COUNTIF(J47:M47, "=FALSE")</f>
        <v>0</v>
      </c>
      <c r="I48" s="107"/>
      <c r="J48" s="107"/>
      <c r="K48" s="107"/>
      <c r="L48" s="107"/>
      <c r="M48" s="107"/>
      <c r="N48" s="58"/>
      <c r="O48" s="36"/>
    </row>
    <row r="49" spans="1:15" x14ac:dyDescent="0.35">
      <c r="A49" s="36"/>
      <c r="B49" s="36"/>
      <c r="C49" s="36"/>
      <c r="D49" s="36"/>
      <c r="E49" s="86"/>
      <c r="F49" s="36"/>
      <c r="G49" s="36"/>
      <c r="H49" s="58"/>
      <c r="I49" s="58"/>
      <c r="J49" s="58"/>
      <c r="K49" s="58"/>
      <c r="L49" s="58"/>
      <c r="M49" s="58"/>
      <c r="N49" s="58"/>
      <c r="O49" s="36"/>
    </row>
    <row r="50" spans="1:15" x14ac:dyDescent="0.35">
      <c r="A50" s="36"/>
      <c r="B50" s="36"/>
      <c r="C50" s="87" t="s">
        <v>731</v>
      </c>
      <c r="D50" s="87"/>
      <c r="E50" s="87"/>
      <c r="F50" s="87"/>
      <c r="G50" s="87"/>
      <c r="H50" s="88"/>
      <c r="I50" s="88"/>
      <c r="J50" s="88"/>
      <c r="K50" s="88"/>
      <c r="L50" s="88"/>
      <c r="M50" s="88"/>
      <c r="N50" s="88"/>
      <c r="O50" s="87"/>
    </row>
    <row r="51" spans="1:15" x14ac:dyDescent="0.35">
      <c r="A51" s="36"/>
      <c r="B51" s="36"/>
      <c r="C51" s="86"/>
      <c r="D51" s="86"/>
      <c r="E51" s="36"/>
      <c r="F51" s="36"/>
      <c r="G51" s="36"/>
      <c r="H51" s="58"/>
      <c r="I51" s="58"/>
      <c r="J51" s="58"/>
      <c r="K51" s="58"/>
      <c r="L51" s="58"/>
      <c r="M51" s="58"/>
      <c r="N51" s="58"/>
      <c r="O51" s="36"/>
    </row>
    <row r="52" spans="1:15" x14ac:dyDescent="0.35">
      <c r="A52" s="36"/>
      <c r="B52" s="36"/>
      <c r="C52" s="36"/>
      <c r="D52" s="86" t="s">
        <v>732</v>
      </c>
      <c r="E52" s="36"/>
      <c r="F52" s="36"/>
      <c r="G52" s="36"/>
      <c r="H52" s="58"/>
      <c r="I52" s="58"/>
      <c r="J52" s="58"/>
      <c r="K52" s="58"/>
      <c r="L52" s="58"/>
      <c r="M52" s="58"/>
      <c r="N52" s="58"/>
      <c r="O52" s="36"/>
    </row>
    <row r="53" spans="1:15" x14ac:dyDescent="0.35">
      <c r="A53" s="36"/>
      <c r="B53" s="36"/>
      <c r="C53" s="36"/>
      <c r="D53" s="86" t="s">
        <v>733</v>
      </c>
      <c r="E53" s="36"/>
      <c r="F53" s="36"/>
      <c r="G53" s="36"/>
      <c r="H53" s="58"/>
      <c r="I53" s="58"/>
      <c r="J53" s="58"/>
      <c r="K53" s="58"/>
      <c r="L53" s="58"/>
      <c r="M53" s="58"/>
      <c r="N53" s="58"/>
      <c r="O53" s="36"/>
    </row>
    <row r="54" spans="1:15" x14ac:dyDescent="0.35">
      <c r="A54" s="36"/>
      <c r="B54" s="36"/>
      <c r="C54" s="36"/>
      <c r="D54" s="86"/>
      <c r="E54" s="36"/>
      <c r="F54" s="36"/>
      <c r="G54" s="36"/>
      <c r="H54" s="58"/>
      <c r="I54" s="58"/>
      <c r="J54" s="58"/>
      <c r="K54" s="58"/>
      <c r="L54" s="58"/>
      <c r="M54" s="58"/>
      <c r="N54" s="58"/>
      <c r="O54" s="36"/>
    </row>
    <row r="55" spans="1:15" x14ac:dyDescent="0.35">
      <c r="A55" s="92"/>
      <c r="B55" s="36"/>
      <c r="C55" s="36"/>
      <c r="D55" s="86"/>
      <c r="E55" s="89" t="s">
        <v>734</v>
      </c>
      <c r="F55" s="36"/>
      <c r="G55" s="36"/>
      <c r="H55" s="58"/>
      <c r="I55" s="103" t="s">
        <v>120</v>
      </c>
      <c r="J55" s="58"/>
      <c r="K55" s="58"/>
      <c r="L55" s="58"/>
      <c r="M55" s="58"/>
      <c r="N55" s="58"/>
      <c r="O55" s="92" t="s">
        <v>121</v>
      </c>
    </row>
    <row r="56" spans="1:15" x14ac:dyDescent="0.35">
      <c r="A56" s="36"/>
      <c r="B56" s="36"/>
      <c r="C56" s="36"/>
      <c r="D56" s="36"/>
      <c r="E56" s="36"/>
      <c r="F56" s="90" t="s">
        <v>735</v>
      </c>
      <c r="G56" s="90" t="s">
        <v>119</v>
      </c>
      <c r="H56" s="117"/>
      <c r="I56" s="117"/>
      <c r="J56" s="139">
        <f>SUMPRODUCT($H19:$H$25, J38:J$44)</f>
        <v>0.96157588522568638</v>
      </c>
      <c r="K56" s="139">
        <f>SUMPRODUCT($H19:$H$25, K38:K$44)</f>
        <v>0.59069917412817829</v>
      </c>
      <c r="L56" s="139">
        <f>SUMPRODUCT($H19:$H$25, L38:L$44)</f>
        <v>0.516389425612514</v>
      </c>
      <c r="M56" s="139">
        <f>SUMPRODUCT($H19:$H$25, M38:M$44)</f>
        <v>0.29106233842564799</v>
      </c>
      <c r="N56" s="58"/>
      <c r="O56" s="36"/>
    </row>
    <row r="57" spans="1:15" x14ac:dyDescent="0.35">
      <c r="A57" s="36"/>
      <c r="B57" s="36"/>
      <c r="C57" s="36"/>
      <c r="D57" s="36"/>
      <c r="E57" s="36"/>
      <c r="F57" s="92" t="s">
        <v>736</v>
      </c>
      <c r="G57" s="92" t="s">
        <v>119</v>
      </c>
      <c r="H57" s="106"/>
      <c r="I57" s="106"/>
      <c r="J57" s="136">
        <f>SUMPRODUCT($H20:$H$25, J39:J$44)</f>
        <v>0.84215181901912828</v>
      </c>
      <c r="K57" s="136">
        <f>SUMPRODUCT($H20:$H$25, K39:K$44)</f>
        <v>0.4712751079216202</v>
      </c>
      <c r="L57" s="136">
        <f>SUMPRODUCT($H20:$H$25, L39:L$44)</f>
        <v>0.3969653594059559</v>
      </c>
      <c r="M57" s="136">
        <f>SUMPRODUCT($H20:$H$25, M39:M$44)</f>
        <v>0.17163827221908992</v>
      </c>
      <c r="N57" s="58"/>
      <c r="O57" s="36"/>
    </row>
    <row r="58" spans="1:15" x14ac:dyDescent="0.35">
      <c r="A58" s="36"/>
      <c r="B58" s="36"/>
      <c r="C58" s="36"/>
      <c r="D58" s="36"/>
      <c r="E58" s="36"/>
      <c r="F58" s="92" t="s">
        <v>737</v>
      </c>
      <c r="G58" s="92" t="s">
        <v>119</v>
      </c>
      <c r="H58" s="106"/>
      <c r="I58" s="106"/>
      <c r="J58" s="136">
        <f>SUMPRODUCT($H21:$H$25, J40:J$44)</f>
        <v>0.80923633352010294</v>
      </c>
      <c r="K58" s="136">
        <f>SUMPRODUCT($H21:$H$25, K40:K$44)</f>
        <v>0.43835962242259485</v>
      </c>
      <c r="L58" s="136">
        <f>SUMPRODUCT($H21:$H$25, L40:L$44)</f>
        <v>0.36404987390693055</v>
      </c>
      <c r="M58" s="136">
        <f>SUMPRODUCT($H21:$H$25, M40:M$44)</f>
        <v>0.13872278672006461</v>
      </c>
      <c r="N58" s="58"/>
      <c r="O58" s="36"/>
    </row>
    <row r="59" spans="1:15" x14ac:dyDescent="0.35">
      <c r="A59" s="36"/>
      <c r="B59" s="36"/>
      <c r="C59" s="36"/>
      <c r="D59" s="36"/>
      <c r="E59" s="36"/>
      <c r="F59" s="92" t="s">
        <v>738</v>
      </c>
      <c r="G59" s="92" t="s">
        <v>119</v>
      </c>
      <c r="H59" s="106"/>
      <c r="I59" s="106"/>
      <c r="J59" s="136">
        <f>SUMPRODUCT($H22:$H$25, J41:J$44)</f>
        <v>0.731543806616195</v>
      </c>
      <c r="K59" s="136">
        <f>SUMPRODUCT($H22:$H$25, K41:K$44)</f>
        <v>0.36066709551868698</v>
      </c>
      <c r="L59" s="136">
        <f>SUMPRODUCT($H22:$H$25, L41:L$44)</f>
        <v>0.28635734700302268</v>
      </c>
      <c r="M59" s="136">
        <f>SUMPRODUCT($H22:$H$25, M41:M$44)</f>
        <v>6.1030259816156708E-2</v>
      </c>
      <c r="N59" s="58"/>
      <c r="O59" s="36"/>
    </row>
    <row r="60" spans="1:15" x14ac:dyDescent="0.35">
      <c r="A60" s="36"/>
      <c r="B60" s="36"/>
      <c r="C60" s="36"/>
      <c r="D60" s="36"/>
      <c r="E60" s="36"/>
      <c r="F60" s="94" t="s">
        <v>739</v>
      </c>
      <c r="G60" s="94" t="s">
        <v>119</v>
      </c>
      <c r="H60" s="118"/>
      <c r="I60" s="118"/>
      <c r="J60" s="149">
        <f>SUMPRODUCT($H23:$H$25, J42:J$44)</f>
        <v>0.67051354680003827</v>
      </c>
      <c r="K60" s="149">
        <f>SUMPRODUCT($H23:$H$25, K42:K$44)</f>
        <v>0.29963683570253025</v>
      </c>
      <c r="L60" s="149">
        <f>SUMPRODUCT($H23:$H$25, L42:L$44)</f>
        <v>0.22532708718686598</v>
      </c>
      <c r="M60" s="149">
        <f>SUMPRODUCT($H23:$H$25, M42:M$44)</f>
        <v>0</v>
      </c>
      <c r="N60" s="58"/>
      <c r="O60" s="36"/>
    </row>
    <row r="61" spans="1:15" x14ac:dyDescent="0.35">
      <c r="A61" s="36"/>
      <c r="B61" s="36"/>
      <c r="C61" s="36"/>
      <c r="D61" s="36"/>
      <c r="E61" s="36"/>
      <c r="F61" s="36"/>
      <c r="G61" s="36"/>
      <c r="H61" s="58"/>
      <c r="I61" s="58"/>
      <c r="J61" s="58"/>
      <c r="K61" s="58"/>
      <c r="L61" s="58"/>
      <c r="M61" s="58"/>
      <c r="N61" s="58"/>
      <c r="O61" s="36"/>
    </row>
    <row r="62" spans="1:15" x14ac:dyDescent="0.35">
      <c r="A62" s="36"/>
      <c r="B62" s="36"/>
      <c r="C62" s="87" t="s">
        <v>740</v>
      </c>
      <c r="D62" s="87"/>
      <c r="E62" s="87"/>
      <c r="F62" s="87"/>
      <c r="G62" s="87"/>
      <c r="H62" s="88"/>
      <c r="I62" s="88"/>
      <c r="J62" s="88"/>
      <c r="K62" s="88"/>
      <c r="L62" s="88"/>
      <c r="M62" s="88"/>
      <c r="N62" s="88"/>
      <c r="O62" s="87"/>
    </row>
    <row r="63" spans="1:15" x14ac:dyDescent="0.35">
      <c r="A63" s="36"/>
      <c r="B63" s="36"/>
      <c r="C63" s="86"/>
      <c r="D63" s="86"/>
      <c r="E63" s="36"/>
      <c r="F63" s="36"/>
      <c r="G63" s="36"/>
      <c r="H63" s="58"/>
      <c r="I63" s="58"/>
      <c r="J63" s="58"/>
      <c r="K63" s="58"/>
      <c r="L63" s="58"/>
      <c r="M63" s="58"/>
      <c r="N63" s="58"/>
      <c r="O63" s="36"/>
    </row>
    <row r="64" spans="1:15" x14ac:dyDescent="0.35">
      <c r="A64" s="36"/>
      <c r="B64" s="36"/>
      <c r="C64" s="36"/>
      <c r="D64" s="86" t="s">
        <v>741</v>
      </c>
      <c r="E64" s="36"/>
      <c r="F64" s="36"/>
      <c r="G64" s="36"/>
      <c r="H64" s="58"/>
      <c r="I64" s="58"/>
      <c r="J64" s="58"/>
      <c r="K64" s="58"/>
      <c r="L64" s="58"/>
      <c r="M64" s="58"/>
      <c r="N64" s="58"/>
      <c r="O64" s="36"/>
    </row>
    <row r="65" spans="1:15" x14ac:dyDescent="0.35">
      <c r="A65" s="36"/>
      <c r="B65" s="36"/>
      <c r="C65" s="36"/>
      <c r="D65" s="86" t="s">
        <v>742</v>
      </c>
      <c r="E65" s="36"/>
      <c r="F65" s="36"/>
      <c r="G65" s="36"/>
      <c r="H65" s="58"/>
      <c r="I65" s="58"/>
      <c r="J65" s="58"/>
      <c r="K65" s="58"/>
      <c r="L65" s="58"/>
      <c r="M65" s="58"/>
      <c r="N65" s="58"/>
      <c r="O65" s="36"/>
    </row>
    <row r="66" spans="1:15" x14ac:dyDescent="0.35">
      <c r="A66" s="36"/>
      <c r="B66" s="36"/>
      <c r="C66" s="36"/>
      <c r="D66" s="86"/>
      <c r="E66" s="36"/>
      <c r="F66" s="36"/>
      <c r="G66" s="36"/>
      <c r="H66" s="58"/>
      <c r="I66" s="58"/>
      <c r="J66" s="58"/>
      <c r="K66" s="58"/>
      <c r="L66" s="58"/>
      <c r="M66" s="58"/>
      <c r="N66" s="58"/>
      <c r="O66" s="36"/>
    </row>
    <row r="67" spans="1:15" x14ac:dyDescent="0.35">
      <c r="A67" s="36"/>
      <c r="B67" s="36"/>
      <c r="C67" s="36"/>
      <c r="D67" s="36"/>
      <c r="E67" s="92" t="str">
        <f>'Fixed inputs'!E34</f>
        <v>Network length split for 132kV</v>
      </c>
      <c r="F67" s="36"/>
      <c r="G67" s="92" t="str">
        <f>'Fixed inputs'!G34</f>
        <v>%</v>
      </c>
      <c r="H67" s="130">
        <f>'Fixed inputs'!H34</f>
        <v>1</v>
      </c>
      <c r="I67" s="106"/>
      <c r="J67" s="106"/>
      <c r="K67" s="106"/>
      <c r="L67" s="106"/>
      <c r="M67" s="106"/>
      <c r="N67" s="58"/>
      <c r="O67" s="36"/>
    </row>
    <row r="68" spans="1:15" x14ac:dyDescent="0.35">
      <c r="A68" s="36"/>
      <c r="B68" s="36"/>
      <c r="C68" s="36"/>
      <c r="D68" s="36"/>
      <c r="E68" s="92" t="str">
        <f>'Fixed inputs'!E35</f>
        <v>Network length split for EHV</v>
      </c>
      <c r="F68" s="36"/>
      <c r="G68" s="92" t="str">
        <f>'Fixed inputs'!G35</f>
        <v>%</v>
      </c>
      <c r="H68" s="130">
        <f>'Fixed inputs'!H35</f>
        <v>1</v>
      </c>
      <c r="I68" s="106"/>
      <c r="J68" s="106"/>
      <c r="K68" s="106"/>
      <c r="L68" s="106"/>
      <c r="M68" s="106"/>
      <c r="N68" s="58"/>
      <c r="O68" s="36"/>
    </row>
    <row r="69" spans="1:15" x14ac:dyDescent="0.35">
      <c r="A69" s="36"/>
      <c r="B69" s="36"/>
      <c r="C69" s="36"/>
      <c r="D69" s="36"/>
      <c r="E69" s="86"/>
      <c r="F69" s="36"/>
      <c r="G69" s="36"/>
      <c r="H69" s="58"/>
      <c r="I69" s="58"/>
      <c r="J69" s="58"/>
      <c r="K69" s="58"/>
      <c r="L69" s="58"/>
      <c r="M69" s="58"/>
      <c r="N69" s="58"/>
      <c r="O69" s="36"/>
    </row>
    <row r="70" spans="1:15" x14ac:dyDescent="0.35">
      <c r="A70" s="36"/>
      <c r="B70" s="36"/>
      <c r="C70" s="36"/>
      <c r="D70" s="36"/>
      <c r="E70" s="92" t="str">
        <f>Direct!F$56</f>
        <v>EHV and 132kV direct proportion</v>
      </c>
      <c r="F70" s="36"/>
      <c r="G70" s="92" t="str">
        <f>Direct!G$56</f>
        <v>%</v>
      </c>
      <c r="H70" s="130">
        <f>Direct!H$56</f>
        <v>0.832187758489077</v>
      </c>
      <c r="I70" s="106"/>
      <c r="J70" s="106"/>
      <c r="K70" s="106"/>
      <c r="L70" s="106"/>
      <c r="M70" s="106"/>
      <c r="N70" s="58"/>
      <c r="O70" s="36"/>
    </row>
    <row r="71" spans="1:15" x14ac:dyDescent="0.35">
      <c r="A71" s="36"/>
      <c r="B71" s="36"/>
      <c r="C71" s="36"/>
      <c r="D71" s="36"/>
      <c r="E71" s="86"/>
      <c r="F71" s="36"/>
      <c r="G71" s="36"/>
      <c r="H71" s="58"/>
      <c r="I71" s="58"/>
      <c r="J71" s="58"/>
      <c r="K71" s="58"/>
      <c r="L71" s="58"/>
      <c r="M71" s="58"/>
      <c r="N71" s="58"/>
      <c r="O71" s="36"/>
    </row>
    <row r="72" spans="1:15" x14ac:dyDescent="0.35">
      <c r="A72" s="36"/>
      <c r="B72" s="36"/>
      <c r="C72" s="36"/>
      <c r="D72" s="36"/>
      <c r="E72" s="89" t="s">
        <v>743</v>
      </c>
      <c r="F72" s="36"/>
      <c r="G72" s="36"/>
      <c r="H72" s="58"/>
      <c r="I72" s="58"/>
      <c r="J72" s="58"/>
      <c r="K72" s="58"/>
      <c r="L72" s="58"/>
      <c r="M72" s="58"/>
      <c r="N72" s="58"/>
      <c r="O72" s="36"/>
    </row>
    <row r="73" spans="1:15" x14ac:dyDescent="0.35">
      <c r="A73" s="36"/>
      <c r="B73" s="36"/>
      <c r="C73" s="36"/>
      <c r="D73" s="36"/>
      <c r="E73" s="36"/>
      <c r="F73" s="90" t="s">
        <v>735</v>
      </c>
      <c r="G73" s="90" t="s">
        <v>119</v>
      </c>
      <c r="H73" s="140"/>
      <c r="I73" s="106"/>
      <c r="J73" s="106"/>
      <c r="K73" s="106"/>
      <c r="L73" s="106"/>
      <c r="M73" s="106"/>
      <c r="N73" s="58"/>
      <c r="O73" s="36"/>
    </row>
    <row r="74" spans="1:15" x14ac:dyDescent="0.35">
      <c r="A74" s="92"/>
      <c r="B74" s="36"/>
      <c r="C74" s="36"/>
      <c r="D74" s="36"/>
      <c r="E74" s="36"/>
      <c r="F74" s="92" t="s">
        <v>736</v>
      </c>
      <c r="G74" s="92" t="s">
        <v>119</v>
      </c>
      <c r="H74" s="106">
        <f>H19 * (1 - H67 * H70)</f>
        <v>2.004082024047138E-2</v>
      </c>
      <c r="I74" s="102" t="s">
        <v>120</v>
      </c>
      <c r="J74" s="106"/>
      <c r="K74" s="106"/>
      <c r="L74" s="106"/>
      <c r="M74" s="106"/>
      <c r="N74" s="58"/>
      <c r="O74" s="92" t="s">
        <v>121</v>
      </c>
    </row>
    <row r="75" spans="1:15" x14ac:dyDescent="0.35">
      <c r="A75" s="36"/>
      <c r="B75" s="36"/>
      <c r="C75" s="36"/>
      <c r="D75" s="36"/>
      <c r="E75" s="36"/>
      <c r="F75" s="92" t="s">
        <v>737</v>
      </c>
      <c r="G75" s="92" t="s">
        <v>119</v>
      </c>
      <c r="H75" s="141"/>
      <c r="I75" s="106"/>
      <c r="J75" s="106"/>
      <c r="K75" s="106"/>
      <c r="L75" s="106"/>
      <c r="M75" s="106"/>
      <c r="N75" s="58"/>
      <c r="O75" s="36"/>
    </row>
    <row r="76" spans="1:15" x14ac:dyDescent="0.35">
      <c r="A76" s="92"/>
      <c r="B76" s="36"/>
      <c r="C76" s="36"/>
      <c r="D76" s="36"/>
      <c r="E76" s="36"/>
      <c r="F76" s="92" t="s">
        <v>738</v>
      </c>
      <c r="G76" s="92" t="s">
        <v>119</v>
      </c>
      <c r="H76" s="106">
        <f>H21 * (1 - H68* H70)</f>
        <v>1.3037757088392474E-2</v>
      </c>
      <c r="I76" s="102" t="s">
        <v>120</v>
      </c>
      <c r="J76" s="106"/>
      <c r="K76" s="106"/>
      <c r="L76" s="106"/>
      <c r="M76" s="106"/>
      <c r="N76" s="58"/>
      <c r="O76" s="92" t="s">
        <v>121</v>
      </c>
    </row>
    <row r="77" spans="1:15" x14ac:dyDescent="0.35">
      <c r="A77" s="36"/>
      <c r="B77" s="36"/>
      <c r="C77" s="36"/>
      <c r="D77" s="36"/>
      <c r="E77" s="36"/>
      <c r="F77" s="94" t="s">
        <v>739</v>
      </c>
      <c r="G77" s="94" t="s">
        <v>119</v>
      </c>
      <c r="H77" s="155"/>
      <c r="I77" s="106"/>
      <c r="J77" s="106"/>
      <c r="K77" s="106"/>
      <c r="L77" s="106"/>
      <c r="M77" s="106"/>
      <c r="N77" s="58"/>
      <c r="O77" s="36"/>
    </row>
    <row r="78" spans="1:15" x14ac:dyDescent="0.35">
      <c r="A78" s="36"/>
      <c r="B78" s="36"/>
      <c r="C78" s="36"/>
      <c r="D78" s="36"/>
      <c r="E78" s="36"/>
      <c r="F78" s="36"/>
      <c r="G78" s="36"/>
      <c r="H78" s="58"/>
      <c r="I78" s="58"/>
      <c r="J78" s="58"/>
      <c r="K78" s="58"/>
      <c r="L78" s="58"/>
      <c r="M78" s="58"/>
      <c r="N78" s="58"/>
      <c r="O78" s="36"/>
    </row>
    <row r="79" spans="1:15" x14ac:dyDescent="0.35">
      <c r="A79" s="36"/>
      <c r="B79" s="36"/>
      <c r="C79" s="87" t="s">
        <v>744</v>
      </c>
      <c r="D79" s="87"/>
      <c r="E79" s="87"/>
      <c r="F79" s="87"/>
      <c r="G79" s="87"/>
      <c r="H79" s="88"/>
      <c r="I79" s="88"/>
      <c r="J79" s="88"/>
      <c r="K79" s="88"/>
      <c r="L79" s="88"/>
      <c r="M79" s="88"/>
      <c r="N79" s="88"/>
      <c r="O79" s="87"/>
    </row>
    <row r="80" spans="1:15" x14ac:dyDescent="0.35">
      <c r="A80" s="36"/>
      <c r="B80" s="36"/>
      <c r="C80" s="86"/>
      <c r="D80" s="86"/>
      <c r="E80" s="36"/>
      <c r="F80" s="36"/>
      <c r="G80" s="36"/>
      <c r="H80" s="58"/>
      <c r="I80" s="58"/>
      <c r="J80" s="58"/>
      <c r="K80" s="58"/>
      <c r="L80" s="58"/>
      <c r="M80" s="58"/>
      <c r="N80" s="58"/>
      <c r="O80" s="36"/>
    </row>
    <row r="81" spans="1:15" x14ac:dyDescent="0.35">
      <c r="A81" s="36"/>
      <c r="B81" s="36"/>
      <c r="C81" s="36"/>
      <c r="D81" s="86" t="s">
        <v>745</v>
      </c>
      <c r="E81" s="36"/>
      <c r="F81" s="36"/>
      <c r="G81" s="36"/>
      <c r="H81" s="58"/>
      <c r="I81" s="58"/>
      <c r="J81" s="58"/>
      <c r="K81" s="58"/>
      <c r="L81" s="58"/>
      <c r="M81" s="58"/>
      <c r="N81" s="58"/>
      <c r="O81" s="36"/>
    </row>
    <row r="82" spans="1:15" x14ac:dyDescent="0.35">
      <c r="A82" s="36"/>
      <c r="B82" s="36"/>
      <c r="C82" s="36"/>
      <c r="D82" s="86"/>
      <c r="E82" s="36"/>
      <c r="F82" s="36"/>
      <c r="G82" s="36"/>
      <c r="H82" s="58"/>
      <c r="I82" s="58"/>
      <c r="J82" s="58"/>
      <c r="K82" s="58"/>
      <c r="L82" s="58"/>
      <c r="M82" s="58"/>
      <c r="N82" s="58"/>
      <c r="O82" s="36"/>
    </row>
    <row r="83" spans="1:15" x14ac:dyDescent="0.35">
      <c r="A83" s="36"/>
      <c r="B83" s="36"/>
      <c r="C83" s="36"/>
      <c r="D83" s="36"/>
      <c r="E83" s="92" t="s">
        <v>746</v>
      </c>
      <c r="F83" s="36"/>
      <c r="G83" s="92" t="str">
        <f>'Rev allocation'!G149</f>
        <v>%</v>
      </c>
      <c r="H83" s="130">
        <f>'Rev allocation'!H158</f>
        <v>3.8424114774313692E-2</v>
      </c>
      <c r="I83" s="106"/>
      <c r="J83" s="106"/>
      <c r="K83" s="106"/>
      <c r="L83" s="106"/>
      <c r="M83" s="106"/>
      <c r="N83" s="58"/>
      <c r="O83" s="36"/>
    </row>
    <row r="84" spans="1:15" x14ac:dyDescent="0.35">
      <c r="A84" s="36"/>
      <c r="B84" s="36"/>
      <c r="C84" s="36"/>
      <c r="D84" s="36"/>
      <c r="E84" s="86"/>
      <c r="F84" s="36"/>
      <c r="G84" s="36"/>
      <c r="H84" s="58"/>
      <c r="I84" s="58"/>
      <c r="J84" s="58"/>
      <c r="K84" s="58"/>
      <c r="L84" s="58"/>
      <c r="M84" s="58"/>
      <c r="N84" s="58"/>
      <c r="O84" s="36"/>
    </row>
    <row r="85" spans="1:15" x14ac:dyDescent="0.35">
      <c r="A85" s="36"/>
      <c r="B85" s="36"/>
      <c r="C85" s="36"/>
      <c r="D85" s="36"/>
      <c r="E85" s="92" t="s">
        <v>747</v>
      </c>
      <c r="F85" s="36"/>
      <c r="G85" s="92" t="s">
        <v>73</v>
      </c>
      <c r="H85" s="107">
        <f>IF(SUM(H19:H25, H83) = 1, 0, 1)</f>
        <v>0</v>
      </c>
      <c r="I85" s="107"/>
      <c r="J85" s="107"/>
      <c r="K85" s="107"/>
      <c r="L85" s="107"/>
      <c r="M85" s="107"/>
      <c r="N85" s="58"/>
      <c r="O85" s="36"/>
    </row>
    <row r="86" spans="1:15" x14ac:dyDescent="0.35">
      <c r="A86" s="36"/>
      <c r="B86" s="36"/>
      <c r="C86" s="36"/>
      <c r="D86" s="36"/>
      <c r="E86" s="86"/>
      <c r="F86" s="36"/>
      <c r="G86" s="36"/>
      <c r="H86" s="58"/>
      <c r="I86" s="58"/>
      <c r="J86" s="58"/>
      <c r="K86" s="58"/>
      <c r="L86" s="58"/>
      <c r="M86" s="58"/>
      <c r="N86" s="58"/>
      <c r="O86" s="36"/>
    </row>
    <row r="87" spans="1:15" x14ac:dyDescent="0.35">
      <c r="A87" s="36"/>
      <c r="B87" s="84" t="s">
        <v>748</v>
      </c>
      <c r="C87" s="84"/>
      <c r="D87" s="84"/>
      <c r="E87" s="84"/>
      <c r="F87" s="84"/>
      <c r="G87" s="84"/>
      <c r="H87" s="85"/>
      <c r="I87" s="85"/>
      <c r="J87" s="85"/>
      <c r="K87" s="85"/>
      <c r="L87" s="85"/>
      <c r="M87" s="85"/>
      <c r="N87" s="85"/>
      <c r="O87" s="84"/>
    </row>
    <row r="88" spans="1:15" x14ac:dyDescent="0.35">
      <c r="A88" s="36"/>
      <c r="B88" s="36"/>
      <c r="C88" s="36"/>
      <c r="D88" s="36"/>
      <c r="E88" s="36"/>
      <c r="F88" s="36"/>
      <c r="G88" s="36"/>
      <c r="H88" s="58"/>
      <c r="I88" s="58"/>
      <c r="J88" s="58"/>
      <c r="K88" s="58"/>
      <c r="L88" s="58"/>
      <c r="M88" s="58"/>
      <c r="N88" s="58"/>
      <c r="O88" s="36"/>
    </row>
    <row r="89" spans="1:15" x14ac:dyDescent="0.35">
      <c r="A89" s="36"/>
      <c r="B89" s="36"/>
      <c r="C89" s="86" t="s">
        <v>749</v>
      </c>
      <c r="D89" s="86"/>
      <c r="E89" s="36"/>
      <c r="F89" s="36"/>
      <c r="G89" s="36"/>
      <c r="H89" s="58"/>
      <c r="I89" s="58"/>
      <c r="J89" s="58"/>
      <c r="K89" s="58"/>
      <c r="L89" s="58"/>
      <c r="M89" s="58"/>
      <c r="N89" s="58"/>
      <c r="O89" s="36"/>
    </row>
    <row r="90" spans="1:15" x14ac:dyDescent="0.35">
      <c r="A90" s="36"/>
      <c r="B90" s="36"/>
      <c r="C90" s="86"/>
      <c r="D90" s="86"/>
      <c r="E90" s="36"/>
      <c r="F90" s="36"/>
      <c r="G90" s="36"/>
      <c r="H90" s="58"/>
      <c r="I90" s="58"/>
      <c r="J90" s="58"/>
      <c r="K90" s="58"/>
      <c r="L90" s="58"/>
      <c r="M90" s="58"/>
      <c r="N90" s="58"/>
      <c r="O90" s="36"/>
    </row>
    <row r="91" spans="1:15" x14ac:dyDescent="0.35">
      <c r="A91" s="36"/>
      <c r="B91" s="36"/>
      <c r="C91" s="87" t="s">
        <v>750</v>
      </c>
      <c r="D91" s="87"/>
      <c r="E91" s="87"/>
      <c r="F91" s="87"/>
      <c r="G91" s="87"/>
      <c r="H91" s="88"/>
      <c r="I91" s="88"/>
      <c r="J91" s="88"/>
      <c r="K91" s="88"/>
      <c r="L91" s="88"/>
      <c r="M91" s="88"/>
      <c r="N91" s="88"/>
      <c r="O91" s="87"/>
    </row>
    <row r="92" spans="1:15" x14ac:dyDescent="0.35">
      <c r="A92" s="36"/>
      <c r="B92" s="36"/>
      <c r="C92" s="86"/>
      <c r="D92" s="86"/>
      <c r="E92" s="36"/>
      <c r="F92" s="36"/>
      <c r="G92" s="36"/>
      <c r="H92" s="58"/>
      <c r="I92" s="58"/>
      <c r="J92" s="58"/>
      <c r="K92" s="58"/>
      <c r="L92" s="58"/>
      <c r="M92" s="58"/>
      <c r="N92" s="58"/>
      <c r="O92" s="36"/>
    </row>
    <row r="93" spans="1:15" x14ac:dyDescent="0.35">
      <c r="A93" s="92"/>
      <c r="B93" s="36"/>
      <c r="C93" s="36"/>
      <c r="D93" s="86"/>
      <c r="E93" s="89" t="s">
        <v>751</v>
      </c>
      <c r="F93" s="36"/>
      <c r="G93" s="36"/>
      <c r="H93" s="58"/>
      <c r="I93" s="103" t="s">
        <v>120</v>
      </c>
      <c r="J93" s="58"/>
      <c r="K93" s="58"/>
      <c r="L93" s="58"/>
      <c r="M93" s="58"/>
      <c r="N93" s="58"/>
      <c r="O93" s="92" t="s">
        <v>121</v>
      </c>
    </row>
    <row r="94" spans="1:15" x14ac:dyDescent="0.35">
      <c r="A94" s="36"/>
      <c r="B94" s="36"/>
      <c r="C94" s="36"/>
      <c r="D94" s="36"/>
      <c r="E94" s="36"/>
      <c r="F94" s="90" t="s">
        <v>752</v>
      </c>
      <c r="G94" s="90" t="s">
        <v>119</v>
      </c>
      <c r="H94" s="117"/>
      <c r="I94" s="117"/>
      <c r="J94" s="139">
        <f t="shared" ref="J94:M98" si="0">IF(J$47, (J56 + $H73) / (J$46 + $H$83), 0)</f>
        <v>0.96157588522568638</v>
      </c>
      <c r="K94" s="139">
        <f t="shared" si="0"/>
        <v>0.93892434845108863</v>
      </c>
      <c r="L94" s="139">
        <f t="shared" si="0"/>
        <v>0.93074409332633878</v>
      </c>
      <c r="M94" s="139">
        <f t="shared" si="0"/>
        <v>0.88338180704808977</v>
      </c>
      <c r="N94" s="58"/>
      <c r="O94" s="36"/>
    </row>
    <row r="95" spans="1:15" x14ac:dyDescent="0.35">
      <c r="A95" s="36"/>
      <c r="B95" s="36"/>
      <c r="C95" s="36"/>
      <c r="D95" s="36"/>
      <c r="E95" s="36"/>
      <c r="F95" s="92" t="s">
        <v>753</v>
      </c>
      <c r="G95" s="92" t="s">
        <v>119</v>
      </c>
      <c r="H95" s="106"/>
      <c r="I95" s="106"/>
      <c r="J95" s="136">
        <f t="shared" si="0"/>
        <v>0.86219263925959966</v>
      </c>
      <c r="K95" s="136">
        <f t="shared" si="0"/>
        <v>0.78095333113354315</v>
      </c>
      <c r="L95" s="136">
        <f t="shared" si="0"/>
        <v>0.75161500088062339</v>
      </c>
      <c r="M95" s="136">
        <f t="shared" si="0"/>
        <v>0.58175105713142439</v>
      </c>
      <c r="N95" s="58"/>
      <c r="O95" s="36"/>
    </row>
    <row r="96" spans="1:15" x14ac:dyDescent="0.35">
      <c r="A96" s="36"/>
      <c r="B96" s="36"/>
      <c r="C96" s="36"/>
      <c r="D96" s="36"/>
      <c r="E96" s="36"/>
      <c r="F96" s="92" t="s">
        <v>754</v>
      </c>
      <c r="G96" s="92" t="s">
        <v>119</v>
      </c>
      <c r="H96" s="106"/>
      <c r="I96" s="106"/>
      <c r="J96" s="136">
        <f t="shared" si="0"/>
        <v>0.80923633352010294</v>
      </c>
      <c r="K96" s="136">
        <f t="shared" si="0"/>
        <v>0.69677856495714041</v>
      </c>
      <c r="L96" s="136">
        <f t="shared" si="0"/>
        <v>0.65616616648019677</v>
      </c>
      <c r="M96" s="136">
        <f t="shared" si="0"/>
        <v>0.42102728465098771</v>
      </c>
      <c r="N96" s="58"/>
      <c r="O96" s="36"/>
    </row>
    <row r="97" spans="1:15" x14ac:dyDescent="0.35">
      <c r="A97" s="36"/>
      <c r="B97" s="36"/>
      <c r="C97" s="36"/>
      <c r="D97" s="36"/>
      <c r="E97" s="36"/>
      <c r="F97" s="92" t="s">
        <v>755</v>
      </c>
      <c r="G97" s="92" t="s">
        <v>119</v>
      </c>
      <c r="H97" s="106"/>
      <c r="I97" s="106"/>
      <c r="J97" s="136">
        <f t="shared" si="0"/>
        <v>0.7445815637045875</v>
      </c>
      <c r="K97" s="136">
        <f t="shared" si="0"/>
        <v>0.59400893147511513</v>
      </c>
      <c r="L97" s="136">
        <f t="shared" si="0"/>
        <v>0.53963193451023306</v>
      </c>
      <c r="M97" s="136">
        <f t="shared" si="0"/>
        <v>0.22479836783941501</v>
      </c>
      <c r="N97" s="58"/>
      <c r="O97" s="36"/>
    </row>
    <row r="98" spans="1:15" x14ac:dyDescent="0.35">
      <c r="A98" s="36"/>
      <c r="B98" s="36"/>
      <c r="C98" s="36"/>
      <c r="D98" s="36"/>
      <c r="E98" s="36"/>
      <c r="F98" s="94" t="s">
        <v>756</v>
      </c>
      <c r="G98" s="94" t="s">
        <v>119</v>
      </c>
      <c r="H98" s="118"/>
      <c r="I98" s="118"/>
      <c r="J98" s="149">
        <f t="shared" si="0"/>
        <v>0.67051354680003827</v>
      </c>
      <c r="K98" s="149">
        <f t="shared" si="0"/>
        <v>0.47627681408082645</v>
      </c>
      <c r="L98" s="149">
        <f t="shared" si="0"/>
        <v>0.40613119685176241</v>
      </c>
      <c r="M98" s="149">
        <f t="shared" si="0"/>
        <v>0</v>
      </c>
      <c r="N98" s="58"/>
      <c r="O98" s="36"/>
    </row>
    <row r="99" spans="1:15" x14ac:dyDescent="0.35">
      <c r="A99" s="36"/>
      <c r="B99" s="36"/>
      <c r="C99" s="36"/>
      <c r="D99" s="36"/>
      <c r="E99" s="36"/>
      <c r="F99" s="36"/>
      <c r="G99" s="36"/>
      <c r="H99" s="58"/>
      <c r="I99" s="58"/>
      <c r="J99" s="58"/>
      <c r="K99" s="58"/>
      <c r="L99" s="58"/>
      <c r="M99" s="58"/>
      <c r="N99" s="58"/>
      <c r="O99" s="36"/>
    </row>
    <row r="100" spans="1:15" x14ac:dyDescent="0.35">
      <c r="A100" s="36"/>
      <c r="B100" s="36"/>
      <c r="C100" s="87" t="s">
        <v>757</v>
      </c>
      <c r="D100" s="87"/>
      <c r="E100" s="87"/>
      <c r="F100" s="87"/>
      <c r="G100" s="87"/>
      <c r="H100" s="88"/>
      <c r="I100" s="88"/>
      <c r="J100" s="88"/>
      <c r="K100" s="88"/>
      <c r="L100" s="88"/>
      <c r="M100" s="88"/>
      <c r="N100" s="88"/>
      <c r="O100" s="87"/>
    </row>
    <row r="101" spans="1:15" x14ac:dyDescent="0.35">
      <c r="A101" s="36"/>
      <c r="B101" s="36"/>
      <c r="C101" s="86"/>
      <c r="D101" s="86"/>
      <c r="E101" s="36"/>
      <c r="F101" s="36"/>
      <c r="G101" s="36"/>
      <c r="H101" s="58"/>
      <c r="I101" s="58"/>
      <c r="J101" s="58"/>
      <c r="K101" s="58"/>
      <c r="L101" s="58"/>
      <c r="M101" s="58"/>
      <c r="N101" s="58"/>
      <c r="O101" s="36"/>
    </row>
    <row r="102" spans="1:15" x14ac:dyDescent="0.35">
      <c r="A102" s="36"/>
      <c r="B102" s="36"/>
      <c r="C102" s="36"/>
      <c r="D102" s="86"/>
      <c r="E102" s="92" t="str">
        <f>'Fixed inputs'!E$27</f>
        <v>EDCM discount cap</v>
      </c>
      <c r="F102" s="36"/>
      <c r="G102" s="92" t="str">
        <f>'Fixed inputs'!G$27</f>
        <v>%</v>
      </c>
      <c r="H102" s="130">
        <f>'Fixed inputs'!H$27</f>
        <v>1</v>
      </c>
      <c r="I102" s="106"/>
      <c r="J102" s="106"/>
      <c r="K102" s="106"/>
      <c r="L102" s="106"/>
      <c r="M102" s="106"/>
      <c r="N102" s="58"/>
      <c r="O102" s="36"/>
    </row>
    <row r="103" spans="1:15" x14ac:dyDescent="0.35">
      <c r="A103" s="36"/>
      <c r="B103" s="36"/>
      <c r="C103" s="36"/>
      <c r="D103" s="36"/>
      <c r="E103" s="86"/>
      <c r="F103" s="36"/>
      <c r="G103" s="36"/>
      <c r="H103" s="58"/>
      <c r="I103" s="58"/>
      <c r="J103" s="58"/>
      <c r="K103" s="58"/>
      <c r="L103" s="58"/>
      <c r="M103" s="58"/>
      <c r="N103" s="58"/>
      <c r="O103" s="36"/>
    </row>
    <row r="104" spans="1:15" x14ac:dyDescent="0.35">
      <c r="A104" s="92"/>
      <c r="B104" s="36"/>
      <c r="C104" s="36"/>
      <c r="D104" s="36"/>
      <c r="E104" s="89" t="s">
        <v>758</v>
      </c>
      <c r="F104" s="36"/>
      <c r="G104" s="36"/>
      <c r="H104" s="58"/>
      <c r="I104" s="103" t="s">
        <v>120</v>
      </c>
      <c r="J104" s="58"/>
      <c r="K104" s="58"/>
      <c r="L104" s="58"/>
      <c r="M104" s="58"/>
      <c r="N104" s="58"/>
      <c r="O104" s="92" t="s">
        <v>121</v>
      </c>
    </row>
    <row r="105" spans="1:15" x14ac:dyDescent="0.35">
      <c r="A105" s="36"/>
      <c r="B105" s="36"/>
      <c r="C105" s="36"/>
      <c r="D105" s="36"/>
      <c r="E105" s="36"/>
      <c r="F105" s="90" t="s">
        <v>752</v>
      </c>
      <c r="G105" s="90" t="s">
        <v>119</v>
      </c>
      <c r="H105" s="117"/>
      <c r="I105" s="117"/>
      <c r="J105" s="120">
        <f t="shared" ref="J105:M109" si="1">MIN($H$102, J94)</f>
        <v>0.96157588522568638</v>
      </c>
      <c r="K105" s="120">
        <f t="shared" si="1"/>
        <v>0.93892434845108863</v>
      </c>
      <c r="L105" s="120">
        <f t="shared" si="1"/>
        <v>0.93074409332633878</v>
      </c>
      <c r="M105" s="120">
        <f t="shared" si="1"/>
        <v>0.88338180704808977</v>
      </c>
      <c r="N105" s="58"/>
      <c r="O105" s="36"/>
    </row>
    <row r="106" spans="1:15" x14ac:dyDescent="0.35">
      <c r="A106" s="36"/>
      <c r="B106" s="36"/>
      <c r="C106" s="36"/>
      <c r="D106" s="36"/>
      <c r="E106" s="36"/>
      <c r="F106" s="92" t="s">
        <v>753</v>
      </c>
      <c r="G106" s="92" t="s">
        <v>119</v>
      </c>
      <c r="H106" s="106"/>
      <c r="I106" s="106"/>
      <c r="J106" s="121">
        <f t="shared" si="1"/>
        <v>0.86219263925959966</v>
      </c>
      <c r="K106" s="121">
        <f t="shared" si="1"/>
        <v>0.78095333113354315</v>
      </c>
      <c r="L106" s="121">
        <f t="shared" si="1"/>
        <v>0.75161500088062339</v>
      </c>
      <c r="M106" s="121">
        <f t="shared" si="1"/>
        <v>0.58175105713142439</v>
      </c>
      <c r="N106" s="58"/>
      <c r="O106" s="36"/>
    </row>
    <row r="107" spans="1:15" x14ac:dyDescent="0.35">
      <c r="A107" s="36"/>
      <c r="B107" s="36"/>
      <c r="C107" s="36"/>
      <c r="D107" s="36"/>
      <c r="E107" s="36"/>
      <c r="F107" s="92" t="s">
        <v>754</v>
      </c>
      <c r="G107" s="92" t="s">
        <v>119</v>
      </c>
      <c r="H107" s="106"/>
      <c r="I107" s="106"/>
      <c r="J107" s="121">
        <f t="shared" si="1"/>
        <v>0.80923633352010294</v>
      </c>
      <c r="K107" s="121">
        <f t="shared" si="1"/>
        <v>0.69677856495714041</v>
      </c>
      <c r="L107" s="121">
        <f t="shared" si="1"/>
        <v>0.65616616648019677</v>
      </c>
      <c r="M107" s="121">
        <f t="shared" si="1"/>
        <v>0.42102728465098771</v>
      </c>
      <c r="N107" s="58"/>
      <c r="O107" s="36"/>
    </row>
    <row r="108" spans="1:15" x14ac:dyDescent="0.35">
      <c r="A108" s="36"/>
      <c r="B108" s="36"/>
      <c r="C108" s="36"/>
      <c r="D108" s="36"/>
      <c r="E108" s="36"/>
      <c r="F108" s="92" t="s">
        <v>755</v>
      </c>
      <c r="G108" s="92" t="s">
        <v>119</v>
      </c>
      <c r="H108" s="106"/>
      <c r="I108" s="106"/>
      <c r="J108" s="121">
        <f t="shared" si="1"/>
        <v>0.7445815637045875</v>
      </c>
      <c r="K108" s="121">
        <f t="shared" si="1"/>
        <v>0.59400893147511513</v>
      </c>
      <c r="L108" s="121">
        <f t="shared" si="1"/>
        <v>0.53963193451023306</v>
      </c>
      <c r="M108" s="121">
        <f t="shared" si="1"/>
        <v>0.22479836783941501</v>
      </c>
      <c r="N108" s="58"/>
      <c r="O108" s="36"/>
    </row>
    <row r="109" spans="1:15" x14ac:dyDescent="0.35">
      <c r="A109" s="36"/>
      <c r="B109" s="36"/>
      <c r="C109" s="36"/>
      <c r="D109" s="36"/>
      <c r="E109" s="36"/>
      <c r="F109" s="94" t="s">
        <v>756</v>
      </c>
      <c r="G109" s="94" t="s">
        <v>119</v>
      </c>
      <c r="H109" s="118"/>
      <c r="I109" s="118"/>
      <c r="J109" s="122">
        <f t="shared" si="1"/>
        <v>0.67051354680003827</v>
      </c>
      <c r="K109" s="122">
        <f t="shared" si="1"/>
        <v>0.47627681408082645</v>
      </c>
      <c r="L109" s="122">
        <f t="shared" si="1"/>
        <v>0.40613119685176241</v>
      </c>
      <c r="M109" s="122">
        <f t="shared" si="1"/>
        <v>0</v>
      </c>
      <c r="N109" s="58"/>
      <c r="O109" s="36"/>
    </row>
    <row r="110" spans="1:15" x14ac:dyDescent="0.35">
      <c r="A110" s="36"/>
      <c r="B110" s="36"/>
      <c r="C110" s="36"/>
      <c r="D110" s="36"/>
      <c r="E110" s="36"/>
      <c r="F110" s="36"/>
      <c r="G110" s="36"/>
      <c r="H110" s="58"/>
      <c r="I110" s="58"/>
      <c r="J110" s="58"/>
      <c r="K110" s="58"/>
      <c r="L110" s="58"/>
      <c r="M110" s="58"/>
      <c r="N110" s="58"/>
      <c r="O110" s="36"/>
    </row>
    <row r="111" spans="1:15" x14ac:dyDescent="0.35">
      <c r="A111" s="36"/>
      <c r="B111" s="84" t="s">
        <v>535</v>
      </c>
      <c r="C111" s="84"/>
      <c r="D111" s="84"/>
      <c r="E111" s="84"/>
      <c r="F111" s="84"/>
      <c r="G111" s="84"/>
      <c r="H111" s="85"/>
      <c r="I111" s="85"/>
      <c r="J111" s="85"/>
      <c r="K111" s="85"/>
      <c r="L111" s="85"/>
      <c r="M111" s="85"/>
      <c r="N111" s="85"/>
      <c r="O111" s="84"/>
    </row>
    <row r="112" spans="1:15" x14ac:dyDescent="0.35">
      <c r="A112" s="36"/>
      <c r="B112" s="36"/>
      <c r="C112" s="36"/>
      <c r="D112" s="36"/>
      <c r="E112" s="36"/>
      <c r="F112" s="36"/>
      <c r="G112" s="36"/>
      <c r="H112" s="58"/>
      <c r="I112" s="58"/>
      <c r="J112" s="58"/>
      <c r="K112" s="58"/>
      <c r="L112" s="58"/>
      <c r="M112" s="58"/>
      <c r="N112" s="58"/>
      <c r="O112" s="36"/>
    </row>
    <row r="113" spans="1:15" x14ac:dyDescent="0.35">
      <c r="A113" s="36"/>
      <c r="B113" s="36"/>
      <c r="C113" s="86"/>
      <c r="D113" s="86"/>
      <c r="E113" s="92" t="s">
        <v>693</v>
      </c>
      <c r="F113" s="36"/>
      <c r="G113" s="92" t="s">
        <v>73</v>
      </c>
      <c r="H113" s="126">
        <f>H48 + H85</f>
        <v>0</v>
      </c>
      <c r="I113" s="107"/>
      <c r="J113" s="107"/>
      <c r="K113" s="107"/>
      <c r="L113" s="107"/>
      <c r="M113" s="107"/>
      <c r="N113" s="58"/>
      <c r="O113" s="36"/>
    </row>
    <row r="114" spans="1:15" x14ac:dyDescent="0.35">
      <c r="A114" s="36"/>
      <c r="B114" s="36"/>
      <c r="C114" s="36"/>
      <c r="D114" s="36"/>
      <c r="E114" s="86"/>
      <c r="F114" s="36"/>
      <c r="G114" s="36"/>
      <c r="H114" s="58"/>
      <c r="I114" s="58"/>
      <c r="J114" s="58"/>
      <c r="K114" s="58"/>
      <c r="L114" s="58"/>
      <c r="M114" s="58"/>
      <c r="N114" s="58"/>
      <c r="O114" s="36"/>
    </row>
    <row r="115" spans="1:15" x14ac:dyDescent="0.35">
      <c r="A115" s="36"/>
      <c r="B115" s="84" t="s">
        <v>87</v>
      </c>
      <c r="C115" s="84"/>
      <c r="D115" s="84"/>
      <c r="E115" s="84"/>
      <c r="F115" s="84"/>
      <c r="G115" s="84"/>
      <c r="H115" s="85"/>
      <c r="I115" s="85"/>
      <c r="J115" s="85"/>
      <c r="K115" s="85"/>
      <c r="L115" s="85"/>
      <c r="M115" s="85"/>
      <c r="N115" s="85"/>
      <c r="O115" s="84"/>
    </row>
  </sheetData>
  <sheetProtection sheet="1" objects="1" formatCells="0" formatColumns="0" formatRows="0" sort="0" autoFilter="0"/>
  <conditionalFormatting sqref="H48">
    <cfRule type="cellIs" dxfId="6" priority="4" stopIfTrue="1" operator="greaterThan">
      <formula>0</formula>
    </cfRule>
  </conditionalFormatting>
  <conditionalFormatting sqref="H85">
    <cfRule type="cellIs" dxfId="5" priority="5" stopIfTrue="1" operator="greaterThan">
      <formula>0</formula>
    </cfRule>
  </conditionalFormatting>
  <conditionalFormatting sqref="H113">
    <cfRule type="cellIs" dxfId="4" priority="6" stopIfTrue="1" operator="greaterThan">
      <formula>0</formula>
    </cfRule>
  </conditionalFormatting>
  <conditionalFormatting sqref="A4:XFD4">
    <cfRule type="expression" dxfId="3" priority="1">
      <formula>LEFT($A$4,1) &lt;&gt; "0"</formula>
    </cfRule>
  </conditionalFormatting>
  <hyperlinks>
    <hyperlink ref="B5" location="'Model map'!A1" display="Click here to return to model map" xr:uid="{09AD4F38-71F5-40AE-84EC-7E82ACEAEAAB}"/>
    <hyperlink ref="B5:F5" location="'Model map'!A4" tooltip="Click to return to model map" display="'Model map'!A4" xr:uid="{B3C6AE24-F879-4345-8233-FDB38217C4B5}"/>
    <hyperlink ref="B5:H5" location="'Model map'!A4" tooltip="Click to return to model map" display="'Model map'!A4" xr:uid="{F533A6A7-18F5-4763-9B76-64D82D52A7F9}"/>
    <hyperlink ref="A1" location="Index!A1" display="Index!A1" xr:uid="{72D39024-54D4-4701-8D7D-E6185A325D38}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10" width="40.7265625" customWidth="1"/>
    <col min="11" max="11" width="2.7265625" customWidth="1"/>
    <col min="12" max="16384" width="9.1796875" hidden="1"/>
  </cols>
  <sheetData>
    <row r="1" spans="1:11" x14ac:dyDescent="0.35">
      <c r="A1" s="74" t="str">
        <f ca="1">MID(CELL("filename",A1),FIND("]",CELL("filename",A1))+1,255)</f>
        <v>CDCM discounts</v>
      </c>
      <c r="B1" s="74"/>
      <c r="C1" s="74"/>
      <c r="D1" s="74"/>
      <c r="E1" s="74"/>
      <c r="F1" s="74"/>
      <c r="G1" s="74"/>
      <c r="H1" s="75"/>
      <c r="I1" s="75"/>
      <c r="J1" s="74"/>
      <c r="K1" s="2"/>
    </row>
    <row r="2" spans="1:11" x14ac:dyDescent="0.35">
      <c r="A2" s="74" t="str">
        <f>Cover!D21&amp;" - "&amp;Cover!D23</f>
        <v>Southern Electric Power Distribution - Final</v>
      </c>
      <c r="B2" s="74"/>
      <c r="C2" s="74"/>
      <c r="D2" s="74"/>
      <c r="E2" s="74"/>
      <c r="F2" s="74"/>
      <c r="G2" s="74"/>
      <c r="H2" s="75"/>
      <c r="I2" s="75"/>
      <c r="J2" s="74"/>
      <c r="K2" s="2"/>
    </row>
    <row r="3" spans="1:11" x14ac:dyDescent="0.35">
      <c r="A3" s="76" t="str">
        <f>Cover!D2&amp;" - "&amp;Cover!D8&amp;" v"&amp;Cover!D10&amp;" - "&amp;Cover!D19</f>
        <v>PCDM charging model - Release for charge setting v5 - 2024/25</v>
      </c>
      <c r="B3" s="77"/>
      <c r="C3" s="77"/>
      <c r="D3" s="77"/>
      <c r="E3" s="77"/>
      <c r="F3" s="77"/>
      <c r="G3" s="77"/>
      <c r="H3" s="78"/>
      <c r="I3" s="78"/>
      <c r="J3" s="77"/>
      <c r="K3" s="3"/>
    </row>
    <row r="4" spans="1:11" x14ac:dyDescent="0.35">
      <c r="A4" s="57" t="str">
        <f>H43 &amp; IF(H43 = 1, " issue", " issues") &amp;" identified in checks on this sheet"</f>
        <v>0 issues identified in checks on this sheet</v>
      </c>
      <c r="B4" s="36"/>
      <c r="C4" s="36"/>
      <c r="D4" s="36"/>
      <c r="E4" s="36"/>
      <c r="F4" s="36"/>
      <c r="G4" s="36"/>
      <c r="H4" s="58"/>
      <c r="I4" s="58"/>
      <c r="J4" s="36"/>
    </row>
    <row r="5" spans="1:11" x14ac:dyDescent="0.35">
      <c r="A5" s="36"/>
      <c r="B5" s="79" t="s">
        <v>104</v>
      </c>
      <c r="C5" s="42"/>
      <c r="D5" s="42"/>
      <c r="E5" s="42"/>
      <c r="F5" s="42"/>
      <c r="G5" s="80" t="s">
        <v>105</v>
      </c>
      <c r="H5" s="81" t="s">
        <v>106</v>
      </c>
      <c r="I5" s="82"/>
      <c r="J5" s="83" t="s">
        <v>107</v>
      </c>
    </row>
    <row r="6" spans="1:11" x14ac:dyDescent="0.35">
      <c r="A6" s="36"/>
      <c r="B6" s="36"/>
      <c r="C6" s="36"/>
      <c r="D6" s="36"/>
      <c r="E6" s="36"/>
      <c r="F6" s="36"/>
      <c r="G6" s="36"/>
      <c r="H6" s="58"/>
      <c r="I6" s="58"/>
      <c r="J6" s="36"/>
    </row>
    <row r="7" spans="1:11" x14ac:dyDescent="0.35">
      <c r="A7" s="36"/>
      <c r="B7" s="84" t="s">
        <v>13</v>
      </c>
      <c r="C7" s="84"/>
      <c r="D7" s="84"/>
      <c r="E7" s="84"/>
      <c r="F7" s="84"/>
      <c r="G7" s="84"/>
      <c r="H7" s="85"/>
      <c r="I7" s="85"/>
      <c r="J7" s="84"/>
    </row>
    <row r="8" spans="1:11" x14ac:dyDescent="0.35">
      <c r="A8" s="36"/>
      <c r="B8" s="36"/>
      <c r="C8" s="36"/>
      <c r="D8" s="36"/>
      <c r="E8" s="36"/>
      <c r="F8" s="36"/>
      <c r="G8" s="36"/>
      <c r="H8" s="58"/>
      <c r="I8" s="58"/>
      <c r="J8" s="36"/>
    </row>
    <row r="9" spans="1:11" x14ac:dyDescent="0.35">
      <c r="A9" s="36"/>
      <c r="B9" s="36"/>
      <c r="C9" s="86" t="s">
        <v>759</v>
      </c>
      <c r="D9" s="86"/>
      <c r="E9" s="36"/>
      <c r="F9" s="36"/>
      <c r="G9" s="36"/>
      <c r="H9" s="58"/>
      <c r="I9" s="58"/>
      <c r="J9" s="36"/>
    </row>
    <row r="10" spans="1:11" x14ac:dyDescent="0.35">
      <c r="A10" s="36"/>
      <c r="B10" s="36"/>
      <c r="C10" s="86"/>
      <c r="D10" s="86"/>
      <c r="E10" s="36"/>
      <c r="F10" s="36"/>
      <c r="G10" s="36"/>
      <c r="H10" s="58"/>
      <c r="I10" s="58"/>
      <c r="J10" s="36"/>
    </row>
    <row r="11" spans="1:11" x14ac:dyDescent="0.35">
      <c r="A11" s="36"/>
      <c r="B11" s="84" t="s">
        <v>760</v>
      </c>
      <c r="C11" s="84"/>
      <c r="D11" s="84"/>
      <c r="E11" s="84"/>
      <c r="F11" s="84"/>
      <c r="G11" s="84"/>
      <c r="H11" s="85"/>
      <c r="I11" s="85"/>
      <c r="J11" s="84"/>
    </row>
    <row r="12" spans="1:11" x14ac:dyDescent="0.35">
      <c r="A12" s="36"/>
      <c r="B12" s="36"/>
      <c r="C12" s="36"/>
      <c r="D12" s="36"/>
      <c r="E12" s="36"/>
      <c r="F12" s="36"/>
      <c r="G12" s="36"/>
      <c r="H12" s="58"/>
      <c r="I12" s="58"/>
      <c r="J12" s="36"/>
    </row>
    <row r="13" spans="1:11" x14ac:dyDescent="0.35">
      <c r="A13" s="36"/>
      <c r="B13" s="36"/>
      <c r="C13" s="86" t="s">
        <v>761</v>
      </c>
      <c r="D13" s="86"/>
      <c r="E13" s="36"/>
      <c r="F13" s="36"/>
      <c r="G13" s="36"/>
      <c r="H13" s="58"/>
      <c r="I13" s="58"/>
      <c r="J13" s="36"/>
    </row>
    <row r="14" spans="1:11" x14ac:dyDescent="0.35">
      <c r="A14" s="36"/>
      <c r="B14" s="36"/>
      <c r="C14" s="86"/>
      <c r="D14" s="156"/>
      <c r="E14" s="36"/>
      <c r="F14" s="36"/>
      <c r="G14" s="36"/>
      <c r="H14" s="58"/>
      <c r="I14" s="58"/>
      <c r="J14" s="36"/>
    </row>
    <row r="15" spans="1:11" x14ac:dyDescent="0.35">
      <c r="A15" s="36"/>
      <c r="B15" s="36"/>
      <c r="C15" s="87" t="s">
        <v>762</v>
      </c>
      <c r="D15" s="87"/>
      <c r="E15" s="87"/>
      <c r="F15" s="87"/>
      <c r="G15" s="87"/>
      <c r="H15" s="87"/>
      <c r="I15" s="87"/>
      <c r="J15" s="87"/>
    </row>
    <row r="16" spans="1:11" x14ac:dyDescent="0.35">
      <c r="A16" s="36"/>
      <c r="B16" s="36"/>
      <c r="C16" s="86"/>
      <c r="D16" s="156"/>
      <c r="E16" s="36"/>
      <c r="F16" s="36"/>
      <c r="G16" s="36"/>
      <c r="H16" s="58"/>
      <c r="I16" s="58"/>
      <c r="J16" s="36"/>
    </row>
    <row r="17" spans="1:10" x14ac:dyDescent="0.35">
      <c r="A17" s="36"/>
      <c r="B17" s="36"/>
      <c r="C17" s="36"/>
      <c r="D17" s="36"/>
      <c r="E17" s="96" t="s">
        <v>763</v>
      </c>
      <c r="F17" s="36"/>
      <c r="G17" s="36"/>
      <c r="H17" s="58"/>
      <c r="I17" s="58"/>
      <c r="J17" s="36"/>
    </row>
    <row r="18" spans="1:10" x14ac:dyDescent="0.35">
      <c r="A18" s="36"/>
      <c r="B18" s="36"/>
      <c r="C18" s="36"/>
      <c r="D18" s="36"/>
      <c r="E18" s="36"/>
      <c r="F18" s="158" t="str">
        <f>'Rev allocation'!J5</f>
        <v>LV services</v>
      </c>
      <c r="G18" s="90" t="str">
        <f>'Rev allocation'!G146</f>
        <v>%</v>
      </c>
      <c r="H18" s="132">
        <f>'Rev allocation'!J146</f>
        <v>0.13489754061843673</v>
      </c>
      <c r="I18" s="58"/>
      <c r="J18" s="36"/>
    </row>
    <row r="19" spans="1:10" x14ac:dyDescent="0.35">
      <c r="A19" s="36"/>
      <c r="B19" s="36"/>
      <c r="C19" s="36"/>
      <c r="D19" s="36"/>
      <c r="E19" s="36"/>
      <c r="F19" s="97" t="str">
        <f>'Rev allocation'!K5</f>
        <v>LV mains</v>
      </c>
      <c r="G19" s="92" t="s">
        <v>119</v>
      </c>
      <c r="H19" s="130">
        <f>'Rev allocation'!K146</f>
        <v>0.25103116498479228</v>
      </c>
      <c r="I19" s="58"/>
      <c r="J19" s="36"/>
    </row>
    <row r="20" spans="1:10" x14ac:dyDescent="0.35">
      <c r="A20" s="36"/>
      <c r="B20" s="36"/>
      <c r="C20" s="36"/>
      <c r="D20" s="36"/>
      <c r="E20" s="36"/>
      <c r="F20" s="97" t="str">
        <f>'Rev allocation'!L5</f>
        <v>HV/LV</v>
      </c>
      <c r="G20" s="92" t="s">
        <v>119</v>
      </c>
      <c r="H20" s="130">
        <f>'Rev allocation'!L146</f>
        <v>7.8220848298791015E-2</v>
      </c>
      <c r="I20" s="58"/>
      <c r="J20" s="36"/>
    </row>
    <row r="21" spans="1:10" x14ac:dyDescent="0.35">
      <c r="A21" s="36"/>
      <c r="B21" s="36"/>
      <c r="C21" s="36"/>
      <c r="D21" s="36"/>
      <c r="E21" s="36"/>
      <c r="F21" s="94" t="str">
        <f>'Rev allocation'!M5</f>
        <v>HV</v>
      </c>
      <c r="G21" s="94" t="s">
        <v>119</v>
      </c>
      <c r="H21" s="133">
        <f>'Rev allocation'!M146</f>
        <v>0.23893321713559934</v>
      </c>
      <c r="I21" s="58"/>
      <c r="J21" s="36"/>
    </row>
    <row r="22" spans="1:10" x14ac:dyDescent="0.35">
      <c r="A22" s="36"/>
      <c r="B22" s="36"/>
      <c r="C22" s="36"/>
      <c r="D22" s="36"/>
      <c r="E22" s="36"/>
      <c r="F22" s="36"/>
      <c r="G22" s="36"/>
      <c r="H22" s="58"/>
      <c r="I22" s="58"/>
      <c r="J22" s="36"/>
    </row>
    <row r="23" spans="1:10" x14ac:dyDescent="0.35">
      <c r="A23" s="36"/>
      <c r="B23" s="36"/>
      <c r="C23" s="36"/>
      <c r="D23" s="36"/>
      <c r="E23" s="97" t="s">
        <v>764</v>
      </c>
      <c r="F23" s="36"/>
      <c r="G23" s="92" t="s">
        <v>73</v>
      </c>
      <c r="H23" s="107">
        <f>IF(SUM(H18:H21) = 0, 1, 0)</f>
        <v>0</v>
      </c>
      <c r="I23" s="58"/>
      <c r="J23" s="36"/>
    </row>
    <row r="24" spans="1:10" x14ac:dyDescent="0.35">
      <c r="A24" s="36"/>
      <c r="B24" s="36"/>
      <c r="C24" s="36"/>
      <c r="D24" s="36"/>
      <c r="E24" s="156"/>
      <c r="F24" s="36"/>
      <c r="G24" s="36"/>
      <c r="H24" s="58"/>
      <c r="I24" s="58"/>
      <c r="J24" s="36"/>
    </row>
    <row r="25" spans="1:10" x14ac:dyDescent="0.35">
      <c r="A25" s="36"/>
      <c r="B25" s="36"/>
      <c r="C25" s="87" t="s">
        <v>765</v>
      </c>
      <c r="D25" s="87"/>
      <c r="E25" s="87"/>
      <c r="F25" s="87"/>
      <c r="G25" s="87"/>
      <c r="H25" s="87"/>
      <c r="I25" s="87"/>
      <c r="J25" s="87"/>
    </row>
    <row r="26" spans="1:10" x14ac:dyDescent="0.35">
      <c r="A26" s="36"/>
      <c r="B26" s="36"/>
      <c r="C26" s="86"/>
      <c r="D26" s="156"/>
      <c r="E26" s="36"/>
      <c r="F26" s="36"/>
      <c r="G26" s="36"/>
      <c r="H26" s="58"/>
      <c r="I26" s="58"/>
      <c r="J26" s="36"/>
    </row>
    <row r="27" spans="1:10" x14ac:dyDescent="0.35">
      <c r="A27" s="36"/>
      <c r="B27" s="36"/>
      <c r="C27" s="36"/>
      <c r="D27" s="36"/>
      <c r="E27" s="97" t="str">
        <f>'DNO inputs'!E26</f>
        <v>HV split</v>
      </c>
      <c r="F27" s="36"/>
      <c r="G27" s="92" t="str">
        <f>'DNO inputs'!G26</f>
        <v>%</v>
      </c>
      <c r="H27" s="130">
        <f>'DNO inputs'!H26</f>
        <v>0.88845608931048481</v>
      </c>
      <c r="I27" s="58"/>
      <c r="J27" s="36"/>
    </row>
    <row r="28" spans="1:10" x14ac:dyDescent="0.35">
      <c r="A28" s="36"/>
      <c r="B28" s="36"/>
      <c r="C28" s="36"/>
      <c r="D28" s="36"/>
      <c r="E28" s="97" t="str">
        <f>'DNO inputs'!E19</f>
        <v>LV mains split</v>
      </c>
      <c r="F28" s="36"/>
      <c r="G28" s="92" t="str">
        <f>'DNO inputs'!G19</f>
        <v>%</v>
      </c>
      <c r="H28" s="130">
        <f>'DNO inputs'!H19</f>
        <v>0.11040335738923947</v>
      </c>
      <c r="I28" s="58"/>
      <c r="J28" s="36"/>
    </row>
    <row r="29" spans="1:10" x14ac:dyDescent="0.35">
      <c r="A29" s="36"/>
      <c r="B29" s="36"/>
      <c r="C29" s="36"/>
      <c r="D29" s="36"/>
      <c r="E29" s="156"/>
      <c r="F29" s="36"/>
      <c r="G29" s="36"/>
      <c r="H29" s="58"/>
      <c r="I29" s="58"/>
      <c r="J29" s="36"/>
    </row>
    <row r="30" spans="1:10" x14ac:dyDescent="0.35">
      <c r="A30" s="36"/>
      <c r="B30" s="36"/>
      <c r="C30" s="36"/>
      <c r="D30" s="36"/>
      <c r="E30" s="97" t="str">
        <f>Direct!F57</f>
        <v>HV direct proportion</v>
      </c>
      <c r="F30" s="36"/>
      <c r="G30" s="92" t="str">
        <f>Direct!G57</f>
        <v>%</v>
      </c>
      <c r="H30" s="130">
        <f>Direct!H57</f>
        <v>0.74330839281191907</v>
      </c>
      <c r="I30" s="58"/>
      <c r="J30" s="36"/>
    </row>
    <row r="31" spans="1:10" x14ac:dyDescent="0.35">
      <c r="A31" s="36"/>
      <c r="B31" s="36"/>
      <c r="C31" s="36"/>
      <c r="D31" s="36"/>
      <c r="E31" s="97" t="str">
        <f>Direct!F58</f>
        <v>LV direct proportion</v>
      </c>
      <c r="F31" s="36"/>
      <c r="G31" s="92" t="str">
        <f>Direct!G58</f>
        <v>%</v>
      </c>
      <c r="H31" s="130">
        <f>Direct!H58</f>
        <v>0.53959826151702417</v>
      </c>
      <c r="I31" s="58"/>
      <c r="J31" s="36"/>
    </row>
    <row r="32" spans="1:10" x14ac:dyDescent="0.35">
      <c r="A32" s="36"/>
      <c r="B32" s="36"/>
      <c r="C32" s="36"/>
      <c r="D32" s="36"/>
      <c r="E32" s="156"/>
      <c r="F32" s="36"/>
      <c r="G32" s="36"/>
      <c r="H32" s="58"/>
      <c r="I32" s="58"/>
      <c r="J32" s="36"/>
    </row>
    <row r="33" spans="1:10" x14ac:dyDescent="0.35">
      <c r="A33" s="36"/>
      <c r="B33" s="36"/>
      <c r="C33" s="87" t="s">
        <v>766</v>
      </c>
      <c r="D33" s="87"/>
      <c r="E33" s="87"/>
      <c r="F33" s="87"/>
      <c r="G33" s="87"/>
      <c r="H33" s="87"/>
      <c r="I33" s="87"/>
      <c r="J33" s="87"/>
    </row>
    <row r="34" spans="1:10" x14ac:dyDescent="0.35">
      <c r="A34" s="36"/>
      <c r="B34" s="36"/>
      <c r="C34" s="86"/>
      <c r="D34" s="156"/>
      <c r="E34" s="36"/>
      <c r="F34" s="36"/>
      <c r="G34" s="36"/>
      <c r="H34" s="58"/>
      <c r="I34" s="58"/>
      <c r="J34" s="36"/>
    </row>
    <row r="35" spans="1:10" x14ac:dyDescent="0.35">
      <c r="A35" s="36"/>
      <c r="B35" s="36"/>
      <c r="C35" s="36"/>
      <c r="D35" s="36"/>
      <c r="E35" s="96" t="s">
        <v>767</v>
      </c>
      <c r="F35" s="36"/>
      <c r="G35" s="36"/>
      <c r="H35" s="58"/>
      <c r="I35" s="58"/>
      <c r="J35" s="36"/>
    </row>
    <row r="36" spans="1:10" x14ac:dyDescent="0.35">
      <c r="A36" s="92"/>
      <c r="B36" s="36"/>
      <c r="C36" s="36"/>
      <c r="D36" s="36"/>
      <c r="E36" s="36"/>
      <c r="F36" s="90" t="s">
        <v>768</v>
      </c>
      <c r="G36" s="90" t="s">
        <v>119</v>
      </c>
      <c r="H36" s="153">
        <f>H18 + (H19 * ( 1 - H28 * H31))</f>
        <v>0.37097391060933105</v>
      </c>
      <c r="I36" s="103" t="s">
        <v>120</v>
      </c>
      <c r="J36" s="92" t="s">
        <v>769</v>
      </c>
    </row>
    <row r="37" spans="1:10" x14ac:dyDescent="0.35">
      <c r="A37" s="92"/>
      <c r="B37" s="36"/>
      <c r="C37" s="36"/>
      <c r="D37" s="36"/>
      <c r="E37" s="36"/>
      <c r="F37" s="97" t="s">
        <v>770</v>
      </c>
      <c r="G37" s="92" t="s">
        <v>119</v>
      </c>
      <c r="H37" s="121">
        <f>H18 + H19 + H20 + H21 * (1 - (H27 * H30))</f>
        <v>0.54529202282088218</v>
      </c>
      <c r="I37" s="103" t="s">
        <v>120</v>
      </c>
      <c r="J37" s="92" t="s">
        <v>771</v>
      </c>
    </row>
    <row r="38" spans="1:10" x14ac:dyDescent="0.35">
      <c r="A38" s="92"/>
      <c r="B38" s="36"/>
      <c r="C38" s="36"/>
      <c r="D38" s="36"/>
      <c r="E38" s="36"/>
      <c r="F38" s="97" t="s">
        <v>772</v>
      </c>
      <c r="G38" s="92" t="s">
        <v>119</v>
      </c>
      <c r="H38" s="153">
        <f>(H20 + H21 * (1 - H27 * H30)) / (1 - H19 - H18)</f>
        <v>0.25951924258925446</v>
      </c>
      <c r="I38" s="103" t="s">
        <v>120</v>
      </c>
      <c r="J38" s="92" t="s">
        <v>773</v>
      </c>
    </row>
    <row r="39" spans="1:10" x14ac:dyDescent="0.35">
      <c r="A39" s="92"/>
      <c r="B39" s="36"/>
      <c r="C39" s="36"/>
      <c r="D39" s="36"/>
      <c r="E39" s="36"/>
      <c r="F39" s="94" t="s">
        <v>774</v>
      </c>
      <c r="G39" s="94" t="s">
        <v>119</v>
      </c>
      <c r="H39" s="122">
        <f>H21 * (1 - H27 * H30) / (1 - H18 - H19 - H20)</f>
        <v>0.15142745426403037</v>
      </c>
      <c r="I39" s="103" t="s">
        <v>120</v>
      </c>
      <c r="J39" s="92" t="s">
        <v>775</v>
      </c>
    </row>
    <row r="40" spans="1:10" x14ac:dyDescent="0.35">
      <c r="A40" s="36"/>
      <c r="B40" s="36"/>
      <c r="C40" s="36"/>
      <c r="D40" s="36"/>
      <c r="E40" s="36"/>
      <c r="F40" s="36"/>
      <c r="G40" s="36"/>
      <c r="H40" s="58"/>
      <c r="I40" s="58"/>
      <c r="J40" s="36"/>
    </row>
    <row r="41" spans="1:10" x14ac:dyDescent="0.35">
      <c r="A41" s="36"/>
      <c r="B41" s="84" t="s">
        <v>535</v>
      </c>
      <c r="C41" s="84"/>
      <c r="D41" s="84"/>
      <c r="E41" s="84"/>
      <c r="F41" s="84"/>
      <c r="G41" s="84"/>
      <c r="H41" s="85"/>
      <c r="I41" s="85"/>
      <c r="J41" s="84"/>
    </row>
    <row r="42" spans="1:10" x14ac:dyDescent="0.35">
      <c r="A42" s="36"/>
      <c r="B42" s="36"/>
      <c r="C42" s="36"/>
      <c r="D42" s="36"/>
      <c r="E42" s="36"/>
      <c r="F42" s="36"/>
      <c r="G42" s="36"/>
      <c r="H42" s="58"/>
      <c r="I42" s="58"/>
      <c r="J42" s="36"/>
    </row>
    <row r="43" spans="1:10" x14ac:dyDescent="0.35">
      <c r="A43" s="36"/>
      <c r="B43" s="36"/>
      <c r="C43" s="86"/>
      <c r="D43" s="86"/>
      <c r="E43" s="92" t="s">
        <v>693</v>
      </c>
      <c r="F43" s="36"/>
      <c r="G43" s="92" t="s">
        <v>73</v>
      </c>
      <c r="H43" s="126">
        <f>H23</f>
        <v>0</v>
      </c>
      <c r="I43" s="58"/>
      <c r="J43" s="36"/>
    </row>
    <row r="44" spans="1:10" x14ac:dyDescent="0.35">
      <c r="A44" s="36"/>
      <c r="B44" s="36"/>
      <c r="C44" s="36"/>
      <c r="D44" s="36"/>
      <c r="E44" s="86"/>
      <c r="F44" s="36"/>
      <c r="G44" s="36"/>
      <c r="H44" s="58"/>
      <c r="I44" s="58"/>
      <c r="J44" s="36"/>
    </row>
    <row r="45" spans="1:10" x14ac:dyDescent="0.35">
      <c r="A45" s="36"/>
      <c r="B45" s="84" t="s">
        <v>87</v>
      </c>
      <c r="C45" s="84"/>
      <c r="D45" s="84"/>
      <c r="E45" s="84"/>
      <c r="F45" s="84"/>
      <c r="G45" s="84"/>
      <c r="H45" s="85"/>
      <c r="I45" s="85"/>
      <c r="J45" s="84"/>
    </row>
  </sheetData>
  <sheetProtection sheet="1" objects="1" formatCells="0" formatColumns="0" formatRows="0" sort="0" autoFilter="0"/>
  <conditionalFormatting sqref="H23">
    <cfRule type="cellIs" dxfId="2" priority="3" stopIfTrue="1" operator="greaterThan">
      <formula>0</formula>
    </cfRule>
  </conditionalFormatting>
  <conditionalFormatting sqref="H43">
    <cfRule type="cellIs" dxfId="1" priority="4" stopIfTrue="1" operator="greaterThan">
      <formula>0</formula>
    </cfRule>
  </conditionalFormatting>
  <conditionalFormatting sqref="A4:XFD4">
    <cfRule type="expression" dxfId="0" priority="1">
      <formula>LEFT($A$4,1) &lt;&gt; "0"</formula>
    </cfRule>
  </conditionalFormatting>
  <hyperlinks>
    <hyperlink ref="B5" location="'Model map'!A1" display="Click here to return to model map" xr:uid="{B6081C7D-EDB4-4884-A596-51B913F3F8F0}"/>
    <hyperlink ref="B5:F5" location="'Model map'!A4" tooltip="Click to return to model map" display="'Model map'!A4" xr:uid="{48B400A1-A47B-49C8-9F14-2985C154290D}"/>
    <hyperlink ref="B5:H5" location="'Model map'!A4" tooltip="Click to return to model map" display="'Model map'!A4" xr:uid="{00215343-A15C-4539-B525-CCFF14E4B6C9}"/>
    <hyperlink ref="A1" location="Index!A1" display="Index!A1" xr:uid="{668B68D1-ED89-49BB-85B5-C2EC456BCE9B}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theme="9" tint="0.39997558519241921"/>
  </sheetPr>
  <dimension ref="A1:K6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10" width="40.7265625" customWidth="1"/>
    <col min="11" max="11" width="2.7265625" customWidth="1"/>
    <col min="12" max="16384" width="9.1796875" hidden="1"/>
  </cols>
  <sheetData>
    <row r="1" spans="1:11" x14ac:dyDescent="0.35">
      <c r="A1" s="74" t="str">
        <f ca="1">MID(CELL("filename",A1),FIND("]",CELL("filename",A1))+1,255)</f>
        <v>Output to other models</v>
      </c>
      <c r="B1" s="74"/>
      <c r="C1" s="74"/>
      <c r="D1" s="74"/>
      <c r="E1" s="74"/>
      <c r="F1" s="74"/>
      <c r="G1" s="74"/>
      <c r="H1" s="75"/>
      <c r="I1" s="75"/>
      <c r="J1" s="74"/>
      <c r="K1" s="2"/>
    </row>
    <row r="2" spans="1:11" x14ac:dyDescent="0.35">
      <c r="A2" s="74" t="str">
        <f>Cover!D21&amp;" - "&amp;Cover!D23</f>
        <v>Southern Electric Power Distribution - Final</v>
      </c>
      <c r="B2" s="74"/>
      <c r="C2" s="74"/>
      <c r="D2" s="74"/>
      <c r="E2" s="74"/>
      <c r="F2" s="74"/>
      <c r="G2" s="74"/>
      <c r="H2" s="75"/>
      <c r="I2" s="75"/>
      <c r="J2" s="74"/>
      <c r="K2" s="2"/>
    </row>
    <row r="3" spans="1:11" x14ac:dyDescent="0.35">
      <c r="A3" s="76" t="str">
        <f>Cover!D2&amp;" - "&amp;Cover!D8&amp;" v"&amp;Cover!D10&amp;" - "&amp;Cover!D19</f>
        <v>PCDM charging model - Release for charge setting v5 - 2024/25</v>
      </c>
      <c r="B3" s="77"/>
      <c r="C3" s="77"/>
      <c r="D3" s="77"/>
      <c r="E3" s="77"/>
      <c r="F3" s="77"/>
      <c r="G3" s="77"/>
      <c r="H3" s="78"/>
      <c r="I3" s="78"/>
      <c r="J3" s="77"/>
      <c r="K3" s="3"/>
    </row>
    <row r="4" spans="1:11" x14ac:dyDescent="0.35">
      <c r="A4" s="36"/>
      <c r="B4" s="36"/>
      <c r="C4" s="36"/>
      <c r="D4" s="36"/>
      <c r="E4" s="36"/>
      <c r="F4" s="36"/>
      <c r="G4" s="36"/>
      <c r="H4" s="58"/>
      <c r="I4" s="58"/>
      <c r="J4" s="36"/>
    </row>
    <row r="5" spans="1:11" x14ac:dyDescent="0.35">
      <c r="A5" s="36"/>
      <c r="B5" s="79" t="s">
        <v>104</v>
      </c>
      <c r="C5" s="42"/>
      <c r="D5" s="42"/>
      <c r="E5" s="42"/>
      <c r="F5" s="42"/>
      <c r="G5" s="80" t="s">
        <v>105</v>
      </c>
      <c r="H5" s="81" t="s">
        <v>106</v>
      </c>
      <c r="I5" s="82"/>
      <c r="J5" s="83" t="s">
        <v>107</v>
      </c>
    </row>
    <row r="6" spans="1:11" x14ac:dyDescent="0.35">
      <c r="A6" s="36"/>
      <c r="B6" s="36"/>
      <c r="C6" s="36"/>
      <c r="D6" s="36"/>
      <c r="E6" s="36"/>
      <c r="F6" s="36"/>
      <c r="G6" s="36"/>
      <c r="H6" s="58"/>
      <c r="I6" s="58"/>
      <c r="J6" s="36"/>
    </row>
    <row r="7" spans="1:11" x14ac:dyDescent="0.35">
      <c r="A7" s="36"/>
      <c r="B7" s="84" t="s">
        <v>13</v>
      </c>
      <c r="C7" s="84"/>
      <c r="D7" s="84"/>
      <c r="E7" s="84"/>
      <c r="F7" s="84"/>
      <c r="G7" s="84"/>
      <c r="H7" s="85"/>
      <c r="I7" s="85"/>
      <c r="J7" s="84"/>
    </row>
    <row r="8" spans="1:11" x14ac:dyDescent="0.35">
      <c r="A8" s="36"/>
      <c r="B8" s="36"/>
      <c r="C8" s="36"/>
      <c r="D8" s="36"/>
      <c r="E8" s="36"/>
      <c r="F8" s="36"/>
      <c r="G8" s="36"/>
      <c r="H8" s="58"/>
      <c r="I8" s="58"/>
      <c r="J8" s="36"/>
    </row>
    <row r="9" spans="1:11" x14ac:dyDescent="0.35">
      <c r="A9" s="36"/>
      <c r="B9" s="36"/>
      <c r="C9" s="86" t="s">
        <v>776</v>
      </c>
      <c r="D9" s="86"/>
      <c r="E9" s="36"/>
      <c r="F9" s="36"/>
      <c r="G9" s="36"/>
      <c r="H9" s="58"/>
      <c r="I9" s="58"/>
      <c r="J9" s="36"/>
    </row>
    <row r="10" spans="1:11" x14ac:dyDescent="0.35">
      <c r="A10" s="36"/>
      <c r="B10" s="36"/>
      <c r="C10" s="86"/>
      <c r="D10" s="86"/>
      <c r="E10" s="36"/>
      <c r="F10" s="36"/>
      <c r="G10" s="36"/>
      <c r="H10" s="58"/>
      <c r="I10" s="58"/>
      <c r="J10" s="36"/>
    </row>
    <row r="11" spans="1:11" x14ac:dyDescent="0.35">
      <c r="A11" s="36"/>
      <c r="B11" s="84" t="s">
        <v>777</v>
      </c>
      <c r="C11" s="84"/>
      <c r="D11" s="84"/>
      <c r="E11" s="84"/>
      <c r="F11" s="84"/>
      <c r="G11" s="84"/>
      <c r="H11" s="85"/>
      <c r="I11" s="85"/>
      <c r="J11" s="84"/>
    </row>
    <row r="12" spans="1:11" x14ac:dyDescent="0.35">
      <c r="A12" s="36"/>
      <c r="B12" s="36"/>
      <c r="C12" s="36"/>
      <c r="D12" s="36"/>
      <c r="E12" s="36"/>
      <c r="F12" s="36"/>
      <c r="G12" s="36"/>
      <c r="H12" s="58"/>
      <c r="I12" s="58"/>
      <c r="J12" s="36"/>
    </row>
    <row r="13" spans="1:11" x14ac:dyDescent="0.35">
      <c r="A13" s="36"/>
      <c r="B13" s="36"/>
      <c r="C13" s="86" t="s">
        <v>778</v>
      </c>
      <c r="D13" s="86"/>
      <c r="E13" s="36"/>
      <c r="F13" s="36"/>
      <c r="G13" s="36"/>
      <c r="H13" s="58"/>
      <c r="I13" s="58"/>
      <c r="J13" s="36"/>
    </row>
    <row r="14" spans="1:11" x14ac:dyDescent="0.35">
      <c r="A14" s="36"/>
      <c r="B14" s="36"/>
      <c r="C14" s="86"/>
      <c r="D14" s="86"/>
      <c r="E14" s="36"/>
      <c r="F14" s="36"/>
      <c r="G14" s="36"/>
      <c r="H14" s="58"/>
      <c r="I14" s="58"/>
      <c r="J14" s="36"/>
    </row>
    <row r="15" spans="1:11" x14ac:dyDescent="0.35">
      <c r="A15" s="36"/>
      <c r="B15" s="36"/>
      <c r="C15" s="87" t="s">
        <v>779</v>
      </c>
      <c r="D15" s="87"/>
      <c r="E15" s="87"/>
      <c r="F15" s="87"/>
      <c r="G15" s="87"/>
      <c r="H15" s="88"/>
      <c r="I15" s="88"/>
      <c r="J15" s="87"/>
    </row>
    <row r="16" spans="1:11" x14ac:dyDescent="0.35">
      <c r="A16" s="36"/>
      <c r="B16" s="36"/>
      <c r="C16" s="86"/>
      <c r="D16" s="86"/>
      <c r="E16" s="36"/>
      <c r="F16" s="36"/>
      <c r="G16" s="36"/>
      <c r="H16" s="58"/>
      <c r="I16" s="58"/>
      <c r="J16" s="36"/>
    </row>
    <row r="17" spans="1:10" x14ac:dyDescent="0.35">
      <c r="A17" s="36"/>
      <c r="B17" s="36"/>
      <c r="C17" s="86"/>
      <c r="D17" s="86" t="s">
        <v>780</v>
      </c>
      <c r="E17" s="36"/>
      <c r="F17" s="36"/>
      <c r="G17" s="36"/>
      <c r="H17" s="58"/>
      <c r="I17" s="58"/>
      <c r="J17" s="36"/>
    </row>
    <row r="18" spans="1:10" x14ac:dyDescent="0.35">
      <c r="A18" s="36"/>
      <c r="B18" s="36"/>
      <c r="C18" s="86"/>
      <c r="D18" s="86"/>
      <c r="E18" s="36"/>
      <c r="F18" s="36"/>
      <c r="G18" s="36"/>
      <c r="H18" s="58"/>
      <c r="I18" s="58"/>
      <c r="J18" s="36"/>
    </row>
    <row r="19" spans="1:10" x14ac:dyDescent="0.35">
      <c r="A19" s="36"/>
      <c r="B19" s="36"/>
      <c r="C19" s="36"/>
      <c r="D19" s="86"/>
      <c r="E19" s="89" t="str">
        <f>'CDCM discounts'!E35</f>
        <v>PCDM user discount for CDCM</v>
      </c>
      <c r="F19" s="36"/>
      <c r="G19" s="36"/>
      <c r="H19" s="58"/>
      <c r="I19" s="58"/>
      <c r="J19" s="36"/>
    </row>
    <row r="20" spans="1:10" x14ac:dyDescent="0.35">
      <c r="A20" s="36"/>
      <c r="B20" s="36"/>
      <c r="C20" s="36"/>
      <c r="D20" s="36"/>
      <c r="E20" s="36"/>
      <c r="F20" s="90" t="str">
        <f>'CDCM discounts'!F36</f>
        <v>LDNO LV: LV user</v>
      </c>
      <c r="G20" s="90" t="str">
        <f>'CDCM discounts'!G36</f>
        <v>%</v>
      </c>
      <c r="H20" s="91">
        <f>'CDCM discounts'!H36</f>
        <v>0.37097391060933105</v>
      </c>
      <c r="I20" s="58"/>
      <c r="J20" s="36"/>
    </row>
    <row r="21" spans="1:10" x14ac:dyDescent="0.35">
      <c r="A21" s="36"/>
      <c r="B21" s="36"/>
      <c r="C21" s="36"/>
      <c r="D21" s="36"/>
      <c r="E21" s="36"/>
      <c r="F21" s="92" t="str">
        <f>'CDCM discounts'!F37</f>
        <v>LDNO HV: LV user</v>
      </c>
      <c r="G21" s="92" t="str">
        <f>'CDCM discounts'!G37</f>
        <v>%</v>
      </c>
      <c r="H21" s="93">
        <f>'CDCM discounts'!H37</f>
        <v>0.54529202282088218</v>
      </c>
      <c r="I21" s="58"/>
      <c r="J21" s="36"/>
    </row>
    <row r="22" spans="1:10" x14ac:dyDescent="0.35">
      <c r="A22" s="36"/>
      <c r="B22" s="36"/>
      <c r="C22" s="36"/>
      <c r="D22" s="36"/>
      <c r="E22" s="36"/>
      <c r="F22" s="92" t="str">
        <f>'CDCM discounts'!F38</f>
        <v>LDNO HV: LV Sub user</v>
      </c>
      <c r="G22" s="92" t="str">
        <f>'CDCM discounts'!G38</f>
        <v>%</v>
      </c>
      <c r="H22" s="93">
        <f>'CDCM discounts'!H38</f>
        <v>0.25951924258925446</v>
      </c>
      <c r="I22" s="58"/>
      <c r="J22" s="36"/>
    </row>
    <row r="23" spans="1:10" x14ac:dyDescent="0.35">
      <c r="A23" s="36"/>
      <c r="B23" s="36"/>
      <c r="C23" s="36"/>
      <c r="D23" s="36"/>
      <c r="E23" s="36"/>
      <c r="F23" s="94" t="str">
        <f>'CDCM discounts'!F39</f>
        <v>LDNO HV: HV user</v>
      </c>
      <c r="G23" s="94" t="str">
        <f>'CDCM discounts'!G39</f>
        <v>%</v>
      </c>
      <c r="H23" s="95">
        <f>'CDCM discounts'!H39</f>
        <v>0.15142745426403037</v>
      </c>
      <c r="I23" s="58"/>
      <c r="J23" s="36"/>
    </row>
    <row r="24" spans="1:10" x14ac:dyDescent="0.35">
      <c r="A24" s="36"/>
      <c r="B24" s="36"/>
      <c r="C24" s="36"/>
      <c r="D24" s="36"/>
      <c r="E24" s="36"/>
      <c r="F24" s="36"/>
      <c r="G24" s="36"/>
      <c r="H24" s="58"/>
      <c r="I24" s="58"/>
      <c r="J24" s="36"/>
    </row>
    <row r="25" spans="1:10" x14ac:dyDescent="0.35">
      <c r="A25" s="36"/>
      <c r="B25" s="36"/>
      <c r="C25" s="87" t="s">
        <v>781</v>
      </c>
      <c r="D25" s="87"/>
      <c r="E25" s="87"/>
      <c r="F25" s="87"/>
      <c r="G25" s="87"/>
      <c r="H25" s="88"/>
      <c r="I25" s="88"/>
      <c r="J25" s="87"/>
    </row>
    <row r="26" spans="1:10" x14ac:dyDescent="0.35">
      <c r="A26" s="36"/>
      <c r="B26" s="36"/>
      <c r="C26" s="86"/>
      <c r="D26" s="86"/>
      <c r="E26" s="36"/>
      <c r="F26" s="36"/>
      <c r="G26" s="36"/>
      <c r="H26" s="58"/>
      <c r="I26" s="58"/>
      <c r="J26" s="36"/>
    </row>
    <row r="27" spans="1:10" x14ac:dyDescent="0.35">
      <c r="A27" s="36"/>
      <c r="B27" s="36"/>
      <c r="C27" s="86"/>
      <c r="D27" s="86" t="s">
        <v>782</v>
      </c>
      <c r="E27" s="36"/>
      <c r="F27" s="36"/>
      <c r="G27" s="36"/>
      <c r="H27" s="58"/>
      <c r="I27" s="58"/>
      <c r="J27" s="36"/>
    </row>
    <row r="28" spans="1:10" x14ac:dyDescent="0.35">
      <c r="A28" s="36"/>
      <c r="B28" s="36"/>
      <c r="C28" s="86"/>
      <c r="D28" s="86" t="s">
        <v>783</v>
      </c>
      <c r="E28" s="36"/>
      <c r="F28" s="36"/>
      <c r="G28" s="36"/>
      <c r="H28" s="58"/>
      <c r="I28" s="58"/>
      <c r="J28" s="36"/>
    </row>
    <row r="29" spans="1:10" x14ac:dyDescent="0.35">
      <c r="A29" s="36"/>
      <c r="B29" s="36"/>
      <c r="C29" s="86"/>
      <c r="D29" s="86"/>
      <c r="E29" s="36"/>
      <c r="F29" s="36"/>
      <c r="G29" s="36"/>
      <c r="H29" s="58"/>
      <c r="I29" s="58"/>
      <c r="J29" s="36"/>
    </row>
    <row r="30" spans="1:10" x14ac:dyDescent="0.35">
      <c r="A30" s="36"/>
      <c r="B30" s="36"/>
      <c r="C30" s="36"/>
      <c r="D30" s="86"/>
      <c r="E30" s="96" t="s">
        <v>784</v>
      </c>
      <c r="F30" s="36"/>
      <c r="G30" s="36"/>
      <c r="H30" s="58"/>
      <c r="I30" s="58"/>
      <c r="J30" s="36"/>
    </row>
    <row r="31" spans="1:10" x14ac:dyDescent="0.35">
      <c r="A31" s="36"/>
      <c r="B31" s="36"/>
      <c r="C31" s="36"/>
      <c r="D31" s="36"/>
      <c r="E31" s="36"/>
      <c r="F31" s="90" t="s">
        <v>311</v>
      </c>
      <c r="G31" s="90" t="s">
        <v>119</v>
      </c>
      <c r="H31" s="91">
        <f>'EDCM discounts'!J105</f>
        <v>0.96157588522568638</v>
      </c>
      <c r="I31" s="58"/>
      <c r="J31" s="36"/>
    </row>
    <row r="32" spans="1:10" x14ac:dyDescent="0.35">
      <c r="A32" s="36"/>
      <c r="B32" s="36"/>
      <c r="C32" s="36"/>
      <c r="D32" s="36"/>
      <c r="E32" s="36"/>
      <c r="F32" s="97" t="s">
        <v>785</v>
      </c>
      <c r="G32" s="92" t="s">
        <v>119</v>
      </c>
      <c r="H32" s="93">
        <f>'EDCM discounts'!K105</f>
        <v>0.93892434845108863</v>
      </c>
      <c r="I32" s="58"/>
      <c r="J32" s="36"/>
    </row>
    <row r="33" spans="1:10" x14ac:dyDescent="0.35">
      <c r="A33" s="36"/>
      <c r="B33" s="36"/>
      <c r="C33" s="36"/>
      <c r="D33" s="36"/>
      <c r="E33" s="36"/>
      <c r="F33" s="97" t="s">
        <v>786</v>
      </c>
      <c r="G33" s="92" t="s">
        <v>119</v>
      </c>
      <c r="H33" s="93">
        <f>'EDCM discounts'!L105</f>
        <v>0.93074409332633878</v>
      </c>
      <c r="I33" s="58"/>
      <c r="J33" s="36"/>
    </row>
    <row r="34" spans="1:10" x14ac:dyDescent="0.35">
      <c r="A34" s="36"/>
      <c r="B34" s="36"/>
      <c r="C34" s="36"/>
      <c r="D34" s="36"/>
      <c r="E34" s="36"/>
      <c r="F34" s="94" t="s">
        <v>314</v>
      </c>
      <c r="G34" s="94" t="s">
        <v>119</v>
      </c>
      <c r="H34" s="95">
        <f>'EDCM discounts'!M105</f>
        <v>0.88338180704808977</v>
      </c>
      <c r="I34" s="58"/>
      <c r="J34" s="36"/>
    </row>
    <row r="35" spans="1:10" x14ac:dyDescent="0.35">
      <c r="A35" s="36"/>
      <c r="B35" s="36"/>
      <c r="C35" s="36"/>
      <c r="D35" s="36"/>
      <c r="E35" s="36"/>
      <c r="F35" s="36"/>
      <c r="G35" s="98"/>
      <c r="H35" s="99"/>
      <c r="I35" s="58"/>
      <c r="J35" s="36"/>
    </row>
    <row r="36" spans="1:10" x14ac:dyDescent="0.35">
      <c r="A36" s="36"/>
      <c r="B36" s="36"/>
      <c r="C36" s="36"/>
      <c r="D36" s="36"/>
      <c r="E36" s="96" t="s">
        <v>787</v>
      </c>
      <c r="F36" s="36"/>
      <c r="G36" s="98"/>
      <c r="H36" s="99"/>
      <c r="I36" s="58"/>
      <c r="J36" s="36"/>
    </row>
    <row r="37" spans="1:10" x14ac:dyDescent="0.35">
      <c r="A37" s="36"/>
      <c r="B37" s="36"/>
      <c r="C37" s="36"/>
      <c r="D37" s="36"/>
      <c r="E37" s="36"/>
      <c r="F37" s="90" t="s">
        <v>311</v>
      </c>
      <c r="G37" s="90" t="s">
        <v>119</v>
      </c>
      <c r="H37" s="159">
        <f>'EDCM discounts'!J106</f>
        <v>0.86219263925959966</v>
      </c>
      <c r="I37" s="58"/>
      <c r="J37" s="36"/>
    </row>
    <row r="38" spans="1:10" x14ac:dyDescent="0.35">
      <c r="A38" s="36"/>
      <c r="B38" s="36"/>
      <c r="C38" s="36"/>
      <c r="D38" s="36"/>
      <c r="E38" s="36"/>
      <c r="F38" s="97" t="s">
        <v>785</v>
      </c>
      <c r="G38" s="92" t="s">
        <v>119</v>
      </c>
      <c r="H38" s="93">
        <f>'EDCM discounts'!K106</f>
        <v>0.78095333113354315</v>
      </c>
      <c r="I38" s="58"/>
      <c r="J38" s="36"/>
    </row>
    <row r="39" spans="1:10" x14ac:dyDescent="0.35">
      <c r="A39" s="36"/>
      <c r="B39" s="36"/>
      <c r="C39" s="36"/>
      <c r="D39" s="36"/>
      <c r="E39" s="36"/>
      <c r="F39" s="97" t="s">
        <v>786</v>
      </c>
      <c r="G39" s="92" t="s">
        <v>119</v>
      </c>
      <c r="H39" s="93">
        <f>'EDCM discounts'!L106</f>
        <v>0.75161500088062339</v>
      </c>
      <c r="I39" s="58"/>
      <c r="J39" s="36"/>
    </row>
    <row r="40" spans="1:10" x14ac:dyDescent="0.35">
      <c r="A40" s="36"/>
      <c r="B40" s="36"/>
      <c r="C40" s="36"/>
      <c r="D40" s="36"/>
      <c r="E40" s="36"/>
      <c r="F40" s="94" t="s">
        <v>314</v>
      </c>
      <c r="G40" s="94" t="s">
        <v>119</v>
      </c>
      <c r="H40" s="95">
        <f>'EDCM discounts'!M106</f>
        <v>0.58175105713142439</v>
      </c>
      <c r="I40" s="58"/>
      <c r="J40" s="36"/>
    </row>
    <row r="41" spans="1:10" x14ac:dyDescent="0.35">
      <c r="A41" s="36"/>
      <c r="B41" s="36"/>
      <c r="C41" s="36"/>
      <c r="D41" s="36"/>
      <c r="E41" s="36"/>
      <c r="F41" s="36"/>
      <c r="G41" s="98"/>
      <c r="H41" s="99"/>
      <c r="I41" s="58"/>
      <c r="J41" s="36"/>
    </row>
    <row r="42" spans="1:10" x14ac:dyDescent="0.35">
      <c r="A42" s="36"/>
      <c r="B42" s="36"/>
      <c r="C42" s="36"/>
      <c r="D42" s="36"/>
      <c r="E42" s="96" t="s">
        <v>788</v>
      </c>
      <c r="F42" s="36"/>
      <c r="G42" s="98"/>
      <c r="H42" s="99"/>
      <c r="I42" s="58"/>
      <c r="J42" s="36"/>
    </row>
    <row r="43" spans="1:10" x14ac:dyDescent="0.35">
      <c r="A43" s="36"/>
      <c r="B43" s="36"/>
      <c r="C43" s="36"/>
      <c r="D43" s="36"/>
      <c r="E43" s="36"/>
      <c r="F43" s="90" t="s">
        <v>311</v>
      </c>
      <c r="G43" s="90" t="s">
        <v>119</v>
      </c>
      <c r="H43" s="159">
        <f>'EDCM discounts'!J107</f>
        <v>0.80923633352010294</v>
      </c>
      <c r="I43" s="58"/>
      <c r="J43" s="36"/>
    </row>
    <row r="44" spans="1:10" x14ac:dyDescent="0.35">
      <c r="A44" s="36"/>
      <c r="B44" s="36"/>
      <c r="C44" s="36"/>
      <c r="D44" s="36"/>
      <c r="E44" s="36"/>
      <c r="F44" s="97" t="s">
        <v>785</v>
      </c>
      <c r="G44" s="92" t="s">
        <v>119</v>
      </c>
      <c r="H44" s="93">
        <f>'EDCM discounts'!K107</f>
        <v>0.69677856495714041</v>
      </c>
      <c r="I44" s="58"/>
      <c r="J44" s="36"/>
    </row>
    <row r="45" spans="1:10" x14ac:dyDescent="0.35">
      <c r="A45" s="36"/>
      <c r="B45" s="36"/>
      <c r="C45" s="36"/>
      <c r="D45" s="36"/>
      <c r="E45" s="36"/>
      <c r="F45" s="97" t="s">
        <v>786</v>
      </c>
      <c r="G45" s="92" t="s">
        <v>119</v>
      </c>
      <c r="H45" s="93">
        <f>'EDCM discounts'!L107</f>
        <v>0.65616616648019677</v>
      </c>
      <c r="I45" s="58"/>
      <c r="J45" s="36"/>
    </row>
    <row r="46" spans="1:10" x14ac:dyDescent="0.35">
      <c r="A46" s="36"/>
      <c r="B46" s="36"/>
      <c r="C46" s="36"/>
      <c r="D46" s="36"/>
      <c r="E46" s="36"/>
      <c r="F46" s="94" t="s">
        <v>314</v>
      </c>
      <c r="G46" s="94" t="s">
        <v>119</v>
      </c>
      <c r="H46" s="95">
        <f>'EDCM discounts'!M107</f>
        <v>0.42102728465098771</v>
      </c>
      <c r="I46" s="58"/>
      <c r="J46" s="36"/>
    </row>
    <row r="47" spans="1:10" x14ac:dyDescent="0.35">
      <c r="A47" s="36"/>
      <c r="B47" s="36"/>
      <c r="C47" s="36"/>
      <c r="D47" s="36"/>
      <c r="E47" s="36"/>
      <c r="F47" s="36"/>
      <c r="G47" s="98"/>
      <c r="H47" s="99"/>
      <c r="I47" s="58"/>
      <c r="J47" s="36"/>
    </row>
    <row r="48" spans="1:10" x14ac:dyDescent="0.35">
      <c r="A48" s="36"/>
      <c r="B48" s="36"/>
      <c r="C48" s="36"/>
      <c r="D48" s="36"/>
      <c r="E48" s="96" t="s">
        <v>789</v>
      </c>
      <c r="F48" s="36"/>
      <c r="G48" s="98"/>
      <c r="H48" s="99"/>
      <c r="I48" s="58"/>
      <c r="J48" s="36"/>
    </row>
    <row r="49" spans="1:10" x14ac:dyDescent="0.35">
      <c r="A49" s="36"/>
      <c r="B49" s="36"/>
      <c r="C49" s="36"/>
      <c r="D49" s="36"/>
      <c r="E49" s="36"/>
      <c r="F49" s="90" t="s">
        <v>311</v>
      </c>
      <c r="G49" s="90" t="s">
        <v>119</v>
      </c>
      <c r="H49" s="91">
        <f>'EDCM discounts'!J108</f>
        <v>0.7445815637045875</v>
      </c>
      <c r="I49" s="58"/>
      <c r="J49" s="36"/>
    </row>
    <row r="50" spans="1:10" x14ac:dyDescent="0.35">
      <c r="A50" s="36"/>
      <c r="B50" s="36"/>
      <c r="C50" s="36"/>
      <c r="D50" s="36"/>
      <c r="E50" s="36"/>
      <c r="F50" s="97" t="s">
        <v>785</v>
      </c>
      <c r="G50" s="92" t="s">
        <v>119</v>
      </c>
      <c r="H50" s="93">
        <f>'EDCM discounts'!K108</f>
        <v>0.59400893147511513</v>
      </c>
      <c r="I50" s="58"/>
      <c r="J50" s="36"/>
    </row>
    <row r="51" spans="1:10" x14ac:dyDescent="0.35">
      <c r="A51" s="36"/>
      <c r="B51" s="36"/>
      <c r="C51" s="36"/>
      <c r="D51" s="36"/>
      <c r="E51" s="36"/>
      <c r="F51" s="97" t="s">
        <v>786</v>
      </c>
      <c r="G51" s="92" t="s">
        <v>119</v>
      </c>
      <c r="H51" s="93">
        <f>'EDCM discounts'!L108</f>
        <v>0.53963193451023306</v>
      </c>
      <c r="I51" s="58"/>
      <c r="J51" s="36"/>
    </row>
    <row r="52" spans="1:10" x14ac:dyDescent="0.35">
      <c r="A52" s="36"/>
      <c r="B52" s="36"/>
      <c r="C52" s="36"/>
      <c r="D52" s="36"/>
      <c r="E52" s="36"/>
      <c r="F52" s="94" t="s">
        <v>314</v>
      </c>
      <c r="G52" s="94" t="s">
        <v>119</v>
      </c>
      <c r="H52" s="95">
        <f>'EDCM discounts'!M108</f>
        <v>0.22479836783941501</v>
      </c>
      <c r="I52" s="58"/>
      <c r="J52" s="36"/>
    </row>
    <row r="53" spans="1:10" x14ac:dyDescent="0.35">
      <c r="A53" s="36"/>
      <c r="B53" s="36"/>
      <c r="C53" s="36"/>
      <c r="D53" s="36"/>
      <c r="E53" s="36"/>
      <c r="F53" s="36"/>
      <c r="G53" s="98"/>
      <c r="H53" s="99"/>
      <c r="I53" s="58"/>
      <c r="J53" s="36"/>
    </row>
    <row r="54" spans="1:10" x14ac:dyDescent="0.35">
      <c r="A54" s="36"/>
      <c r="B54" s="36"/>
      <c r="C54" s="36"/>
      <c r="D54" s="36"/>
      <c r="E54" s="96" t="s">
        <v>790</v>
      </c>
      <c r="F54" s="36"/>
      <c r="G54" s="98"/>
      <c r="H54" s="99"/>
      <c r="I54" s="58"/>
      <c r="J54" s="36"/>
    </row>
    <row r="55" spans="1:10" x14ac:dyDescent="0.35">
      <c r="A55" s="36"/>
      <c r="B55" s="36"/>
      <c r="C55" s="36"/>
      <c r="D55" s="36"/>
      <c r="E55" s="36"/>
      <c r="F55" s="90" t="s">
        <v>311</v>
      </c>
      <c r="G55" s="90" t="s">
        <v>119</v>
      </c>
      <c r="H55" s="91">
        <f>'EDCM discounts'!J109</f>
        <v>0.67051354680003827</v>
      </c>
      <c r="I55" s="58"/>
      <c r="J55" s="36"/>
    </row>
    <row r="56" spans="1:10" x14ac:dyDescent="0.35">
      <c r="A56" s="36"/>
      <c r="B56" s="36"/>
      <c r="C56" s="36"/>
      <c r="D56" s="36"/>
      <c r="E56" s="36"/>
      <c r="F56" s="97" t="s">
        <v>785</v>
      </c>
      <c r="G56" s="92" t="s">
        <v>119</v>
      </c>
      <c r="H56" s="93">
        <f>'EDCM discounts'!K109</f>
        <v>0.47627681408082645</v>
      </c>
      <c r="I56" s="58"/>
      <c r="J56" s="36"/>
    </row>
    <row r="57" spans="1:10" x14ac:dyDescent="0.35">
      <c r="A57" s="36"/>
      <c r="B57" s="36"/>
      <c r="C57" s="36"/>
      <c r="D57" s="36"/>
      <c r="E57" s="36"/>
      <c r="F57" s="97" t="s">
        <v>786</v>
      </c>
      <c r="G57" s="92" t="s">
        <v>119</v>
      </c>
      <c r="H57" s="93">
        <f>'EDCM discounts'!L109</f>
        <v>0.40613119685176241</v>
      </c>
      <c r="I57" s="58"/>
      <c r="J57" s="36"/>
    </row>
    <row r="58" spans="1:10" x14ac:dyDescent="0.35">
      <c r="A58" s="36"/>
      <c r="B58" s="36"/>
      <c r="C58" s="36"/>
      <c r="D58" s="36"/>
      <c r="E58" s="36"/>
      <c r="F58" s="94" t="s">
        <v>314</v>
      </c>
      <c r="G58" s="94" t="s">
        <v>119</v>
      </c>
      <c r="H58" s="95">
        <f>'EDCM discounts'!M109</f>
        <v>0</v>
      </c>
      <c r="I58" s="58"/>
      <c r="J58" s="36"/>
    </row>
    <row r="59" spans="1:10" x14ac:dyDescent="0.35">
      <c r="A59" s="36"/>
      <c r="B59" s="36"/>
      <c r="C59" s="36"/>
      <c r="D59" s="36"/>
      <c r="E59" s="36"/>
      <c r="F59" s="36"/>
      <c r="G59" s="36"/>
      <c r="H59" s="58"/>
      <c r="I59" s="58"/>
      <c r="J59" s="36"/>
    </row>
    <row r="60" spans="1:10" x14ac:dyDescent="0.35">
      <c r="A60" s="36"/>
      <c r="B60" s="84" t="s">
        <v>87</v>
      </c>
      <c r="C60" s="84"/>
      <c r="D60" s="84"/>
      <c r="E60" s="84"/>
      <c r="F60" s="84"/>
      <c r="G60" s="84"/>
      <c r="H60" s="85"/>
      <c r="I60" s="85"/>
      <c r="J60" s="84"/>
    </row>
  </sheetData>
  <sheetProtection sheet="1" objects="1" formatCells="0" formatColumns="0" formatRows="0" sort="0" autoFilter="0"/>
  <hyperlinks>
    <hyperlink ref="B5" location="'Model map'!A1" display="Click here to return to model map" xr:uid="{38F164F2-DAB2-4E11-BDB3-337BBF39CE8E}"/>
    <hyperlink ref="B5:F5" location="'Model map'!A4" tooltip="Click to return to model map" display="'Model map'!A4" xr:uid="{33CCABC6-FAB3-417E-87B4-E8AD535FAB62}"/>
    <hyperlink ref="B5:H5" location="'Model map'!A4" tooltip="Click to return to model map" display="'Model map'!A4" xr:uid="{7A228E1A-40C3-455B-BB7B-F7FCED106DE1}"/>
    <hyperlink ref="A1" location="Index!A1" display="Index!A1" xr:uid="{D6F397FF-9AA1-4B45-AB39-D6BB4A590B7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C9C9C9"/>
  </sheetPr>
  <dimension ref="A1:M5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4.5" x14ac:dyDescent="0.35"/>
  <cols>
    <col min="1" max="5" width="2.7265625" customWidth="1"/>
    <col min="6" max="6" width="20.7265625" customWidth="1"/>
    <col min="7" max="7" width="22.7265625" customWidth="1"/>
    <col min="8" max="8" width="24.26953125" customWidth="1"/>
    <col min="9" max="9" width="30.7265625" customWidth="1"/>
    <col min="10" max="10" width="20.7265625" customWidth="1"/>
    <col min="11" max="11" width="10.7265625" customWidth="1"/>
    <col min="12" max="12" width="82.7265625" customWidth="1"/>
    <col min="13" max="13" width="2.7265625" customWidth="1"/>
    <col min="14" max="16384" width="9.1796875" hidden="1"/>
  </cols>
  <sheetData>
    <row r="1" spans="1:13" s="2" customFormat="1" x14ac:dyDescent="0.35">
      <c r="A1" s="55" t="str">
        <f ca="1">MID(CELL("filename",A1),FIND("]",CELL("filename",A1))+1,255)</f>
        <v>Version control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s="2" customFormat="1" x14ac:dyDescent="0.35">
      <c r="A2" s="55" t="str">
        <f>Cover!D21&amp;" - "&amp;Cover!D23</f>
        <v>Southern Electric Power Distribution - Final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s="3" customFormat="1" x14ac:dyDescent="0.35">
      <c r="A3" s="56" t="str">
        <f>Cover!D2&amp;" - "&amp;Cover!D8&amp;" v"&amp;Cover!D10&amp;" - "&amp;Cover!D19</f>
        <v>PCDM charging model - Release for charge setting v5 - 2024/25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x14ac:dyDescent="0.35">
      <c r="A4" s="57" t="str">
        <f>H42 &amp; IF(H42 = 1, " issue", " issues") &amp;" identified in checks on this sheet"</f>
        <v>0 issues identified in checks on this sheet</v>
      </c>
      <c r="B4" s="36"/>
      <c r="C4" s="36"/>
      <c r="D4" s="36"/>
      <c r="E4" s="36"/>
      <c r="F4" s="36"/>
      <c r="G4" s="36"/>
      <c r="H4" s="58"/>
      <c r="I4" s="58"/>
      <c r="J4" s="36"/>
    </row>
    <row r="5" spans="1:13" x14ac:dyDescent="0.35">
      <c r="A5" s="59"/>
      <c r="B5" s="60" t="s">
        <v>35</v>
      </c>
      <c r="C5" s="60"/>
      <c r="D5" s="60"/>
      <c r="E5" s="60"/>
      <c r="F5" s="60"/>
      <c r="G5" s="61"/>
      <c r="H5" s="61"/>
      <c r="I5" s="61"/>
      <c r="J5" s="61"/>
      <c r="K5" s="61"/>
      <c r="L5" s="60"/>
    </row>
    <row r="6" spans="1:13" x14ac:dyDescent="0.35">
      <c r="A6" s="59"/>
      <c r="B6" s="59"/>
      <c r="C6" s="59"/>
      <c r="D6" s="59"/>
      <c r="E6" s="59"/>
      <c r="F6" s="59"/>
      <c r="G6" s="62"/>
      <c r="H6" s="62"/>
      <c r="I6" s="62"/>
      <c r="J6" s="62"/>
      <c r="K6" s="62"/>
      <c r="L6" s="59"/>
    </row>
    <row r="7" spans="1:13" x14ac:dyDescent="0.35">
      <c r="A7" s="59"/>
      <c r="B7" s="59"/>
      <c r="C7" s="59"/>
      <c r="D7" s="59"/>
      <c r="E7" s="59"/>
      <c r="F7" s="59" t="s">
        <v>36</v>
      </c>
      <c r="H7" s="63">
        <f>LOOKUP(2,1/(F20:F29&lt;&gt;""),F20:F29)</f>
        <v>44861</v>
      </c>
      <c r="I7" s="59"/>
      <c r="J7" s="59"/>
      <c r="K7" s="59"/>
      <c r="L7" s="59"/>
    </row>
    <row r="8" spans="1:13" x14ac:dyDescent="0.35">
      <c r="A8" s="59"/>
      <c r="B8" s="59"/>
      <c r="C8" s="59"/>
      <c r="D8" s="59"/>
      <c r="E8" s="59"/>
      <c r="F8" s="59"/>
      <c r="H8" s="62"/>
      <c r="I8" s="59"/>
      <c r="J8" s="59"/>
      <c r="K8" s="59"/>
      <c r="L8" s="59"/>
    </row>
    <row r="9" spans="1:13" x14ac:dyDescent="0.35">
      <c r="A9" s="59"/>
      <c r="B9" s="59"/>
      <c r="C9" s="59"/>
      <c r="D9" s="59"/>
      <c r="E9" s="59"/>
      <c r="F9" s="59" t="s">
        <v>37</v>
      </c>
      <c r="H9" s="65" t="str">
        <f>LOOKUP(2,1/(G20:G29&lt;&gt;""),G20:G29)</f>
        <v>Release for charge setting</v>
      </c>
      <c r="I9" s="59"/>
      <c r="J9" s="59"/>
      <c r="K9" s="59"/>
      <c r="L9" s="59"/>
    </row>
    <row r="10" spans="1:13" x14ac:dyDescent="0.35">
      <c r="A10" s="59"/>
      <c r="B10" s="59"/>
      <c r="C10" s="59"/>
      <c r="D10" s="59"/>
      <c r="E10" s="59"/>
      <c r="F10" s="59"/>
      <c r="G10" s="62"/>
      <c r="H10" s="59"/>
      <c r="I10" s="59"/>
      <c r="J10" s="59"/>
      <c r="K10" s="59"/>
      <c r="L10" s="59"/>
    </row>
    <row r="11" spans="1:13" x14ac:dyDescent="0.35">
      <c r="A11" s="59"/>
      <c r="B11" s="59"/>
      <c r="C11" s="59"/>
      <c r="D11" s="59"/>
      <c r="E11" s="59"/>
      <c r="F11" s="59" t="s">
        <v>38</v>
      </c>
      <c r="H11" s="64">
        <f>LOOKUP(2,1/(H20:H29&lt;&gt;""),H20:H29)</f>
        <v>5</v>
      </c>
      <c r="I11" s="59"/>
      <c r="J11" s="59"/>
      <c r="K11" s="59"/>
      <c r="L11" s="59"/>
    </row>
    <row r="12" spans="1:13" x14ac:dyDescent="0.35">
      <c r="A12" s="59"/>
      <c r="B12" s="59"/>
      <c r="C12" s="59"/>
      <c r="D12" s="59"/>
      <c r="E12" s="59"/>
      <c r="F12" s="59"/>
      <c r="H12" s="62"/>
      <c r="I12" s="62"/>
      <c r="J12" s="62"/>
      <c r="K12" s="59"/>
      <c r="L12" s="59"/>
    </row>
    <row r="13" spans="1:13" x14ac:dyDescent="0.35">
      <c r="A13" s="59"/>
      <c r="B13" s="59"/>
      <c r="C13" s="59"/>
      <c r="D13" s="59"/>
      <c r="E13" s="59"/>
      <c r="F13" s="59" t="s">
        <v>39</v>
      </c>
      <c r="H13" s="65" t="str">
        <f>LOOKUP(2,1/(I20:I29&lt;&gt;""),I20:I29)</f>
        <v>Attachment A_2024-25 Charging Methodologies Pre-Release (shared 06/10/2022)</v>
      </c>
      <c r="I13" s="62"/>
      <c r="J13" s="62"/>
      <c r="K13" s="59"/>
      <c r="L13" s="59"/>
    </row>
    <row r="14" spans="1:13" x14ac:dyDescent="0.35">
      <c r="A14" s="59"/>
      <c r="B14" s="59"/>
      <c r="C14" s="59"/>
      <c r="D14" s="59"/>
      <c r="E14" s="59"/>
      <c r="F14" s="59"/>
      <c r="H14" s="63"/>
      <c r="I14" s="62"/>
      <c r="J14" s="62"/>
      <c r="K14" s="59"/>
      <c r="L14" s="59"/>
    </row>
    <row r="15" spans="1:13" x14ac:dyDescent="0.35">
      <c r="A15" s="59"/>
      <c r="B15" s="59"/>
      <c r="C15" s="59"/>
      <c r="D15" s="59"/>
      <c r="E15" s="59"/>
      <c r="F15" s="66" t="s">
        <v>40</v>
      </c>
      <c r="H15" s="63" t="str">
        <f>LOOKUP(2,1/(J20:J29&lt;&gt;""),J20:J29)</f>
        <v>Schedule 29</v>
      </c>
      <c r="I15" s="62"/>
      <c r="J15" s="62"/>
      <c r="K15" s="59"/>
      <c r="L15" s="59"/>
    </row>
    <row r="16" spans="1:13" x14ac:dyDescent="0.35">
      <c r="A16" s="59"/>
      <c r="B16" s="59"/>
      <c r="C16" s="59"/>
      <c r="D16" s="59"/>
      <c r="E16" s="59"/>
      <c r="F16" s="59"/>
      <c r="H16" s="63"/>
      <c r="I16" s="62"/>
      <c r="J16" s="62"/>
      <c r="K16" s="59"/>
      <c r="L16" s="59"/>
    </row>
    <row r="17" spans="1:12" x14ac:dyDescent="0.35">
      <c r="B17" s="1" t="s">
        <v>41</v>
      </c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5">
      <c r="A18" s="59"/>
      <c r="B18" s="59"/>
      <c r="C18" s="59"/>
      <c r="D18" s="59"/>
      <c r="E18" s="59"/>
      <c r="F18" s="59"/>
      <c r="G18" s="62"/>
      <c r="H18" s="59"/>
      <c r="I18" s="59"/>
      <c r="J18" s="59"/>
      <c r="K18" s="59"/>
      <c r="L18" s="59"/>
    </row>
    <row r="19" spans="1:12" x14ac:dyDescent="0.35">
      <c r="A19" s="59"/>
      <c r="B19" s="59"/>
      <c r="C19" s="59"/>
      <c r="D19" s="59"/>
      <c r="E19" s="59"/>
      <c r="F19" s="67" t="s">
        <v>42</v>
      </c>
      <c r="G19" s="68" t="s">
        <v>43</v>
      </c>
      <c r="H19" s="67" t="s">
        <v>44</v>
      </c>
      <c r="I19" s="68" t="s">
        <v>45</v>
      </c>
      <c r="J19" s="68" t="s">
        <v>46</v>
      </c>
      <c r="K19" s="68" t="s">
        <v>47</v>
      </c>
      <c r="L19" s="68" t="s">
        <v>48</v>
      </c>
    </row>
    <row r="20" spans="1:12" ht="29" x14ac:dyDescent="0.35">
      <c r="A20" s="59"/>
      <c r="B20" s="59"/>
      <c r="C20" s="59"/>
      <c r="D20" s="59"/>
      <c r="E20" s="59"/>
      <c r="F20" s="16">
        <v>43250</v>
      </c>
      <c r="G20" s="16" t="s">
        <v>49</v>
      </c>
      <c r="H20" s="20">
        <v>1</v>
      </c>
      <c r="I20" s="16" t="s">
        <v>50</v>
      </c>
      <c r="J20" s="16" t="s">
        <v>51</v>
      </c>
      <c r="K20" s="16" t="s">
        <v>52</v>
      </c>
      <c r="L20" s="16" t="s">
        <v>53</v>
      </c>
    </row>
    <row r="21" spans="1:12" ht="29" x14ac:dyDescent="0.35">
      <c r="A21" s="59"/>
      <c r="B21" s="59"/>
      <c r="C21" s="59"/>
      <c r="D21" s="59"/>
      <c r="E21" s="59"/>
      <c r="F21" s="16">
        <v>43301</v>
      </c>
      <c r="G21" s="16" t="s">
        <v>49</v>
      </c>
      <c r="H21" s="20">
        <v>2</v>
      </c>
      <c r="I21" s="16" t="s">
        <v>54</v>
      </c>
      <c r="J21" s="16" t="s">
        <v>51</v>
      </c>
      <c r="K21" s="16" t="s">
        <v>52</v>
      </c>
      <c r="L21" s="16" t="s">
        <v>55</v>
      </c>
    </row>
    <row r="22" spans="1:12" ht="29" x14ac:dyDescent="0.35">
      <c r="A22" s="59"/>
      <c r="B22" s="59"/>
      <c r="C22" s="59"/>
      <c r="D22" s="59"/>
      <c r="E22" s="59"/>
      <c r="F22" s="16">
        <v>43341</v>
      </c>
      <c r="G22" s="167" t="s">
        <v>49</v>
      </c>
      <c r="H22" s="20">
        <v>3</v>
      </c>
      <c r="I22" s="167" t="s">
        <v>56</v>
      </c>
      <c r="J22" s="167" t="s">
        <v>51</v>
      </c>
      <c r="K22" s="167" t="s">
        <v>52</v>
      </c>
      <c r="L22" s="167" t="s">
        <v>57</v>
      </c>
    </row>
    <row r="23" spans="1:12" ht="43.5" x14ac:dyDescent="0.35">
      <c r="A23" s="59"/>
      <c r="B23" s="59"/>
      <c r="C23" s="59"/>
      <c r="D23" s="59"/>
      <c r="E23" s="59"/>
      <c r="F23" s="16">
        <v>43389</v>
      </c>
      <c r="G23" s="16" t="s">
        <v>58</v>
      </c>
      <c r="H23" s="20">
        <v>3</v>
      </c>
      <c r="I23" s="167" t="s">
        <v>59</v>
      </c>
      <c r="J23" s="167" t="s">
        <v>51</v>
      </c>
      <c r="K23" s="167" t="s">
        <v>52</v>
      </c>
      <c r="L23" s="167" t="s">
        <v>60</v>
      </c>
    </row>
    <row r="24" spans="1:12" ht="58" x14ac:dyDescent="0.35">
      <c r="A24" s="59"/>
      <c r="B24" s="59"/>
      <c r="C24" s="59"/>
      <c r="D24" s="59"/>
      <c r="E24" s="59"/>
      <c r="F24" s="16">
        <v>43777</v>
      </c>
      <c r="G24" s="16" t="s">
        <v>58</v>
      </c>
      <c r="H24" s="20">
        <v>4</v>
      </c>
      <c r="I24" s="16" t="s">
        <v>61</v>
      </c>
      <c r="J24" s="167" t="s">
        <v>51</v>
      </c>
      <c r="K24" s="167" t="s">
        <v>52</v>
      </c>
      <c r="L24" s="167" t="s">
        <v>60</v>
      </c>
    </row>
    <row r="25" spans="1:12" ht="58" x14ac:dyDescent="0.35">
      <c r="A25" s="59"/>
      <c r="B25" s="59"/>
      <c r="C25" s="59"/>
      <c r="D25" s="59"/>
      <c r="E25" s="59"/>
      <c r="F25" s="16">
        <v>44141</v>
      </c>
      <c r="G25" s="16" t="s">
        <v>58</v>
      </c>
      <c r="H25" s="20">
        <v>4</v>
      </c>
      <c r="I25" s="16" t="s">
        <v>62</v>
      </c>
      <c r="J25" s="167" t="s">
        <v>51</v>
      </c>
      <c r="K25" s="167" t="s">
        <v>52</v>
      </c>
      <c r="L25" s="167" t="s">
        <v>63</v>
      </c>
    </row>
    <row r="26" spans="1:12" ht="58" x14ac:dyDescent="0.35">
      <c r="A26" s="59"/>
      <c r="B26" s="59"/>
      <c r="C26" s="59"/>
      <c r="D26" s="59"/>
      <c r="E26" s="59"/>
      <c r="F26" s="16">
        <v>44522</v>
      </c>
      <c r="G26" s="16" t="s">
        <v>58</v>
      </c>
      <c r="H26" s="20">
        <v>4</v>
      </c>
      <c r="I26" s="16" t="s">
        <v>64</v>
      </c>
      <c r="J26" s="167" t="s">
        <v>51</v>
      </c>
      <c r="K26" s="167" t="s">
        <v>52</v>
      </c>
      <c r="L26" s="167" t="s">
        <v>65</v>
      </c>
    </row>
    <row r="27" spans="1:12" ht="45" customHeight="1" x14ac:dyDescent="0.35">
      <c r="A27" s="59"/>
      <c r="B27" s="59"/>
      <c r="C27" s="59"/>
      <c r="D27" s="59"/>
      <c r="E27" s="59"/>
      <c r="F27" s="16">
        <v>44627</v>
      </c>
      <c r="G27" s="16" t="s">
        <v>49</v>
      </c>
      <c r="H27" s="20">
        <v>4</v>
      </c>
      <c r="I27" s="16" t="s">
        <v>66</v>
      </c>
      <c r="J27" s="167" t="s">
        <v>51</v>
      </c>
      <c r="K27" s="167" t="s">
        <v>52</v>
      </c>
      <c r="L27" s="16" t="s">
        <v>67</v>
      </c>
    </row>
    <row r="28" spans="1:12" ht="43.5" x14ac:dyDescent="0.35">
      <c r="A28" s="59"/>
      <c r="B28" s="59"/>
      <c r="C28" s="59"/>
      <c r="D28" s="59"/>
      <c r="E28" s="59"/>
      <c r="F28" s="16">
        <v>44861</v>
      </c>
      <c r="G28" s="16" t="s">
        <v>58</v>
      </c>
      <c r="H28" s="20">
        <v>5</v>
      </c>
      <c r="I28" s="16" t="s">
        <v>68</v>
      </c>
      <c r="J28" s="16" t="s">
        <v>51</v>
      </c>
      <c r="K28" s="16" t="s">
        <v>52</v>
      </c>
      <c r="L28" s="16" t="s">
        <v>69</v>
      </c>
    </row>
    <row r="29" spans="1:12" x14ac:dyDescent="0.35">
      <c r="A29" s="59"/>
      <c r="B29" s="59"/>
      <c r="C29" s="59"/>
      <c r="D29" s="59"/>
      <c r="E29" s="59"/>
      <c r="F29" s="16"/>
      <c r="G29" s="16"/>
      <c r="H29" s="20"/>
      <c r="I29" s="16"/>
      <c r="J29" s="16"/>
      <c r="K29" s="16"/>
      <c r="L29" s="16"/>
    </row>
    <row r="31" spans="1:12" x14ac:dyDescent="0.35">
      <c r="B31" s="1" t="s">
        <v>70</v>
      </c>
      <c r="C31" s="1"/>
      <c r="D31" s="1"/>
      <c r="E31" s="1"/>
      <c r="F31" s="1"/>
      <c r="G31" s="1"/>
      <c r="H31" s="1"/>
      <c r="I31" s="1"/>
      <c r="J31" s="1"/>
      <c r="K31" s="1"/>
      <c r="L31" s="1"/>
    </row>
    <row r="33" spans="2:12" x14ac:dyDescent="0.35">
      <c r="E33" s="69" t="s">
        <v>71</v>
      </c>
    </row>
    <row r="34" spans="2:12" x14ac:dyDescent="0.35">
      <c r="F34" s="178" t="s">
        <v>72</v>
      </c>
      <c r="G34" s="178" t="s">
        <v>73</v>
      </c>
      <c r="H34" s="181">
        <f>MEAV!H147</f>
        <v>0</v>
      </c>
    </row>
    <row r="35" spans="2:12" x14ac:dyDescent="0.35">
      <c r="F35" t="s">
        <v>74</v>
      </c>
      <c r="G35" t="s">
        <v>73</v>
      </c>
      <c r="H35" s="70">
        <f>Expenditure!H159</f>
        <v>0</v>
      </c>
    </row>
    <row r="36" spans="2:12" x14ac:dyDescent="0.35">
      <c r="F36" t="s">
        <v>75</v>
      </c>
      <c r="G36" t="s">
        <v>73</v>
      </c>
      <c r="H36" s="70">
        <f>Expensed!H87</f>
        <v>0</v>
      </c>
    </row>
    <row r="37" spans="2:12" x14ac:dyDescent="0.35">
      <c r="F37" t="s">
        <v>76</v>
      </c>
      <c r="G37" t="s">
        <v>73</v>
      </c>
      <c r="H37" s="70">
        <f>Capitalised!H67</f>
        <v>0</v>
      </c>
    </row>
    <row r="38" spans="2:12" x14ac:dyDescent="0.35">
      <c r="F38" t="s">
        <v>77</v>
      </c>
      <c r="G38" t="s">
        <v>73</v>
      </c>
      <c r="H38" s="70">
        <f>'Rev allocation'!H188</f>
        <v>0</v>
      </c>
    </row>
    <row r="39" spans="2:12" x14ac:dyDescent="0.35">
      <c r="F39" t="s">
        <v>78</v>
      </c>
      <c r="G39" t="s">
        <v>73</v>
      </c>
      <c r="H39" s="70">
        <f>Direct!H62</f>
        <v>0</v>
      </c>
    </row>
    <row r="40" spans="2:12" x14ac:dyDescent="0.35">
      <c r="F40" t="s">
        <v>79</v>
      </c>
      <c r="G40" t="s">
        <v>73</v>
      </c>
      <c r="H40" s="70">
        <f>'EDCM discounts'!H113</f>
        <v>0</v>
      </c>
    </row>
    <row r="41" spans="2:12" x14ac:dyDescent="0.35">
      <c r="F41" s="180" t="s">
        <v>80</v>
      </c>
      <c r="G41" s="180" t="s">
        <v>73</v>
      </c>
      <c r="H41" s="182">
        <f>'CDCM discounts'!H43</f>
        <v>0</v>
      </c>
    </row>
    <row r="42" spans="2:12" x14ac:dyDescent="0.35">
      <c r="F42" s="71" t="s">
        <v>81</v>
      </c>
      <c r="G42" s="71" t="s">
        <v>73</v>
      </c>
      <c r="H42" s="72">
        <f>SUM(H34:H41)</f>
        <v>0</v>
      </c>
    </row>
    <row r="43" spans="2:12" x14ac:dyDescent="0.35">
      <c r="I43" s="73"/>
      <c r="J43" s="73"/>
    </row>
    <row r="44" spans="2:12" x14ac:dyDescent="0.35">
      <c r="B44" s="1" t="s">
        <v>82</v>
      </c>
      <c r="C44" s="1"/>
      <c r="D44" s="1"/>
      <c r="E44" s="1"/>
      <c r="F44" s="1"/>
      <c r="G44" s="1"/>
      <c r="H44" s="1"/>
      <c r="I44" s="1"/>
      <c r="J44" s="1"/>
      <c r="K44" s="1"/>
      <c r="L44" s="1"/>
    </row>
    <row r="46" spans="2:12" x14ac:dyDescent="0.35">
      <c r="F46" s="68" t="s">
        <v>83</v>
      </c>
    </row>
    <row r="47" spans="2:12" x14ac:dyDescent="0.35">
      <c r="F47" s="18" t="s">
        <v>84</v>
      </c>
    </row>
    <row r="48" spans="2:12" x14ac:dyDescent="0.35">
      <c r="F48" s="18" t="s">
        <v>85</v>
      </c>
    </row>
    <row r="49" spans="2:12" x14ac:dyDescent="0.35">
      <c r="F49" s="18" t="s">
        <v>49</v>
      </c>
    </row>
    <row r="50" spans="2:12" ht="29" x14ac:dyDescent="0.35">
      <c r="F50" s="170" t="s">
        <v>58</v>
      </c>
    </row>
    <row r="51" spans="2:12" x14ac:dyDescent="0.35">
      <c r="F51" s="18"/>
    </row>
    <row r="52" spans="2:12" x14ac:dyDescent="0.35">
      <c r="F52" s="18"/>
    </row>
    <row r="53" spans="2:12" x14ac:dyDescent="0.35">
      <c r="F53" s="18"/>
    </row>
    <row r="54" spans="2:12" x14ac:dyDescent="0.35">
      <c r="F54" s="18"/>
    </row>
    <row r="55" spans="2:12" x14ac:dyDescent="0.35">
      <c r="F55" s="18"/>
    </row>
    <row r="56" spans="2:12" x14ac:dyDescent="0.35">
      <c r="F56" s="18"/>
    </row>
    <row r="57" spans="2:12" x14ac:dyDescent="0.35">
      <c r="F57" s="18" t="s">
        <v>86</v>
      </c>
    </row>
    <row r="59" spans="2:12" x14ac:dyDescent="0.35">
      <c r="B59" s="1" t="s">
        <v>87</v>
      </c>
      <c r="C59" s="1"/>
      <c r="D59" s="1"/>
      <c r="E59" s="1"/>
      <c r="F59" s="1"/>
      <c r="G59" s="1"/>
      <c r="H59" s="1"/>
      <c r="I59" s="1"/>
      <c r="J59" s="1"/>
      <c r="K59" s="1"/>
      <c r="L59" s="1"/>
    </row>
  </sheetData>
  <sheetProtection sheet="1" objects="1" formatCells="0" formatColumns="0" formatRows="0" sort="0" autoFilter="0"/>
  <phoneticPr fontId="33" type="noConversion"/>
  <conditionalFormatting sqref="H34">
    <cfRule type="cellIs" dxfId="55" priority="4" stopIfTrue="1" operator="greaterThan">
      <formula>0</formula>
    </cfRule>
  </conditionalFormatting>
  <conditionalFormatting sqref="H35">
    <cfRule type="cellIs" dxfId="54" priority="5" stopIfTrue="1" operator="greaterThan">
      <formula>0</formula>
    </cfRule>
  </conditionalFormatting>
  <conditionalFormatting sqref="H36">
    <cfRule type="cellIs" dxfId="53" priority="6" stopIfTrue="1" operator="greaterThan">
      <formula>0</formula>
    </cfRule>
  </conditionalFormatting>
  <conditionalFormatting sqref="H37">
    <cfRule type="cellIs" dxfId="52" priority="7" stopIfTrue="1" operator="greaterThan">
      <formula>0</formula>
    </cfRule>
  </conditionalFormatting>
  <conditionalFormatting sqref="H38">
    <cfRule type="cellIs" dxfId="51" priority="8" stopIfTrue="1" operator="greaterThan">
      <formula>0</formula>
    </cfRule>
  </conditionalFormatting>
  <conditionalFormatting sqref="H39">
    <cfRule type="cellIs" dxfId="50" priority="9" stopIfTrue="1" operator="greaterThan">
      <formula>0</formula>
    </cfRule>
  </conditionalFormatting>
  <conditionalFormatting sqref="H40">
    <cfRule type="cellIs" dxfId="49" priority="10" stopIfTrue="1" operator="greaterThan">
      <formula>0</formula>
    </cfRule>
  </conditionalFormatting>
  <conditionalFormatting sqref="H41">
    <cfRule type="cellIs" dxfId="48" priority="11" stopIfTrue="1" operator="greaterThan">
      <formula>0</formula>
    </cfRule>
  </conditionalFormatting>
  <conditionalFormatting sqref="A4:XFD4">
    <cfRule type="expression" dxfId="47" priority="3">
      <formula>LEFT($A$4,1) &lt;&gt; "0"</formula>
    </cfRule>
  </conditionalFormatting>
  <conditionalFormatting sqref="H42">
    <cfRule type="cellIs" dxfId="46" priority="2" stopIfTrue="1" operator="greaterThan">
      <formula>0</formula>
    </cfRule>
  </conditionalFormatting>
  <dataValidations count="3">
    <dataValidation type="date" operator="greaterThanOrEqual" allowBlank="1" showInputMessage="1" showErrorMessage="1" errorTitle="Model date" error="Input a date" promptTitle="Model date" prompt="Input a date" sqref="F20:F29" xr:uid="{00000000-0002-0000-0100-000000000000}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29" xr:uid="{00000000-0002-0000-0100-000002000000}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29" xr:uid="{00000000-0002-0000-0100-000001000000}">
      <formula1>$F$47:$F$57</formula1>
    </dataValidation>
  </dataValidations>
  <hyperlinks>
    <hyperlink ref="A1" location="Index!A1" display="Index!A1" xr:uid="{00000000-0004-0000-0100-000000000000}"/>
    <hyperlink ref="F36" location="'Expensed'!A1" display="Expensed" xr:uid="{00000000-0004-0000-0100-000001000000}"/>
    <hyperlink ref="F39" location="'Direct'!A1" display="Direct" xr:uid="{00000000-0004-0000-0100-000002000000}"/>
  </hyperlinks>
  <pageMargins left="0.7" right="0.7" top="0.75" bottom="0.75" header="0.3" footer="0.3"/>
  <pageSetup paperSize="9" orientation="portrait" r:id="rId1"/>
  <cellWatches>
    <cellWatch r="H42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4.5" x14ac:dyDescent="0.35"/>
  <cols>
    <col min="1" max="5" width="2.7265625" customWidth="1"/>
    <col min="6" max="6" width="73.7265625" customWidth="1"/>
    <col min="7" max="7" width="2.7265625" customWidth="1"/>
    <col min="8" max="8" width="9.1796875" hidden="1" customWidth="1"/>
    <col min="9" max="9" width="0" hidden="1" customWidth="1"/>
    <col min="10" max="16384" width="9.1796875" hidden="1"/>
  </cols>
  <sheetData>
    <row r="1" spans="1:6" s="2" customFormat="1" x14ac:dyDescent="0.35">
      <c r="A1" s="2" t="str">
        <f ca="1">MID(CELL("filename",A1),FIND("]",CELL("filename",A1))+1,255)</f>
        <v>Model map</v>
      </c>
    </row>
    <row r="2" spans="1:6" s="2" customFormat="1" x14ac:dyDescent="0.35">
      <c r="A2" s="2" t="str">
        <f>Cover!D21&amp;" - "&amp;Cover!D23</f>
        <v>Southern Electric Power Distribution - Final</v>
      </c>
    </row>
    <row r="3" spans="1:6" s="3" customFormat="1" x14ac:dyDescent="0.35">
      <c r="A3" s="56" t="str">
        <f>Cover!D2&amp;" - "&amp;Cover!D8&amp;" v"&amp;Cover!D10&amp;" - "&amp;Cover!D19</f>
        <v>PCDM charging model - Release for charge setting v5 - 2024/25</v>
      </c>
    </row>
    <row r="5" spans="1:6" x14ac:dyDescent="0.35">
      <c r="B5" s="1" t="s">
        <v>88</v>
      </c>
      <c r="C5" s="1"/>
      <c r="D5" s="1"/>
      <c r="E5" s="1"/>
      <c r="F5" s="1"/>
    </row>
    <row r="7" spans="1:6" x14ac:dyDescent="0.35">
      <c r="F7" t="s">
        <v>89</v>
      </c>
    </row>
    <row r="42" spans="2:6" x14ac:dyDescent="0.35">
      <c r="B42" s="1" t="s">
        <v>87</v>
      </c>
      <c r="C42" s="1"/>
      <c r="D42" s="1"/>
      <c r="E42" s="1"/>
      <c r="F42" s="1"/>
    </row>
  </sheetData>
  <sheetProtection sheet="1" objects="1" formatCells="0" formatColumns="0" formatRows="0" sort="0" autoFilter="0"/>
  <hyperlinks>
    <hyperlink ref="A1" location="'Model map'!A1" display="'Model map'!A1" xr:uid="{00000000-0004-0000-0200-00000000000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C9C9C9"/>
    <pageSetUpPr fitToPage="1"/>
  </sheetPr>
  <dimension ref="A1:H12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4.5" x14ac:dyDescent="0.35"/>
  <cols>
    <col min="1" max="5" width="2.7265625" customWidth="1"/>
    <col min="6" max="6" width="24.453125" bestFit="1" customWidth="1"/>
    <col min="7" max="7" width="99.81640625" bestFit="1" customWidth="1"/>
    <col min="8" max="8" width="2.7265625" customWidth="1"/>
    <col min="9" max="16384" width="9.1796875" hidden="1"/>
  </cols>
  <sheetData>
    <row r="1" spans="1:8" s="2" customFormat="1" x14ac:dyDescent="0.35">
      <c r="A1" s="55" t="str">
        <f ca="1">MID(CELL("filename",A1),FIND("]",CELL("filename",A1))+1,255)</f>
        <v>Index</v>
      </c>
      <c r="B1" s="55"/>
      <c r="C1" s="55"/>
      <c r="D1" s="55"/>
      <c r="E1" s="55"/>
      <c r="F1" s="55"/>
      <c r="G1" s="55"/>
      <c r="H1" s="55"/>
    </row>
    <row r="2" spans="1:8" s="2" customFormat="1" x14ac:dyDescent="0.35">
      <c r="A2" s="55" t="str">
        <f>Cover!D21&amp;" - "&amp;Cover!D23</f>
        <v>Southern Electric Power Distribution - Final</v>
      </c>
      <c r="B2" s="55"/>
      <c r="C2" s="55"/>
      <c r="D2" s="55"/>
      <c r="E2" s="55"/>
      <c r="F2" s="55"/>
      <c r="G2" s="55"/>
      <c r="H2" s="55"/>
    </row>
    <row r="3" spans="1:8" s="3" customFormat="1" x14ac:dyDescent="0.35">
      <c r="A3" s="56" t="str">
        <f>Cover!D2&amp;" - "&amp;Cover!D8&amp;" v"&amp;Cover!D10&amp;" - "&amp;Cover!D19</f>
        <v>PCDM charging model - Release for charge setting v5 - 2024/25</v>
      </c>
      <c r="B3" s="56"/>
      <c r="C3" s="56"/>
      <c r="D3" s="56"/>
      <c r="E3" s="56"/>
      <c r="F3" s="56"/>
      <c r="G3" s="56"/>
      <c r="H3" s="56"/>
    </row>
    <row r="5" spans="1:8" x14ac:dyDescent="0.35">
      <c r="B5" s="1" t="s">
        <v>13</v>
      </c>
      <c r="C5" s="1"/>
      <c r="D5" s="1"/>
      <c r="E5" s="1"/>
      <c r="F5" s="1"/>
      <c r="G5" s="1"/>
    </row>
    <row r="7" spans="1:8" x14ac:dyDescent="0.35">
      <c r="C7" s="4" t="s">
        <v>90</v>
      </c>
    </row>
    <row r="8" spans="1:8" x14ac:dyDescent="0.35">
      <c r="C8" s="4" t="s">
        <v>91</v>
      </c>
    </row>
    <row r="10" spans="1:8" x14ac:dyDescent="0.35">
      <c r="B10" s="1" t="s">
        <v>92</v>
      </c>
      <c r="C10" s="1"/>
      <c r="D10" s="1"/>
      <c r="E10" s="1"/>
      <c r="F10" s="1"/>
      <c r="G10" s="1"/>
    </row>
    <row r="12" spans="1:8" x14ac:dyDescent="0.35">
      <c r="C12" s="4" t="s">
        <v>93</v>
      </c>
    </row>
    <row r="14" spans="1:8" ht="15" thickBot="1" x14ac:dyDescent="0.4">
      <c r="F14" s="5" t="s">
        <v>94</v>
      </c>
      <c r="G14" s="14" t="s">
        <v>95</v>
      </c>
    </row>
    <row r="15" spans="1:8" ht="15.5" thickTop="1" thickBot="1" x14ac:dyDescent="0.4">
      <c r="F15" s="7" t="s">
        <v>96</v>
      </c>
    </row>
    <row r="16" spans="1:8" ht="15" thickTop="1" x14ac:dyDescent="0.35">
      <c r="F16" s="7" t="s">
        <v>97</v>
      </c>
      <c r="G16" s="6" t="str">
        <f>'Version control'!$B$5</f>
        <v>Model version</v>
      </c>
    </row>
    <row r="17" spans="6:7" x14ac:dyDescent="0.35">
      <c r="F17" s="8" t="s">
        <v>98</v>
      </c>
      <c r="G17" s="6" t="str">
        <f>'Version control'!$B$17</f>
        <v>Version log</v>
      </c>
    </row>
    <row r="18" spans="6:7" x14ac:dyDescent="0.35">
      <c r="F18" s="8" t="s">
        <v>98</v>
      </c>
      <c r="G18" s="6" t="str">
        <f>'Version control'!$B$31</f>
        <v>Model checks</v>
      </c>
    </row>
    <row r="19" spans="6:7" ht="15" thickBot="1" x14ac:dyDescent="0.4">
      <c r="F19" s="8" t="s">
        <v>98</v>
      </c>
      <c r="G19" s="6" t="str">
        <f>'Version control'!$B$44</f>
        <v>Version log lists</v>
      </c>
    </row>
    <row r="20" spans="6:7" ht="15.5" thickTop="1" thickBot="1" x14ac:dyDescent="0.4">
      <c r="F20" s="7" t="s">
        <v>89</v>
      </c>
      <c r="G20" s="6" t="str">
        <f>'Model map'!$B$5</f>
        <v>Map</v>
      </c>
    </row>
    <row r="21" spans="6:7" ht="15" thickTop="1" x14ac:dyDescent="0.35">
      <c r="F21" s="13" t="s">
        <v>99</v>
      </c>
      <c r="G21" s="6" t="str">
        <f>'Fixed inputs'!$B$11</f>
        <v>Universal values</v>
      </c>
    </row>
    <row r="22" spans="6:7" ht="15" thickBot="1" x14ac:dyDescent="0.4">
      <c r="F22" s="15" t="s">
        <v>98</v>
      </c>
      <c r="G22" s="6" t="str">
        <f>'Fixed inputs'!$B$19</f>
        <v>Inputs from DCUSA text</v>
      </c>
    </row>
    <row r="23" spans="6:7" ht="15" thickTop="1" x14ac:dyDescent="0.35">
      <c r="F23" s="13" t="s">
        <v>100</v>
      </c>
      <c r="G23" s="6" t="str">
        <f>'DNO inputs'!$B$11</f>
        <v>Nominated Calculation Agent inputs</v>
      </c>
    </row>
    <row r="24" spans="6:7" x14ac:dyDescent="0.35">
      <c r="F24" s="15" t="s">
        <v>98</v>
      </c>
      <c r="G24" s="6" t="str">
        <f>'DNO inputs'!$B$28</f>
        <v>Inputs from other charging models</v>
      </c>
    </row>
    <row r="25" spans="6:7" x14ac:dyDescent="0.35">
      <c r="F25" s="15"/>
      <c r="G25" s="6" t="str">
        <f>'DNO inputs'!$B$58</f>
        <v>Inflation indices</v>
      </c>
    </row>
    <row r="26" spans="6:7" ht="15" thickBot="1" x14ac:dyDescent="0.4">
      <c r="F26" s="15" t="s">
        <v>98</v>
      </c>
      <c r="G26" s="6" t="str">
        <f>'DNO inputs'!$B$70</f>
        <v>Other DNO-specific inputs</v>
      </c>
    </row>
    <row r="27" spans="6:7" ht="15" thickTop="1" x14ac:dyDescent="0.35">
      <c r="F27" s="11" t="s">
        <v>72</v>
      </c>
      <c r="G27" s="6" t="str">
        <f>MEAV!$B$13</f>
        <v>MEAV</v>
      </c>
    </row>
    <row r="28" spans="6:7" ht="15" thickBot="1" x14ac:dyDescent="0.4">
      <c r="F28" s="12" t="s">
        <v>98</v>
      </c>
      <c r="G28" s="6" t="str">
        <f>MEAV!$B$99</f>
        <v>Adjusted MEAV</v>
      </c>
    </row>
    <row r="29" spans="6:7" ht="15" thickTop="1" x14ac:dyDescent="0.35">
      <c r="F29" s="11" t="s">
        <v>74</v>
      </c>
      <c r="G29" s="6" t="str">
        <f>Expenditure!$B$12</f>
        <v>Expenditure allocated based on RRP</v>
      </c>
    </row>
    <row r="30" spans="6:7" x14ac:dyDescent="0.35">
      <c r="F30" s="12" t="s">
        <v>98</v>
      </c>
      <c r="G30" s="6" t="str">
        <f>Expenditure!$B$53</f>
        <v>Expenditure allocated based on MEAV</v>
      </c>
    </row>
    <row r="31" spans="6:7" x14ac:dyDescent="0.35">
      <c r="F31" s="12" t="s">
        <v>98</v>
      </c>
      <c r="G31" s="6" t="str">
        <f>Expenditure!$B$103</f>
        <v>Allocation to LV Services</v>
      </c>
    </row>
    <row r="32" spans="6:7" ht="15" thickBot="1" x14ac:dyDescent="0.4">
      <c r="F32" s="12" t="s">
        <v>98</v>
      </c>
      <c r="G32" s="6" t="str">
        <f>Expenditure!$B$133</f>
        <v>Total expenditure allocated</v>
      </c>
    </row>
    <row r="33" spans="2:7" ht="15.5" thickTop="1" thickBot="1" x14ac:dyDescent="0.4">
      <c r="F33" s="11" t="s">
        <v>75</v>
      </c>
      <c r="G33" s="6" t="str">
        <f>Expensed!$B$13</f>
        <v>Expensed proportions</v>
      </c>
    </row>
    <row r="34" spans="2:7" ht="15.5" thickTop="1" thickBot="1" x14ac:dyDescent="0.4">
      <c r="F34" s="11" t="s">
        <v>76</v>
      </c>
      <c r="G34" s="6" t="str">
        <f>Capitalised!$B$13</f>
        <v>Capitalised proportions</v>
      </c>
    </row>
    <row r="35" spans="2:7" ht="15" thickTop="1" x14ac:dyDescent="0.35">
      <c r="F35" s="11" t="s">
        <v>77</v>
      </c>
      <c r="G35" s="6" t="str">
        <f>'Rev allocation'!$B$12</f>
        <v>Shares of allowed revenue by network level</v>
      </c>
    </row>
    <row r="36" spans="2:7" x14ac:dyDescent="0.35">
      <c r="F36" s="12" t="s">
        <v>98</v>
      </c>
      <c r="G36" s="6" t="str">
        <f>'Rev allocation'!$B$51</f>
        <v>Revenue by network level</v>
      </c>
    </row>
    <row r="37" spans="2:7" x14ac:dyDescent="0.35">
      <c r="F37" s="12" t="s">
        <v>98</v>
      </c>
      <c r="G37" s="6" t="str">
        <f>'Rev allocation'!$B$86</f>
        <v>Units flowing</v>
      </c>
    </row>
    <row r="38" spans="2:7" ht="15" thickBot="1" x14ac:dyDescent="0.4">
      <c r="F38" s="12" t="s">
        <v>98</v>
      </c>
      <c r="G38" s="6" t="str">
        <f>'Rev allocation'!$B$122</f>
        <v>Revenue per unit</v>
      </c>
    </row>
    <row r="39" spans="2:7" ht="15.5" thickTop="1" thickBot="1" x14ac:dyDescent="0.4">
      <c r="F39" s="11" t="s">
        <v>78</v>
      </c>
      <c r="G39" s="6" t="str">
        <f>Direct!$B$13</f>
        <v>Direct proportions</v>
      </c>
    </row>
    <row r="40" spans="2:7" ht="15" thickTop="1" x14ac:dyDescent="0.35">
      <c r="F40" s="11" t="s">
        <v>79</v>
      </c>
      <c r="G40" s="6" t="str">
        <f>'EDCM discounts'!$B$11</f>
        <v>Allocation percentages</v>
      </c>
    </row>
    <row r="41" spans="2:7" x14ac:dyDescent="0.35">
      <c r="F41" s="12" t="s">
        <v>98</v>
      </c>
      <c r="G41" s="6" t="str">
        <f>'EDCM discounts'!$B$27</f>
        <v>EDCM user discount components</v>
      </c>
    </row>
    <row r="42" spans="2:7" ht="15" thickBot="1" x14ac:dyDescent="0.4">
      <c r="F42" s="12" t="s">
        <v>98</v>
      </c>
      <c r="G42" s="6" t="str">
        <f>'EDCM discounts'!$B$87</f>
        <v>EDCM user discounts</v>
      </c>
    </row>
    <row r="43" spans="2:7" ht="15.5" thickTop="1" thickBot="1" x14ac:dyDescent="0.4">
      <c r="F43" s="11" t="s">
        <v>80</v>
      </c>
      <c r="G43" s="6" t="str">
        <f>'CDCM discounts'!$B$11</f>
        <v>CDCM user discounts</v>
      </c>
    </row>
    <row r="44" spans="2:7" ht="15" thickTop="1" x14ac:dyDescent="0.35">
      <c r="F44" s="9" t="s">
        <v>101</v>
      </c>
      <c r="G44" s="6" t="str">
        <f>'Output to other models'!$B$11</f>
        <v>DCUSA text outputs</v>
      </c>
    </row>
    <row r="46" spans="2:7" x14ac:dyDescent="0.35">
      <c r="B46" s="1" t="s">
        <v>102</v>
      </c>
      <c r="C46" s="1"/>
      <c r="D46" s="1"/>
      <c r="E46" s="1"/>
      <c r="F46" s="1"/>
      <c r="G46" s="1"/>
    </row>
    <row r="48" spans="2:7" x14ac:dyDescent="0.35">
      <c r="C48" s="4" t="s">
        <v>103</v>
      </c>
    </row>
    <row r="50" spans="6:7" ht="15" thickBot="1" x14ac:dyDescent="0.4">
      <c r="F50" s="5" t="s">
        <v>94</v>
      </c>
      <c r="G50" s="14" t="s">
        <v>95</v>
      </c>
    </row>
    <row r="51" spans="6:7" ht="15" thickTop="1" x14ac:dyDescent="0.35">
      <c r="F51" s="13" t="s">
        <v>99</v>
      </c>
      <c r="G51" s="6" t="str">
        <f>'Fixed inputs'!$C$15</f>
        <v>Input 401-A: Universal values</v>
      </c>
    </row>
    <row r="52" spans="6:7" x14ac:dyDescent="0.35">
      <c r="F52" s="15" t="s">
        <v>98</v>
      </c>
      <c r="G52" s="6" t="str">
        <f>'Fixed inputs'!$C$23</f>
        <v>Input 401-B: EDCM discount cap</v>
      </c>
    </row>
    <row r="53" spans="6:7" x14ac:dyDescent="0.35">
      <c r="F53" s="15" t="s">
        <v>98</v>
      </c>
      <c r="G53" s="6" t="str">
        <f>'Fixed inputs'!$C$29</f>
        <v>Input 401-C: Network length splits for EDCM</v>
      </c>
    </row>
    <row r="54" spans="6:7" x14ac:dyDescent="0.35">
      <c r="F54" s="15" t="s">
        <v>98</v>
      </c>
      <c r="G54" s="6" t="str">
        <f>'Fixed inputs'!$C$37</f>
        <v>Input 401-D: Allocation rules allocation key</v>
      </c>
    </row>
    <row r="55" spans="6:7" x14ac:dyDescent="0.35">
      <c r="F55" s="15" t="s">
        <v>98</v>
      </c>
      <c r="G55" s="6" t="str">
        <f>'Fixed inputs'!$C$90</f>
        <v>Input 401-E: Allocation rules percentage capitalised</v>
      </c>
    </row>
    <row r="56" spans="6:7" x14ac:dyDescent="0.35">
      <c r="F56" s="15" t="s">
        <v>98</v>
      </c>
      <c r="G56" s="6" t="str">
        <f>'Fixed inputs'!$C$132</f>
        <v>Input 401-F: Allocation rules direct cost indicator</v>
      </c>
    </row>
    <row r="57" spans="6:7" x14ac:dyDescent="0.35">
      <c r="F57" s="15" t="s">
        <v>98</v>
      </c>
      <c r="G57" s="6" t="str">
        <f>'Fixed inputs'!$C$178</f>
        <v>Input 401-G: Mapping of MEAV asset categories to network levels</v>
      </c>
    </row>
    <row r="58" spans="6:7" x14ac:dyDescent="0.35">
      <c r="F58" s="15" t="s">
        <v>98</v>
      </c>
      <c r="G58" s="6" t="str">
        <f>'Fixed inputs'!$C$276</f>
        <v>Input 401-H: Extended mapping of MEAV asset categories to network levels</v>
      </c>
    </row>
    <row r="59" spans="6:7" x14ac:dyDescent="0.35">
      <c r="F59" s="15" t="s">
        <v>98</v>
      </c>
      <c r="G59" s="6" t="str">
        <f>'Fixed inputs'!$C$375</f>
        <v>Input 401-I: Units distributed coefficient for the calculation of "U"</v>
      </c>
    </row>
    <row r="60" spans="6:7" x14ac:dyDescent="0.35">
      <c r="F60" s="15" t="s">
        <v>98</v>
      </c>
      <c r="G60" s="6" t="str">
        <f>'Fixed inputs'!$C$384</f>
        <v>Input 401-J: Losses coefficient for the calculation of adjustment factors for units distributed</v>
      </c>
    </row>
    <row r="61" spans="6:7" x14ac:dyDescent="0.35">
      <c r="F61" s="15" t="s">
        <v>98</v>
      </c>
      <c r="G61" s="6" t="str">
        <f>'Fixed inputs'!$C$393</f>
        <v>Input 401-K: Network levels included in the calculation of "S", by user type and network level</v>
      </c>
    </row>
    <row r="62" spans="6:7" ht="15" thickBot="1" x14ac:dyDescent="0.4">
      <c r="F62" s="15"/>
      <c r="G62" s="6" t="str">
        <f>'Fixed inputs'!C408</f>
        <v>Input 401-L: Decimal places for error checks</v>
      </c>
    </row>
    <row r="63" spans="6:7" ht="15" thickTop="1" x14ac:dyDescent="0.35">
      <c r="F63" s="13" t="s">
        <v>100</v>
      </c>
      <c r="G63" s="6" t="str">
        <f>'DNO inputs'!$C$15</f>
        <v>Input 402-A: LV mains split</v>
      </c>
    </row>
    <row r="64" spans="6:7" x14ac:dyDescent="0.35">
      <c r="F64" s="15" t="s">
        <v>98</v>
      </c>
      <c r="G64" s="6" t="str">
        <f>'DNO inputs'!$C$21</f>
        <v>Input 402-B: HV split</v>
      </c>
    </row>
    <row r="65" spans="6:7" x14ac:dyDescent="0.35">
      <c r="F65" s="15" t="s">
        <v>98</v>
      </c>
      <c r="G65" s="6" t="str">
        <f>'DNO inputs'!$C$32</f>
        <v>Input 402-C: CDCM notional asset values</v>
      </c>
    </row>
    <row r="66" spans="6:7" x14ac:dyDescent="0.35">
      <c r="F66" s="15"/>
      <c r="G66" s="6" t="str">
        <f>'DNO inputs'!$C$44</f>
        <v>Input 402-D: CDCM smart meter communication licence costs</v>
      </c>
    </row>
    <row r="67" spans="6:7" x14ac:dyDescent="0.35">
      <c r="F67" s="15" t="s">
        <v>98</v>
      </c>
      <c r="G67" s="6" t="str">
        <f>'DNO inputs'!$C$51</f>
        <v>Input 402-E: EDCM notional asset value</v>
      </c>
    </row>
    <row r="68" spans="6:7" x14ac:dyDescent="0.35">
      <c r="F68" s="15"/>
      <c r="G68" s="6" t="str">
        <f>'DNO inputs'!$C$62</f>
        <v>Input 402-F: Inflation indices</v>
      </c>
    </row>
    <row r="69" spans="6:7" x14ac:dyDescent="0.35">
      <c r="F69" s="15" t="s">
        <v>98</v>
      </c>
      <c r="G69" s="6" t="str">
        <f>'DNO inputs'!$C$74</f>
        <v>Input 402-G: MEAV asset count</v>
      </c>
    </row>
    <row r="70" spans="6:7" x14ac:dyDescent="0.35">
      <c r="F70" s="15" t="s">
        <v>98</v>
      </c>
      <c r="G70" s="6" t="str">
        <f>'DNO inputs'!$C$166</f>
        <v>Input 402-H: MEAV per unit</v>
      </c>
    </row>
    <row r="71" spans="6:7" x14ac:dyDescent="0.35">
      <c r="F71" s="15" t="s">
        <v>98</v>
      </c>
      <c r="G71" s="6" t="str">
        <f>'DNO inputs'!$C$257</f>
        <v>Input 402-I: 2007/08 RRP expenditure, by cost category</v>
      </c>
    </row>
    <row r="72" spans="6:7" x14ac:dyDescent="0.35">
      <c r="F72" s="15" t="s">
        <v>98</v>
      </c>
      <c r="G72" s="6" t="str">
        <f>'DNO inputs'!$C$299</f>
        <v>Input 402-J: 2007/08 RRP expenditure, by network level and cost category</v>
      </c>
    </row>
    <row r="73" spans="6:7" x14ac:dyDescent="0.35">
      <c r="F73" s="15" t="s">
        <v>98</v>
      </c>
      <c r="G73" s="6" t="str">
        <f>'DNO inputs'!$C$341</f>
        <v>Input 402-K: Adjusted 2007/08 load related new connections &amp; reinforcement (net of contributions)</v>
      </c>
    </row>
    <row r="74" spans="6:7" x14ac:dyDescent="0.35">
      <c r="F74" s="15" t="s">
        <v>98</v>
      </c>
      <c r="G74" s="6" t="str">
        <f>'DNO inputs'!$C$352</f>
        <v>Input 402-L: Net capex (2005/06 to 2014/15)</v>
      </c>
    </row>
    <row r="75" spans="6:7" x14ac:dyDescent="0.35">
      <c r="F75" s="15" t="s">
        <v>98</v>
      </c>
      <c r="G75" s="6" t="str">
        <f>'DNO inputs'!$C$364</f>
        <v>Input 402-M: LV services share of LV net capex</v>
      </c>
    </row>
    <row r="76" spans="6:7" x14ac:dyDescent="0.35">
      <c r="F76" s="15" t="s">
        <v>98</v>
      </c>
      <c r="G76" s="6" t="str">
        <f>'DNO inputs'!$C$371</f>
        <v>Input 402-N: Price control allowed revenue</v>
      </c>
    </row>
    <row r="77" spans="6:7" x14ac:dyDescent="0.35">
      <c r="F77" s="15" t="s">
        <v>98</v>
      </c>
      <c r="G77" s="6" t="str">
        <f>'DNO inputs'!$C$380</f>
        <v>Input 402-O: 2007/08 total allowed revenue</v>
      </c>
    </row>
    <row r="78" spans="6:7" x14ac:dyDescent="0.35">
      <c r="F78" s="15" t="s">
        <v>98</v>
      </c>
      <c r="G78" s="6" t="str">
        <f>'DNO inputs'!$C$386</f>
        <v>Input 402-P: 2007/08 net incentive revenue</v>
      </c>
    </row>
    <row r="79" spans="6:7" x14ac:dyDescent="0.35">
      <c r="F79" s="15" t="s">
        <v>98</v>
      </c>
      <c r="G79" s="6" t="str">
        <f>'DNO inputs'!$C$392</f>
        <v>Input 402-Q: Additional DNO revenue</v>
      </c>
    </row>
    <row r="80" spans="6:7" x14ac:dyDescent="0.35">
      <c r="F80" s="15" t="s">
        <v>98</v>
      </c>
      <c r="G80" s="6" t="str">
        <f>'DNO inputs'!$C$399</f>
        <v>Input 402-R: 2007/08 units distributed, by network level</v>
      </c>
    </row>
    <row r="81" spans="6:7" ht="15" thickBot="1" x14ac:dyDescent="0.4">
      <c r="F81" s="15" t="s">
        <v>98</v>
      </c>
      <c r="G81" s="6" t="str">
        <f>'DNO inputs'!$C$408</f>
        <v>Input 402-S: 2007/08 network losses</v>
      </c>
    </row>
    <row r="82" spans="6:7" ht="15" thickTop="1" x14ac:dyDescent="0.35">
      <c r="F82" s="11" t="s">
        <v>72</v>
      </c>
      <c r="G82" s="6" t="str">
        <f>MEAV!$C$18</f>
        <v>Section 401-A: MEAV by asset type</v>
      </c>
    </row>
    <row r="83" spans="6:7" x14ac:dyDescent="0.35">
      <c r="F83" s="12" t="s">
        <v>98</v>
      </c>
      <c r="G83" s="6" t="str">
        <f>MEAV!$C$27</f>
        <v>Section 401-B: Mapping of asset types to network levels</v>
      </c>
    </row>
    <row r="84" spans="6:7" x14ac:dyDescent="0.35">
      <c r="F84" s="12" t="s">
        <v>98</v>
      </c>
      <c r="G84" s="6" t="str">
        <f>MEAV!$C$49</f>
        <v>Section 401-C: MEAV shares, by asset type and network level</v>
      </c>
    </row>
    <row r="85" spans="6:7" x14ac:dyDescent="0.35">
      <c r="F85" s="12" t="s">
        <v>98</v>
      </c>
      <c r="G85" s="6" t="str">
        <f>MEAV!$C$80</f>
        <v>Section 401-D: MEAV shares from extended mapping, by asset type and network level</v>
      </c>
    </row>
    <row r="86" spans="6:7" x14ac:dyDescent="0.35">
      <c r="F86" s="12" t="s">
        <v>98</v>
      </c>
      <c r="G86" s="6" t="str">
        <f>MEAV!$C$103</f>
        <v>Section 401-E: EHV reduction ratio</v>
      </c>
    </row>
    <row r="87" spans="6:7" ht="15" thickBot="1" x14ac:dyDescent="0.4">
      <c r="F87" s="12" t="s">
        <v>98</v>
      </c>
      <c r="G87" s="6" t="str">
        <f>MEAV!$C$122</f>
        <v>Section 401-F: Adjusted MEAV</v>
      </c>
    </row>
    <row r="88" spans="6:7" ht="15" thickTop="1" x14ac:dyDescent="0.35">
      <c r="F88" s="11" t="s">
        <v>74</v>
      </c>
      <c r="G88" s="6" t="str">
        <f>Expenditure!$C$16</f>
        <v>Section 402-A: Expenditure allocated to cost category based on RRP (without LV split)</v>
      </c>
    </row>
    <row r="89" spans="6:7" x14ac:dyDescent="0.35">
      <c r="F89" s="12" t="s">
        <v>98</v>
      </c>
      <c r="G89" s="6" t="str">
        <f>Expenditure!$C$36</f>
        <v>Section 402-B: Expenditure allocated to cost category based on RRP (with LV split)</v>
      </c>
    </row>
    <row r="90" spans="6:7" x14ac:dyDescent="0.35">
      <c r="F90" s="12" t="s">
        <v>98</v>
      </c>
      <c r="G90" s="6" t="str">
        <f>Expenditure!$C$58</f>
        <v>Section 402-C: Expenditure for allocation based on MEAV</v>
      </c>
    </row>
    <row r="91" spans="6:7" x14ac:dyDescent="0.35">
      <c r="F91" s="12" t="s">
        <v>98</v>
      </c>
      <c r="G91" s="6" t="str">
        <f>Expenditure!$C$71</f>
        <v>Section 402-D: MEAV allocation shares</v>
      </c>
    </row>
    <row r="92" spans="6:7" x14ac:dyDescent="0.35">
      <c r="F92" s="12" t="s">
        <v>98</v>
      </c>
      <c r="G92" s="6" t="str">
        <f>Expenditure!$C$87</f>
        <v>Section 402-E: Expenditure allocated based on MEAV</v>
      </c>
    </row>
    <row r="93" spans="6:7" x14ac:dyDescent="0.35">
      <c r="F93" s="12"/>
      <c r="G93" s="6" t="str">
        <f>Expenditure!$C$107</f>
        <v>Section 402-F: Smart meter communication licence costs</v>
      </c>
    </row>
    <row r="94" spans="6:7" x14ac:dyDescent="0.35">
      <c r="F94" s="12" t="s">
        <v>98</v>
      </c>
      <c r="G94" s="6" t="str">
        <f>Expenditure!$C$119</f>
        <v>Section 402-G: Expenditure allocated to LV Services</v>
      </c>
    </row>
    <row r="95" spans="6:7" ht="15" thickBot="1" x14ac:dyDescent="0.4">
      <c r="F95" s="12" t="s">
        <v>98</v>
      </c>
      <c r="G95" s="6" t="str">
        <f>Expenditure!$C$138</f>
        <v>Section 402-H: Total expenditure allocated for discounts</v>
      </c>
    </row>
    <row r="96" spans="6:7" ht="15" thickTop="1" x14ac:dyDescent="0.35">
      <c r="F96" s="11" t="s">
        <v>75</v>
      </c>
      <c r="G96" s="6" t="str">
        <f>Expensed!$C$18</f>
        <v>Section 403-A: Total expenditure allocated</v>
      </c>
    </row>
    <row r="97" spans="6:7" x14ac:dyDescent="0.35">
      <c r="F97" s="12" t="s">
        <v>98</v>
      </c>
      <c r="G97" s="6" t="str">
        <f>Expensed!$C$34</f>
        <v>Section 403-B: Share expensed</v>
      </c>
    </row>
    <row r="98" spans="6:7" x14ac:dyDescent="0.35">
      <c r="F98" s="12" t="s">
        <v>98</v>
      </c>
      <c r="G98" s="6" t="str">
        <f>Expensed!$C$40</f>
        <v>Section 403-C: Value expensed</v>
      </c>
    </row>
    <row r="99" spans="6:7" ht="15" thickBot="1" x14ac:dyDescent="0.4">
      <c r="F99" s="12" t="s">
        <v>98</v>
      </c>
      <c r="G99" s="6" t="str">
        <f>Expensed!$C$65</f>
        <v>Section 403-D: Expensed proportions</v>
      </c>
    </row>
    <row r="100" spans="6:7" ht="15" thickTop="1" x14ac:dyDescent="0.35">
      <c r="F100" s="11" t="s">
        <v>76</v>
      </c>
      <c r="G100" s="6" t="str">
        <f>Capitalised!$C$18</f>
        <v>Section 404-A: Net capex (2005/06 to 2014/15)</v>
      </c>
    </row>
    <row r="101" spans="6:7" x14ac:dyDescent="0.35">
      <c r="F101" s="12" t="s">
        <v>98</v>
      </c>
      <c r="G101" s="6" t="str">
        <f>Capitalised!$C$27</f>
        <v>Section 404-B: Capitalised proportions (EDCM)</v>
      </c>
    </row>
    <row r="102" spans="6:7" ht="15" thickBot="1" x14ac:dyDescent="0.4">
      <c r="F102" s="12" t="s">
        <v>98</v>
      </c>
      <c r="G102" s="6" t="str">
        <f>Capitalised!$C$47</f>
        <v>Section 404-C: Capitalised proportions (CDCM)</v>
      </c>
    </row>
    <row r="103" spans="6:7" ht="15" thickTop="1" x14ac:dyDescent="0.35">
      <c r="F103" s="11" t="s">
        <v>77</v>
      </c>
      <c r="G103" s="6" t="str">
        <f>'Rev allocation'!$C$16</f>
        <v>Section 405-A: Breakdown of allowed revenue</v>
      </c>
    </row>
    <row r="104" spans="6:7" x14ac:dyDescent="0.35">
      <c r="F104" s="12" t="s">
        <v>98</v>
      </c>
      <c r="G104" s="6" t="str">
        <f>'Rev allocation'!$C$31</f>
        <v>Section 405-B: Share of allowed revenue by network level (EDCM)</v>
      </c>
    </row>
    <row r="105" spans="6:7" x14ac:dyDescent="0.35">
      <c r="F105" s="12" t="s">
        <v>98</v>
      </c>
      <c r="G105" s="6" t="str">
        <f>'Rev allocation'!$C$41</f>
        <v>Section 405-C: Share of allowed revenue by network level (CDCM)</v>
      </c>
    </row>
    <row r="106" spans="6:7" x14ac:dyDescent="0.35">
      <c r="F106" s="12" t="s">
        <v>98</v>
      </c>
      <c r="G106" s="6" t="str">
        <f>'Rev allocation'!$C$56</f>
        <v>Section 405-D: Revenue to share</v>
      </c>
    </row>
    <row r="107" spans="6:7" x14ac:dyDescent="0.35">
      <c r="F107" s="12" t="s">
        <v>98</v>
      </c>
      <c r="G107" s="6" t="str">
        <f>'Rev allocation'!$C$72</f>
        <v>Section 405-E: Additional DNO revenue shares</v>
      </c>
    </row>
    <row r="108" spans="6:7" x14ac:dyDescent="0.35">
      <c r="F108" s="12" t="s">
        <v>98</v>
      </c>
      <c r="G108" s="6" t="str">
        <f>'Rev allocation'!$C$80</f>
        <v>Section 405-F: Revenue allocation</v>
      </c>
    </row>
    <row r="109" spans="6:7" x14ac:dyDescent="0.35">
      <c r="F109" s="12" t="s">
        <v>98</v>
      </c>
      <c r="G109" s="6" t="str">
        <f>'Rev allocation'!$C$90</f>
        <v>Section 405-G: Revenue allocation</v>
      </c>
    </row>
    <row r="110" spans="6:7" x14ac:dyDescent="0.35">
      <c r="F110" s="12" t="s">
        <v>98</v>
      </c>
      <c r="G110" s="6" t="str">
        <f>'Rev allocation'!$C$126</f>
        <v>Section 405-H: Revenue per unit</v>
      </c>
    </row>
    <row r="111" spans="6:7" x14ac:dyDescent="0.35">
      <c r="F111" s="12" t="s">
        <v>98</v>
      </c>
      <c r="G111" s="6" t="str">
        <f>'Rev allocation'!$C$142</f>
        <v>Section 405-I: Shares of revenue per unit</v>
      </c>
    </row>
    <row r="112" spans="6:7" x14ac:dyDescent="0.35">
      <c r="F112" s="12" t="s">
        <v>98</v>
      </c>
      <c r="G112" s="6" t="str">
        <f>'Rev allocation'!$C$156</f>
        <v>Section 405-J: U</v>
      </c>
    </row>
    <row r="113" spans="6:7" ht="15" thickBot="1" x14ac:dyDescent="0.4">
      <c r="F113" s="12" t="s">
        <v>98</v>
      </c>
      <c r="G113" s="6" t="str">
        <f>'Rev allocation'!$C$160</f>
        <v>Section 405-K: Extended network level allocation (EDCM only)</v>
      </c>
    </row>
    <row r="114" spans="6:7" ht="15" thickTop="1" x14ac:dyDescent="0.35">
      <c r="F114" s="11" t="s">
        <v>78</v>
      </c>
      <c r="G114" s="6" t="str">
        <f>Direct!$C$18</f>
        <v>Section 406-A: Removal of negative expenditure</v>
      </c>
    </row>
    <row r="115" spans="6:7" ht="15" thickBot="1" x14ac:dyDescent="0.4">
      <c r="F115" s="12" t="s">
        <v>98</v>
      </c>
      <c r="G115" s="6" t="str">
        <f>Direct!$C$32</f>
        <v>Section 406-B: Direct share of positive expenditure</v>
      </c>
    </row>
    <row r="116" spans="6:7" ht="15" thickTop="1" x14ac:dyDescent="0.35">
      <c r="F116" s="11" t="s">
        <v>79</v>
      </c>
      <c r="G116" s="6" t="str">
        <f>'EDCM discounts'!$C$16</f>
        <v>Section 407-A: Allocation percentages</v>
      </c>
    </row>
    <row r="117" spans="6:7" x14ac:dyDescent="0.35">
      <c r="F117" s="12" t="s">
        <v>98</v>
      </c>
      <c r="G117" s="6" t="str">
        <f>'EDCM discounts'!$C$32</f>
        <v>Section 407-B: S</v>
      </c>
    </row>
    <row r="118" spans="6:7" x14ac:dyDescent="0.35">
      <c r="F118" s="12" t="s">
        <v>98</v>
      </c>
      <c r="G118" s="6" t="str">
        <f>'EDCM discounts'!$C$50</f>
        <v>Section 407-C: P</v>
      </c>
    </row>
    <row r="119" spans="6:7" x14ac:dyDescent="0.35">
      <c r="F119" s="12" t="s">
        <v>98</v>
      </c>
      <c r="G119" s="6" t="str">
        <f>'EDCM discounts'!$C$62</f>
        <v>Section 407-D: P adder</v>
      </c>
    </row>
    <row r="120" spans="6:7" x14ac:dyDescent="0.35">
      <c r="F120" s="12" t="s">
        <v>98</v>
      </c>
      <c r="G120" s="6" t="str">
        <f>'EDCM discounts'!$C$79</f>
        <v>Section 407-E: U</v>
      </c>
    </row>
    <row r="121" spans="6:7" x14ac:dyDescent="0.35">
      <c r="F121" s="12" t="s">
        <v>98</v>
      </c>
      <c r="G121" s="6" t="str">
        <f>'EDCM discounts'!$C$91</f>
        <v>Section 407-F: EDCM user discounts (before cap)</v>
      </c>
    </row>
    <row r="122" spans="6:7" ht="15" thickBot="1" x14ac:dyDescent="0.4">
      <c r="F122" s="12" t="s">
        <v>98</v>
      </c>
      <c r="G122" s="6" t="str">
        <f>'EDCM discounts'!$C$100</f>
        <v>Section 407-G: EDCM user discounts</v>
      </c>
    </row>
    <row r="123" spans="6:7" ht="15" thickTop="1" x14ac:dyDescent="0.35">
      <c r="F123" s="11" t="s">
        <v>80</v>
      </c>
      <c r="G123" s="6" t="str">
        <f>'CDCM discounts'!$C$15</f>
        <v>Section 408-A: Allocation percentages</v>
      </c>
    </row>
    <row r="124" spans="6:7" x14ac:dyDescent="0.35">
      <c r="F124" s="12" t="s">
        <v>98</v>
      </c>
      <c r="G124" s="6" t="str">
        <f>'CDCM discounts'!$C$25</f>
        <v>Section 408-B: Parameters for splitting allocations at circuits levels</v>
      </c>
    </row>
    <row r="125" spans="6:7" ht="15" thickBot="1" x14ac:dyDescent="0.4">
      <c r="F125" s="12" t="s">
        <v>98</v>
      </c>
      <c r="G125" s="6" t="str">
        <f>'CDCM discounts'!$C$33</f>
        <v>Section 408-C: PCDM user discounts for CDCM</v>
      </c>
    </row>
    <row r="126" spans="6:7" ht="15" thickTop="1" x14ac:dyDescent="0.35">
      <c r="F126" s="9" t="s">
        <v>101</v>
      </c>
      <c r="G126" s="6" t="str">
        <f>'Output to other models'!$C$15</f>
        <v>Output 401-A: PCDM user discount for CDCM</v>
      </c>
    </row>
    <row r="127" spans="6:7" x14ac:dyDescent="0.35">
      <c r="F127" s="10" t="s">
        <v>98</v>
      </c>
      <c r="G127" s="6" t="str">
        <f>'Output to other models'!$C$25</f>
        <v>Output 401-B: PCDM user discount for EDCM</v>
      </c>
    </row>
    <row r="129" spans="2:7" x14ac:dyDescent="0.35">
      <c r="B129" s="1" t="s">
        <v>87</v>
      </c>
      <c r="C129" s="1"/>
      <c r="D129" s="1"/>
      <c r="E129" s="1"/>
      <c r="F129" s="1"/>
      <c r="G129" s="1"/>
    </row>
  </sheetData>
  <sheetProtection sheet="1" formatCells="0" formatColumns="0" formatRows="0" sort="0" autoFilter="0"/>
  <hyperlinks>
    <hyperlink ref="F15" location="'Cover'!A4" display="'" xr:uid="{1C7D64C7-D1CA-45F1-9F9C-F908B335617E}"/>
    <hyperlink ref="F16" location="'Version control'!A4" display="'" xr:uid="{62F26C1B-A94C-46D7-AECF-470A6CB6404A}"/>
    <hyperlink ref="G16" location="'Version control'!$B$5" display="'Version control'!$B$5" xr:uid="{ED69E541-66F3-4CAE-AB32-C9431F9AA3E4}"/>
    <hyperlink ref="F17" location="'Version control'!A4" display="'" xr:uid="{42C7E3AE-6F1B-4DAA-8F06-DD6E4C6D55B9}"/>
    <hyperlink ref="G17" location="'Version control'!$B$17" display="'Version control'!$B$17" xr:uid="{B843DF95-9889-4915-BD5B-13FC59E820A9}"/>
    <hyperlink ref="F18" location="'Version control'!A4" display="'" xr:uid="{BAD49023-78A0-491E-A9F9-05251E423DFF}"/>
    <hyperlink ref="G18" location="'Version control'!$B$31" display="'Version control'!$B$31" xr:uid="{F7E347E6-ED87-4912-9E1E-79567DA3E682}"/>
    <hyperlink ref="F19" location="'Version control'!A4" display="'" xr:uid="{AA28039C-19BE-4FF3-83AA-92F653CA57B0}"/>
    <hyperlink ref="G19" location="'Version control'!$B$44" display="'Version control'!$B$44" xr:uid="{F1A00F78-4575-4281-A466-A5CE6F8B16E4}"/>
    <hyperlink ref="F20" location="'Model map'!A4" display="'" xr:uid="{7C8CFB08-1B1B-493E-9F16-752E57B1E2CE}"/>
    <hyperlink ref="G20" location="'Model map'!$B$5" display="'Model map'!$B$5" xr:uid="{4A6FE4C8-E2EE-4F6C-8917-1B20F717956C}"/>
    <hyperlink ref="F21" location="'Fixed inputs'!A4" display="'" xr:uid="{A87F9BFD-054F-45AC-AD9F-C4F16502E7A3}"/>
    <hyperlink ref="G21" location="'Fixed inputs'!$B$11" display="'Fixed inputs'!$B$11" xr:uid="{7A9C81E5-391F-4EAD-A7D3-1C3730D380DA}"/>
    <hyperlink ref="F22" location="'Fixed inputs'!A4" display="'" xr:uid="{98BAD932-12B4-466E-B954-BEAF8B242727}"/>
    <hyperlink ref="G22" location="'Fixed inputs'!$B$19" display="'Fixed inputs'!$B$19" xr:uid="{27DBAA9A-2CF9-4BD5-A2C9-5F6CC582F734}"/>
    <hyperlink ref="F23" location="'DNO inputs'!A4" display="'" xr:uid="{9CDF5D5F-E95A-4125-8A82-F6BF2ABBF5F7}"/>
    <hyperlink ref="G23" location="'DNO inputs'!$B$11" display="'DNO inputs'!$B$11" xr:uid="{575A8281-FBCC-47B3-80C2-5A2426638B6E}"/>
    <hyperlink ref="F24" location="'DNO inputs'!A4" display="'" xr:uid="{43EE010D-E9D7-4CE2-8442-18044B0ADCE6}"/>
    <hyperlink ref="G24" location="'DNO inputs'!$B$28" display="'DNO inputs'!$B$28" xr:uid="{DA2AD3AE-BF38-4585-8B1B-A8EB8B15AB56}"/>
    <hyperlink ref="F26" location="'DNO inputs'!A4" display="'" xr:uid="{3379FD9E-4E7A-4B8A-8E0E-B462A865C0C1}"/>
    <hyperlink ref="G26" location="'DNO inputs'!$B$51" display="'DNO inputs'!$B$51" xr:uid="{46A06A86-4DB7-4CC0-A9CB-02AD61AA5CAC}"/>
    <hyperlink ref="F27" location="'MEAV'!A4" display="'" xr:uid="{180C9124-341C-4869-B127-51B098C7A6A3}"/>
    <hyperlink ref="G27" location="'MEAV'!$B$13" display="'MEAV'!$B$13" xr:uid="{92D7C3AD-086B-43BF-9BBC-F47AC2D3B416}"/>
    <hyperlink ref="F28" location="'MEAV'!A4" display="'" xr:uid="{2F2D41FE-DFFE-4955-8128-53D380142761}"/>
    <hyperlink ref="G28" location="'MEAV'!$B$99" display="'MEAV'!$B$99" xr:uid="{22863821-5C94-47AD-A7DF-D3C64954E3F9}"/>
    <hyperlink ref="F29" location="'Expenditure'!A4" display="'" xr:uid="{47EA654D-4592-4AAF-9380-8DE551E827A3}"/>
    <hyperlink ref="G29" location="'Expenditure'!$B$12" display="'Expenditure'!$B$12" xr:uid="{68A49B95-321A-4D05-A925-FD0B201D73CE}"/>
    <hyperlink ref="F30" location="'Expenditure'!A4" display="'" xr:uid="{2E9896BB-B30C-4144-B49F-A750782F931E}"/>
    <hyperlink ref="G30" location="'Expenditure'!$B$53" display="'Expenditure'!$B$53" xr:uid="{B3EC5EC5-FE02-4B52-B12E-3F3D2D11166C}"/>
    <hyperlink ref="F31" location="'Expenditure'!A4" display="'" xr:uid="{E14BF0DB-F77A-44D2-8D7D-EC8125E0B943}"/>
    <hyperlink ref="G31" location="'Expenditure'!$B$103" display="'Expenditure'!$B$103" xr:uid="{EEA0FA60-8E45-46B6-AF37-794E710711D9}"/>
    <hyperlink ref="F32" location="'Expenditure'!A4" display="'" xr:uid="{6F8A5590-1DC4-419E-8995-C10847E66C76}"/>
    <hyperlink ref="G32" location="'Expenditure'!$B$121" display="'Expenditure'!$B$121" xr:uid="{23BD5826-B590-4F86-886B-E70D6CCCC297}"/>
    <hyperlink ref="F33" location="'Expensed'!A4" display="'" xr:uid="{032875FD-E258-4952-8096-3F8A4CC65B43}"/>
    <hyperlink ref="G33" location="'Expensed'!$B$13" display="'Expensed'!$B$13" xr:uid="{33657353-ECC5-45CC-AF55-4C594D4A8B28}"/>
    <hyperlink ref="F34" location="'Capitalised'!A4" display="'" xr:uid="{C71DB2F1-E0BB-42E3-82E7-5FD3A96DA38A}"/>
    <hyperlink ref="G34" location="'Capitalised'!$B$13" display="'Capitalised'!$B$13" xr:uid="{C6DBA840-6623-4322-8ACC-BA5446E3D7BC}"/>
    <hyperlink ref="F35" location="'Rev allocation'!A4" display="'" xr:uid="{0C477F4D-F27B-4BA3-A9BF-DE837EB809DB}"/>
    <hyperlink ref="G35" location="'Rev allocation'!$B$12" display="'Rev allocation'!$B$12" xr:uid="{095F8AA4-9E5E-4DBA-9DAE-7F714BB56C4B}"/>
    <hyperlink ref="F36" location="'Rev allocation'!A4" display="'" xr:uid="{3DC5E270-E212-41F6-9E5E-C83387B15819}"/>
    <hyperlink ref="G36" location="'Rev allocation'!$B$51" display="'Rev allocation'!$B$51" xr:uid="{FC68AF2F-1D8B-4D90-A695-5332D6F32528}"/>
    <hyperlink ref="F37" location="'Rev allocation'!A4" display="'" xr:uid="{02F5A6D3-F081-4C45-BDA7-615E3EC2FF37}"/>
    <hyperlink ref="G37" location="'Rev allocation'!$B$86" display="'Rev allocation'!$B$86" xr:uid="{316591CE-EDF8-471B-B189-81DA8533FA65}"/>
    <hyperlink ref="F38" location="'Rev allocation'!A4" display="'" xr:uid="{8CA985F7-17F4-4B43-9F45-D94543963D93}"/>
    <hyperlink ref="G38" location="'Rev allocation'!$B$122" display="'Rev allocation'!$B$122" xr:uid="{83C1851B-7C1F-4CE2-8226-6BE94E0E64F0}"/>
    <hyperlink ref="F39" location="'Direct'!A4" display="'" xr:uid="{BFC357E6-FCE2-49D2-9C1A-F5F4479E0585}"/>
    <hyperlink ref="G39" location="'Direct'!$B$13" display="'Direct'!$B$13" xr:uid="{503D942B-FF51-4798-A86D-A60DB846D60B}"/>
    <hyperlink ref="F40" location="'EDCM discounts'!A4" display="'" xr:uid="{FD316CCF-3F93-45A9-897A-E76972AD7EE3}"/>
    <hyperlink ref="G40" location="'EDCM discounts'!$B$11" display="'EDCM discounts'!$B$11" xr:uid="{624D9283-3DD6-4036-BCD4-7419BB119A8E}"/>
    <hyperlink ref="F41" location="'EDCM discounts'!A4" display="'" xr:uid="{9F056260-2290-4BF3-914D-3698982F2D6A}"/>
    <hyperlink ref="G41" location="'EDCM discounts'!$B$27" display="'EDCM discounts'!$B$27" xr:uid="{F4AB6E72-D842-403C-8F98-EFB0C9743360}"/>
    <hyperlink ref="F42" location="'EDCM discounts'!A4" display="'" xr:uid="{3C14E96D-20DD-4CF0-9A03-569A83304683}"/>
    <hyperlink ref="G42" location="'EDCM discounts'!$B$87" display="'EDCM discounts'!$B$87" xr:uid="{267C10B5-58EA-48E8-8588-29A508307BFA}"/>
    <hyperlink ref="F43" location="'CDCM discounts'!A4" display="'" xr:uid="{596D7916-2D53-4470-989D-AAD574FAAA4D}"/>
    <hyperlink ref="G43" location="'CDCM discounts'!$B$11" display="'CDCM discounts'!$B$11" xr:uid="{65C8E495-F3F7-45B7-BE5F-B598583657EA}"/>
    <hyperlink ref="F44" location="'Output to other models'!A4" display="'" xr:uid="{9CE841BC-9292-4527-95CF-1803A54533F0}"/>
    <hyperlink ref="G44" location="'Output to other models'!$B$11" display="'Output to other models'!$B$11" xr:uid="{ED15435A-33EC-4385-BF96-7B0DE5967A7C}"/>
    <hyperlink ref="F51" location="'Fixed inputs'!A4" display="'" xr:uid="{A9D669BE-0506-4165-9CE2-5426728524C6}"/>
    <hyperlink ref="G51" location="'Fixed inputs'!$C$15" display="'Fixed inputs'!$C$15" xr:uid="{58E86877-5BE4-4B0B-9948-7836A668364E}"/>
    <hyperlink ref="F52" location="'Fixed inputs'!A4" display="'" xr:uid="{54756611-ED75-445D-8543-C7F6818A04C2}"/>
    <hyperlink ref="G52" location="'Fixed inputs'!$C$23" display="'Fixed inputs'!$C$23" xr:uid="{458800D9-BB11-4D2A-A3E9-7F206D687008}"/>
    <hyperlink ref="F53" location="'Fixed inputs'!A4" display="'" xr:uid="{D20792AE-C890-4649-BC19-1F50807BF3F3}"/>
    <hyperlink ref="G53" location="'Fixed inputs'!$C$29" display="'Fixed inputs'!$C$29" xr:uid="{47B20EED-CDFD-49D2-B7E5-E15735B89849}"/>
    <hyperlink ref="F54" location="'Fixed inputs'!A4" display="'" xr:uid="{9E967C47-DAE1-4A6C-851A-03DEEC859B31}"/>
    <hyperlink ref="G54" location="'Fixed inputs'!$C$37" display="'Fixed inputs'!$C$37" xr:uid="{B42824AE-E9EF-456D-AECE-D78865E3DCD2}"/>
    <hyperlink ref="F55" location="'Fixed inputs'!A4" display="'" xr:uid="{B2026AD0-A907-416B-AA4E-DA3631DB1759}"/>
    <hyperlink ref="G55" location="'Fixed inputs'!$C$89" display="'Fixed inputs'!$C$89" xr:uid="{311F2446-B7AC-4278-8F57-57D28E461B24}"/>
    <hyperlink ref="F56" location="'Fixed inputs'!A4" display="'" xr:uid="{71486B6B-DB87-41E7-95CB-477D64DAB67F}"/>
    <hyperlink ref="G56" location="'Fixed inputs'!$C$130" display="'Fixed inputs'!$C$130" xr:uid="{454ED720-A433-40E9-9A4F-CE84C70C9197}"/>
    <hyperlink ref="F57" location="'Fixed inputs'!A4" display="'" xr:uid="{EC02FD3F-B7E2-42A1-8EEE-75BB5045D304}"/>
    <hyperlink ref="G57" location="'Fixed inputs'!$C$175" display="'Fixed inputs'!$C$175" xr:uid="{41F35E06-F6DF-46A6-BDBD-D1C0215FB979}"/>
    <hyperlink ref="F58" location="'Fixed inputs'!A4" display="'" xr:uid="{00986FBD-2D83-4DE5-AAA4-118D0BAA508F}"/>
    <hyperlink ref="G58" location="'Fixed inputs'!$C$273" display="'Fixed inputs'!$C$273" xr:uid="{2F326DF4-8DFC-4453-830C-754C5E29C6BD}"/>
    <hyperlink ref="F59" location="'Fixed inputs'!A4" display="'" xr:uid="{0B73E7B9-F526-40E6-805B-23F980FE372E}"/>
    <hyperlink ref="G59" location="'Fixed inputs'!$C$372" display="'Fixed inputs'!$C$372" xr:uid="{5444717D-5301-4AD7-83F9-60FD5ED05A04}"/>
    <hyperlink ref="F60" location="'Fixed inputs'!A4" display="'" xr:uid="{A51BF985-F417-4F47-8F51-6360A022D5BB}"/>
    <hyperlink ref="G60" location="'Fixed inputs'!$C$381" display="'Fixed inputs'!$C$381" xr:uid="{EA4FE9DD-F2FE-47C0-B605-49B2B89F9B6F}"/>
    <hyperlink ref="F61" location="'Fixed inputs'!A4" display="'" xr:uid="{DAC2738F-2BF1-4358-B599-ED4A26F6C5A9}"/>
    <hyperlink ref="G61" location="'Fixed inputs'!$C$390" display="'Fixed inputs'!$C$390" xr:uid="{78395C6B-E251-4E85-A323-F5375401ED09}"/>
    <hyperlink ref="F63" location="'DNO inputs'!A4" display="'" xr:uid="{1391EBB5-5C7A-45A5-8EB5-5A372EF25C51}"/>
    <hyperlink ref="G63" location="'DNO inputs'!$C$15" display="'DNO inputs'!$C$15" xr:uid="{054CF894-B699-4EEF-90C9-0F96839881C5}"/>
    <hyperlink ref="F64" location="'DNO inputs'!A4" display="'" xr:uid="{CAFB2E1B-4471-47A8-8C80-1D1DA1E4957C}"/>
    <hyperlink ref="G64" location="'DNO inputs'!$C$21" display="'DNO inputs'!$C$21" xr:uid="{8A37F5EA-524D-483C-813A-0E99E576876A}"/>
    <hyperlink ref="F65" location="'DNO inputs'!A4" display="'" xr:uid="{5E6365FB-DBE6-4DC6-92DD-67FA27AEA50F}"/>
    <hyperlink ref="G65" location="'DNO inputs'!$C$32" display="'DNO inputs'!$C$32" xr:uid="{D3CD49C2-B430-43A9-A0B1-5B466E8EBC99}"/>
    <hyperlink ref="F67" location="'DNO inputs'!A4" display="'" xr:uid="{86B48916-048E-4616-82FE-E0671A7FA2E6}"/>
    <hyperlink ref="G67" location="'DNO inputs'!$C$44" display="'DNO inputs'!$C$44" xr:uid="{B08A66A8-271D-48C8-ADDB-8DAD0CFBCC55}"/>
    <hyperlink ref="F69" location="'DNO inputs'!A4" display="'" xr:uid="{D7930274-063D-400D-B9BA-A8116A28024B}"/>
    <hyperlink ref="G69" location="'DNO inputs'!$C$55" display="'DNO inputs'!$C$55" xr:uid="{0C9EF5FB-EA5A-48A6-AF75-EE65FD7218E9}"/>
    <hyperlink ref="F70" location="'DNO inputs'!A4" display="'" xr:uid="{A02A0ADA-61FF-47C5-8A19-C8B6130C1C23}"/>
    <hyperlink ref="G70" location="'DNO inputs'!$C$147" display="'DNO inputs'!$C$147" xr:uid="{08DFA42D-7751-40FD-A5F3-9799925BA325}"/>
    <hyperlink ref="F71" location="'DNO inputs'!A4" display="'" xr:uid="{85AF8B57-5226-4731-9323-386C99942B4C}"/>
    <hyperlink ref="G71" location="'DNO inputs'!$C$238" display="'DNO inputs'!$C$238" xr:uid="{D9E547B3-D505-49DF-AC7F-5650935DC91C}"/>
    <hyperlink ref="F72" location="'DNO inputs'!A4" display="'" xr:uid="{06A97C00-88D9-4F8B-AFB3-74CE7333311D}"/>
    <hyperlink ref="G72" location="'DNO inputs'!$C$279" display="'DNO inputs'!$C$279" xr:uid="{EA6847B1-6CE6-4B5F-9A9C-7FC1B3E607A4}"/>
    <hyperlink ref="F73" location="'DNO inputs'!A4" display="'" xr:uid="{D588A2CE-804D-4521-AC33-F95B14CE20D9}"/>
    <hyperlink ref="G73" location="'DNO inputs'!$C$320" display="'DNO inputs'!$C$320" xr:uid="{61D3D30B-6DF0-4E24-9CF7-49C500EF1475}"/>
    <hyperlink ref="F74" location="'DNO inputs'!A4" display="'" xr:uid="{F62C2648-5B7A-4771-9145-5FD6710D9495}"/>
    <hyperlink ref="G74" location="'DNO inputs'!$C$331" display="'DNO inputs'!$C$331" xr:uid="{0E9BC1BA-0699-430D-BB46-07708D33280F}"/>
    <hyperlink ref="F75" location="'DNO inputs'!A4" display="'" xr:uid="{3427E878-3F7B-4FBE-99D6-C196A0FB364D}"/>
    <hyperlink ref="G75" location="'DNO inputs'!$C$343" display="'DNO inputs'!$C$343" xr:uid="{24BF2FBB-2227-49BD-9C1A-0AA177A8C48F}"/>
    <hyperlink ref="F76" location="'DNO inputs'!A4" display="'" xr:uid="{88D887F4-DBE6-4545-8179-4270AD8DDC90}"/>
    <hyperlink ref="G76" location="'DNO inputs'!$C$350" display="'DNO inputs'!$C$350" xr:uid="{84EC4705-7781-4786-B698-A43B70F19EAB}"/>
    <hyperlink ref="F77" location="'DNO inputs'!A4" display="'" xr:uid="{8C48A91E-D20B-470B-80A2-6D4AA8F9C00E}"/>
    <hyperlink ref="G77" location="'DNO inputs'!$C$359" display="'DNO inputs'!$C$359" xr:uid="{ADBFD8D0-87D5-4612-BACD-1D31495D7653}"/>
    <hyperlink ref="F78" location="'DNO inputs'!A4" display="'" xr:uid="{EF4A0D89-E085-4A3B-9928-A83FF542C550}"/>
    <hyperlink ref="G78" location="'DNO inputs'!$C$365" display="'DNO inputs'!$C$365" xr:uid="{24EFC407-58E6-425B-AF26-BF9D2D898002}"/>
    <hyperlink ref="F79" location="'DNO inputs'!A4" display="'" xr:uid="{426BA434-0FA4-4DBB-874E-C6A99B46CD1D}"/>
    <hyperlink ref="G79" location="'DNO inputs'!$C$371" display="'DNO inputs'!$C$371" xr:uid="{3A2AF7C7-1770-4C38-A3F8-5793D8682888}"/>
    <hyperlink ref="F80" location="'DNO inputs'!A4" display="'" xr:uid="{E6E1EA48-FFB1-40D3-8B6C-578B9A2F02A4}"/>
    <hyperlink ref="G80" location="'DNO inputs'!$C$378" display="'DNO inputs'!$C$378" xr:uid="{415BF9BA-5E4A-497B-9010-6E58ABA7C875}"/>
    <hyperlink ref="F81" location="'DNO inputs'!A4" display="'" xr:uid="{948B6625-4975-419B-B945-E66D0443F2A9}"/>
    <hyperlink ref="G81" location="'DNO inputs'!$C$387" display="'DNO inputs'!$C$387" xr:uid="{9F33423D-954F-4922-A218-277E33F30906}"/>
    <hyperlink ref="F82" location="'MEAV'!A4" display="'" xr:uid="{E724B077-7E1E-48FB-AFB8-21974E462243}"/>
    <hyperlink ref="G82" location="'MEAV'!$C$18" display="'MEAV'!$C$18" xr:uid="{0B06093B-1496-4198-B9D9-54E38759138F}"/>
    <hyperlink ref="F83" location="'MEAV'!A4" display="'" xr:uid="{9B4CCED6-E24F-47D3-A83F-56629D2E8A8E}"/>
    <hyperlink ref="G83" location="'MEAV'!$C$27" display="'MEAV'!$C$27" xr:uid="{9A280E60-7C9E-43CD-A00A-7143682E669B}"/>
    <hyperlink ref="F84" location="'MEAV'!A4" display="'" xr:uid="{74193CEE-820B-49E8-A8F3-F6BB019789EE}"/>
    <hyperlink ref="G84" location="'MEAV'!$C$49" display="'MEAV'!$C$49" xr:uid="{F8B5AABE-FB1C-4FA2-846C-8DAEE117A792}"/>
    <hyperlink ref="F85" location="'MEAV'!A4" display="'" xr:uid="{0DB7BFA0-4FCE-4544-887B-C9E22FF250E8}"/>
    <hyperlink ref="G85" location="'MEAV'!$C$80" display="'MEAV'!$C$80" xr:uid="{F4D72708-CEBD-47BC-A1F4-E82AB4741FEA}"/>
    <hyperlink ref="F86" location="'MEAV'!A4" display="'" xr:uid="{DBD411FF-D9F7-4AAD-B7E5-DF20C2DF97A4}"/>
    <hyperlink ref="G86" location="'MEAV'!$C$103" display="'MEAV'!$C$103" xr:uid="{AA68BACF-8254-4F89-A59E-4DFE1F92A970}"/>
    <hyperlink ref="F87" location="'MEAV'!A4" display="'" xr:uid="{E67B673B-1903-457E-ADD8-21329A4F800B}"/>
    <hyperlink ref="G87" location="'MEAV'!$C$122" display="'MEAV'!$C$122" xr:uid="{81656A2B-AF93-426E-9561-B4F8607DAC09}"/>
    <hyperlink ref="F88" location="'Expenditure'!A4" display="'" xr:uid="{25FE14C2-912E-4AD8-B125-AC66E3F6946A}"/>
    <hyperlink ref="G88" location="'Expenditure'!$C$16" display="'Expenditure'!$C$16" xr:uid="{B8E1C013-CCF7-4F97-94F1-28C969316271}"/>
    <hyperlink ref="F89" location="'Expenditure'!A4" display="'" xr:uid="{1A6C4724-B5AC-4BF0-829F-391F265894EA}"/>
    <hyperlink ref="G89" location="'Expenditure'!$C$36" display="'Expenditure'!$C$36" xr:uid="{A09D319F-4E7C-4444-8159-7FF7010AECBA}"/>
    <hyperlink ref="F90" location="'Expenditure'!A4" display="'" xr:uid="{215C4CE0-275E-45C5-B1ED-465646895730}"/>
    <hyperlink ref="G90" location="'Expenditure'!$C$58" display="'Expenditure'!$C$58" xr:uid="{8BB76BC2-F8B3-4A3A-94C2-0281AF644319}"/>
    <hyperlink ref="F91" location="'Expenditure'!A4" display="'" xr:uid="{CF8D620F-A9B6-46EA-879D-146152D418AF}"/>
    <hyperlink ref="G91" location="'Expenditure'!$C$71" display="'Expenditure'!$C$71" xr:uid="{14CF065F-6FE9-4736-A913-7DAF172C4C88}"/>
    <hyperlink ref="F92" location="'Expenditure'!A4" display="'" xr:uid="{4790798B-904A-4F05-8B05-7FCDF3F3573E}"/>
    <hyperlink ref="G92" location="'Expenditure'!$C$87" display="'Expenditure'!$C$87" xr:uid="{F4941CD2-2469-4489-A4F3-6D70CF2616BC}"/>
    <hyperlink ref="F94" location="'Expenditure'!A4" display="'" xr:uid="{D1AEFC8F-88E0-4CCB-825A-D4D749F90014}"/>
    <hyperlink ref="G94" location="'Expenditure'!$C$107" display="'Expenditure'!$C$107" xr:uid="{27981743-6093-43DB-ACD3-1EF3C690D9B4}"/>
    <hyperlink ref="F95" location="'Expenditure'!A4" display="'" xr:uid="{66C8D147-211E-4722-BF62-6494521573CF}"/>
    <hyperlink ref="G95" location="'Expenditure'!$C$126" display="'Expenditure'!$C$126" xr:uid="{06D4C57F-BFA1-4C34-9753-1053125FAC70}"/>
    <hyperlink ref="F96" location="'Expensed'!A4" display="'" xr:uid="{CF5BB221-D0FA-47E3-878C-11AB62351964}"/>
    <hyperlink ref="G96" location="'Expensed'!$C$18" display="'Expensed'!$C$18" xr:uid="{26D557C1-4F19-4EBF-8837-2496F177BE94}"/>
    <hyperlink ref="F97" location="'Expensed'!A4" display="'" xr:uid="{EC0472AF-2A96-4823-8CB9-DCFCE8937832}"/>
    <hyperlink ref="G97" location="'Expensed'!$C$34" display="'Expensed'!$C$34" xr:uid="{D40DD4A9-A1E6-42EE-9E42-26BE4BC0CE52}"/>
    <hyperlink ref="F98" location="'Expensed'!A4" display="'" xr:uid="{9E04F377-2CF5-4460-B666-A336ABB18DCD}"/>
    <hyperlink ref="G98" location="'Expensed'!$C$40" display="'Expensed'!$C$40" xr:uid="{B006572A-9057-47D2-A103-F867F342C720}"/>
    <hyperlink ref="F99" location="'Expensed'!A4" display="'" xr:uid="{EAAEE7FE-5FE8-4B44-91F5-35F012862E09}"/>
    <hyperlink ref="G99" location="'Expensed'!$C$65" display="'Expensed'!$C$65" xr:uid="{723725F8-30D8-4A0A-8ED7-954FD536D583}"/>
    <hyperlink ref="F100" location="'Capitalised'!A4" display="'" xr:uid="{11FD29B7-93C6-4346-B1BC-78A257904333}"/>
    <hyperlink ref="G100" location="'Capitalised'!$C$18" display="'Capitalised'!$C$18" xr:uid="{1AE5FA2F-5425-4243-ADAB-99C4E094B69F}"/>
    <hyperlink ref="F101" location="'Capitalised'!A4" display="'" xr:uid="{09154C3D-C3E4-45E8-9512-EA9AE3D2A228}"/>
    <hyperlink ref="G101" location="'Capitalised'!$C$27" display="'Capitalised'!$C$27" xr:uid="{CBE20C38-9DCC-459D-9CC4-19E63656BC87}"/>
    <hyperlink ref="F102" location="'Capitalised'!A4" display="'" xr:uid="{B62E2AE0-56E1-4C74-BDB1-EB27EBDAB8D9}"/>
    <hyperlink ref="G102" location="'Capitalised'!$C$47" display="'Capitalised'!$C$47" xr:uid="{3D6897E1-B65A-4A8B-AB0B-AC4F0CCC30CB}"/>
    <hyperlink ref="F103" location="'Rev allocation'!A4" display="'" xr:uid="{BC58525D-2047-4EF4-BE3B-43CFC5EFA7CC}"/>
    <hyperlink ref="G103" location="'Rev allocation'!$C$16" display="'Rev allocation'!$C$16" xr:uid="{5A169677-BB5E-4BC6-8426-FB5E80300CCC}"/>
    <hyperlink ref="F104" location="'Rev allocation'!A4" display="'" xr:uid="{BA1DC274-D0FB-40E5-A0D5-0E700ACD04AE}"/>
    <hyperlink ref="G104" location="'Rev allocation'!$C$31" display="'Rev allocation'!$C$31" xr:uid="{27F3F1D4-C931-4DEE-B0A4-32876FC694CB}"/>
    <hyperlink ref="F105" location="'Rev allocation'!A4" display="'" xr:uid="{F98C88E3-845E-4D05-90F2-DCF8204FB122}"/>
    <hyperlink ref="G105" location="'Rev allocation'!$C$41" display="'Rev allocation'!$C$41" xr:uid="{0027446D-289B-4FBD-8FBC-7004C342AD0C}"/>
    <hyperlink ref="F106" location="'Rev allocation'!A4" display="'" xr:uid="{67C33FDB-70E8-44E8-B6A4-348608186A63}"/>
    <hyperlink ref="G106" location="'Rev allocation'!$C$56" display="'Rev allocation'!$C$56" xr:uid="{47FE8D33-D7B0-4953-9A35-6331D873A83D}"/>
    <hyperlink ref="F107" location="'Rev allocation'!A4" display="'" xr:uid="{6D873CAB-F618-4D34-8FC5-AD2D338EEF77}"/>
    <hyperlink ref="G107" location="'Rev allocation'!$C$72" display="'Rev allocation'!$C$72" xr:uid="{F720CF12-C789-45BB-99F1-786150E0A15F}"/>
    <hyperlink ref="F108" location="'Rev allocation'!A4" display="'" xr:uid="{799A2366-5878-438F-ACF2-F6A211CAD912}"/>
    <hyperlink ref="G108" location="'Rev allocation'!$C$80" display="'Rev allocation'!$C$80" xr:uid="{641DE84E-7F85-454E-B57F-9604124E2368}"/>
    <hyperlink ref="F109" location="'Rev allocation'!A4" display="'" xr:uid="{5C35B871-8BE6-4615-9E83-EAAF853B2DF5}"/>
    <hyperlink ref="G109" location="'Rev allocation'!$C$90" display="'Rev allocation'!$C$90" xr:uid="{19B87B83-FF80-4009-8F50-B48DE80436FA}"/>
    <hyperlink ref="F110" location="'Rev allocation'!A4" display="'" xr:uid="{5C15E447-5EF3-4BA2-97AD-2CC5E506BAEB}"/>
    <hyperlink ref="G110" location="'Rev allocation'!$C$126" display="'Rev allocation'!$C$126" xr:uid="{26CF13BB-6F67-499C-9E70-D400ED2DE059}"/>
    <hyperlink ref="F111" location="'Rev allocation'!A4" display="'" xr:uid="{3E813A2B-36FE-4666-A39D-A590597DB44F}"/>
    <hyperlink ref="G111" location="'Rev allocation'!$C$142" display="'Rev allocation'!$C$142" xr:uid="{5BC3F828-8473-41DB-93D1-B5B0BA806482}"/>
    <hyperlink ref="F112" location="'Rev allocation'!A4" display="'" xr:uid="{76771CAF-FF64-44D3-B7FD-D4C0589544D0}"/>
    <hyperlink ref="G112" location="'Rev allocation'!$C$156" display="'Rev allocation'!$C$156" xr:uid="{80827CB5-DA0A-4215-A80C-04BAFA45DE48}"/>
    <hyperlink ref="F113" location="'Rev allocation'!A4" display="'" xr:uid="{6175A4B1-6641-43DF-B796-E9BABEBBCC51}"/>
    <hyperlink ref="G113" location="'Rev allocation'!$C$160" display="'Rev allocation'!$C$160" xr:uid="{B2E68243-548D-47C5-85BA-705DF2BF4BEE}"/>
    <hyperlink ref="F114" location="'Direct'!A4" display="'" xr:uid="{D33BC462-6D2E-4D30-87E6-AEFDEF7566CB}"/>
    <hyperlink ref="G114" location="'Direct'!$C$18" display="'Direct'!$C$18" xr:uid="{265D0196-65D6-4676-9924-DC82A9F1EE25}"/>
    <hyperlink ref="F115" location="'Direct'!A4" display="'" xr:uid="{503BA1A3-F887-4B38-BD99-FC8B7DC61BF5}"/>
    <hyperlink ref="G115" location="'Direct'!$C$32" display="'Direct'!$C$32" xr:uid="{4FCC517F-6108-4B7B-9F1B-1D620ACB72A0}"/>
    <hyperlink ref="F116" location="'EDCM discounts'!A4" display="'" xr:uid="{8D24F437-C363-4CC6-AF27-C0FED11CFC63}"/>
    <hyperlink ref="G116" location="'EDCM discounts'!$C$16" display="'EDCM discounts'!$C$16" xr:uid="{FBE9D0BE-0BD6-4A33-80F5-0FB0F5338653}"/>
    <hyperlink ref="F117" location="'EDCM discounts'!A4" display="'" xr:uid="{11B166A6-F273-41A9-A757-9FEE1358E1A6}"/>
    <hyperlink ref="G117" location="'EDCM discounts'!$C$32" display="'EDCM discounts'!$C$32" xr:uid="{B5B1FFDE-19EF-4FDE-BE30-B5ED57EC946E}"/>
    <hyperlink ref="F118" location="'EDCM discounts'!A4" display="'" xr:uid="{546552B1-201F-4CCB-B63C-2B06BB6CC64D}"/>
    <hyperlink ref="G118" location="'EDCM discounts'!$C$50" display="'EDCM discounts'!$C$50" xr:uid="{9D1E1B0E-DF27-4FCC-AEC9-9DDC314B891A}"/>
    <hyperlink ref="F119" location="'EDCM discounts'!A4" display="'" xr:uid="{87DA2D16-FFFE-49FB-A5D0-2A306155172A}"/>
    <hyperlink ref="G119" location="'EDCM discounts'!$C$62" display="'EDCM discounts'!$C$62" xr:uid="{1AE5E854-C09E-4F96-9653-F565DFD5D820}"/>
    <hyperlink ref="F120" location="'EDCM discounts'!A4" display="'" xr:uid="{BFDE3951-02B6-4ABC-90B8-AB1820721F64}"/>
    <hyperlink ref="G120" location="'EDCM discounts'!$C$79" display="'EDCM discounts'!$C$79" xr:uid="{86EC04D4-7849-4C2F-BEC8-DA256BE6D9DA}"/>
    <hyperlink ref="F121" location="'EDCM discounts'!A4" display="'" xr:uid="{0E266581-D086-461D-8580-7A4D44D56809}"/>
    <hyperlink ref="G121" location="'EDCM discounts'!$C$91" display="'EDCM discounts'!$C$91" xr:uid="{88C7E6DF-66EC-4BD0-85A0-914A5E1FF9E3}"/>
    <hyperlink ref="F122" location="'EDCM discounts'!A4" display="'" xr:uid="{9835FD34-171D-4F28-A0BE-B464FD56800F}"/>
    <hyperlink ref="G122" location="'EDCM discounts'!$C$100" display="'EDCM discounts'!$C$100" xr:uid="{C8825C13-67A1-4DAF-9289-B1118B88178D}"/>
    <hyperlink ref="F123" location="'CDCM discounts'!A4" display="'" xr:uid="{6E3CA70E-F210-44DC-8DC4-0A55F2C54154}"/>
    <hyperlink ref="G123" location="'CDCM discounts'!$C$15" display="'CDCM discounts'!$C$15" xr:uid="{33361E12-7C13-4154-8691-DE2593BF0227}"/>
    <hyperlink ref="F124" location="'CDCM discounts'!A4" display="'" xr:uid="{6F700A6F-2E41-4EEB-8712-84074B7CCEAC}"/>
    <hyperlink ref="G124" location="'CDCM discounts'!$C$25" display="'CDCM discounts'!$C$25" xr:uid="{48ED23C7-5D9A-4C9C-9534-3789169A81C4}"/>
    <hyperlink ref="F125" location="'CDCM discounts'!A4" display="'" xr:uid="{6C118EC8-C713-473A-BD08-81BFFD0F2D96}"/>
    <hyperlink ref="G125" location="'CDCM discounts'!$C$33" display="'CDCM discounts'!$C$33" xr:uid="{7B82B230-765C-4B71-8941-8390300CAC8E}"/>
    <hyperlink ref="F126" location="'Output to other models'!A4" display="'" xr:uid="{8E07803F-C19D-4D64-A056-2C49BFDB2F7E}"/>
    <hyperlink ref="G126" location="'Output to other models'!$C$15" display="'Output to other models'!$C$15" xr:uid="{5F78ECD6-5EDF-4934-B86A-C26DC906F3EE}"/>
    <hyperlink ref="F127" location="'Output to other models'!A4" display="'" xr:uid="{F01F9A2B-B858-4F50-8BC8-601258D25413}"/>
    <hyperlink ref="G127" location="'Output to other models'!$C$25" display="'Output to other models'!$C$25" xr:uid="{F4478A6D-2AAE-47C8-A77C-2BA7AAA37209}"/>
    <hyperlink ref="G62" location="'Fixed inputs'!C405" display="'Fixed inputs'!C405" xr:uid="{2403637F-604B-454C-AED4-4833BE17FFAD}"/>
    <hyperlink ref="G25" location="'DNO inputs'!B58" display="Inflation indices" xr:uid="{FD4586EF-6D62-4095-B6CE-87BF1736119C}"/>
    <hyperlink ref="G66" location="'DNO inputs'!C44" display="'DNO inputs'!C44" xr:uid="{3411AA74-E1CA-4B6B-A98A-FD64CD1452D9}"/>
    <hyperlink ref="G68" location="'DNO inputs'!C62" display="'DNO inputs'!C62" xr:uid="{5A619324-8888-49D0-9B91-8DE2ED80C494}"/>
    <hyperlink ref="G93" location="'Expenditure'!$C$87" display="'Expenditure'!$C$87" xr:uid="{7238D1DA-EDB8-49D1-A27A-D0BF56F3BA17}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5" tint="0.59999389629810485"/>
  </sheetPr>
  <dimension ref="A1:P412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13" width="20.7265625" customWidth="1"/>
    <col min="14" max="14" width="2.7265625" customWidth="1"/>
    <col min="15" max="15" width="40.7265625" customWidth="1"/>
    <col min="16" max="16" width="2.7265625" customWidth="1"/>
    <col min="17" max="16384" width="9.1796875" hidden="1"/>
  </cols>
  <sheetData>
    <row r="1" spans="1:16" x14ac:dyDescent="0.35">
      <c r="A1" s="74" t="str">
        <f ca="1">MID(CELL("filename",A1),FIND("]",CELL("filename",A1))+1,255)</f>
        <v>Fixed inputs</v>
      </c>
      <c r="B1" s="74"/>
      <c r="C1" s="74"/>
      <c r="D1" s="74"/>
      <c r="E1" s="74"/>
      <c r="F1" s="74"/>
      <c r="G1" s="74"/>
      <c r="H1" s="75"/>
      <c r="I1" s="75"/>
      <c r="J1" s="75"/>
      <c r="K1" s="75"/>
      <c r="L1" s="75"/>
      <c r="M1" s="75"/>
      <c r="N1" s="75"/>
      <c r="O1" s="74"/>
      <c r="P1" s="2"/>
    </row>
    <row r="2" spans="1:16" x14ac:dyDescent="0.35">
      <c r="A2" s="74" t="str">
        <f>Cover!D21&amp;" - "&amp;Cover!D23</f>
        <v>Southern Electric Power Distribution - Final</v>
      </c>
      <c r="B2" s="74"/>
      <c r="C2" s="74"/>
      <c r="D2" s="74"/>
      <c r="E2" s="74"/>
      <c r="F2" s="74"/>
      <c r="G2" s="74"/>
      <c r="H2" s="75"/>
      <c r="I2" s="75"/>
      <c r="J2" s="75"/>
      <c r="K2" s="75"/>
      <c r="L2" s="75"/>
      <c r="M2" s="75"/>
      <c r="N2" s="75"/>
      <c r="O2" s="74"/>
      <c r="P2" s="2"/>
    </row>
    <row r="3" spans="1:16" x14ac:dyDescent="0.35">
      <c r="A3" s="76" t="str">
        <f>Cover!D2&amp;" - "&amp;Cover!D8&amp;" v"&amp;Cover!D10&amp;" - "&amp;Cover!D19</f>
        <v>PCDM charging model - Release for charge setting v5 - 2024/25</v>
      </c>
      <c r="B3" s="77"/>
      <c r="C3" s="77"/>
      <c r="D3" s="77"/>
      <c r="E3" s="77"/>
      <c r="F3" s="77"/>
      <c r="G3" s="77"/>
      <c r="H3" s="78"/>
      <c r="I3" s="78"/>
      <c r="J3" s="78"/>
      <c r="K3" s="78"/>
      <c r="L3" s="78"/>
      <c r="M3" s="78"/>
      <c r="N3" s="78"/>
      <c r="O3" s="77"/>
      <c r="P3" s="3"/>
    </row>
    <row r="4" spans="1:16" x14ac:dyDescent="0.35">
      <c r="A4" s="36"/>
      <c r="B4" s="36"/>
      <c r="C4" s="36"/>
      <c r="D4" s="36"/>
      <c r="E4" s="36"/>
      <c r="F4" s="36"/>
      <c r="G4" s="36"/>
      <c r="H4" s="58"/>
      <c r="I4" s="58"/>
      <c r="J4" s="58"/>
      <c r="K4" s="58"/>
      <c r="L4" s="58"/>
      <c r="M4" s="58"/>
      <c r="N4" s="58"/>
      <c r="O4" s="36"/>
    </row>
    <row r="5" spans="1:16" x14ac:dyDescent="0.35">
      <c r="A5" s="36"/>
      <c r="B5" s="79" t="s">
        <v>104</v>
      </c>
      <c r="C5" s="42"/>
      <c r="D5" s="42"/>
      <c r="E5" s="42"/>
      <c r="F5" s="42"/>
      <c r="G5" s="80" t="s">
        <v>105</v>
      </c>
      <c r="H5" s="100" t="s">
        <v>106</v>
      </c>
      <c r="I5" s="58"/>
      <c r="J5" s="82"/>
      <c r="K5" s="82"/>
      <c r="L5" s="82"/>
      <c r="M5" s="82"/>
      <c r="N5" s="58"/>
      <c r="O5" s="80" t="s">
        <v>107</v>
      </c>
    </row>
    <row r="6" spans="1:16" x14ac:dyDescent="0.35">
      <c r="A6" s="36"/>
      <c r="B6" s="36"/>
      <c r="C6" s="36"/>
      <c r="D6" s="36"/>
      <c r="E6" s="36"/>
      <c r="F6" s="36"/>
      <c r="G6" s="36"/>
      <c r="H6" s="58"/>
      <c r="I6" s="58"/>
      <c r="J6" s="58"/>
      <c r="K6" s="58"/>
      <c r="L6" s="58"/>
      <c r="M6" s="58"/>
      <c r="N6" s="58"/>
      <c r="O6" s="36"/>
    </row>
    <row r="7" spans="1:16" x14ac:dyDescent="0.35">
      <c r="A7" s="36"/>
      <c r="B7" s="84" t="s">
        <v>13</v>
      </c>
      <c r="C7" s="84"/>
      <c r="D7" s="84"/>
      <c r="E7" s="84"/>
      <c r="F7" s="84"/>
      <c r="G7" s="84"/>
      <c r="H7" s="85"/>
      <c r="I7" s="85"/>
      <c r="J7" s="85"/>
      <c r="K7" s="85"/>
      <c r="L7" s="85"/>
      <c r="M7" s="85"/>
      <c r="N7" s="85"/>
      <c r="O7" s="84"/>
    </row>
    <row r="8" spans="1:16" x14ac:dyDescent="0.35">
      <c r="A8" s="36"/>
      <c r="B8" s="36"/>
      <c r="C8" s="36"/>
      <c r="D8" s="36"/>
      <c r="E8" s="36"/>
      <c r="F8" s="36"/>
      <c r="G8" s="36"/>
      <c r="H8" s="58"/>
      <c r="I8" s="58"/>
      <c r="J8" s="58"/>
      <c r="K8" s="58"/>
      <c r="L8" s="58"/>
      <c r="M8" s="58"/>
      <c r="N8" s="58"/>
      <c r="O8" s="36"/>
    </row>
    <row r="9" spans="1:16" x14ac:dyDescent="0.35">
      <c r="A9" s="36"/>
      <c r="B9" s="36"/>
      <c r="C9" s="86" t="s">
        <v>108</v>
      </c>
      <c r="D9" s="86"/>
      <c r="E9" s="36"/>
      <c r="F9" s="36"/>
      <c r="G9" s="36"/>
      <c r="H9" s="58"/>
      <c r="I9" s="58"/>
      <c r="J9" s="58"/>
      <c r="K9" s="58"/>
      <c r="L9" s="58"/>
      <c r="M9" s="58"/>
      <c r="N9" s="58"/>
      <c r="O9" s="36"/>
    </row>
    <row r="10" spans="1:16" x14ac:dyDescent="0.35">
      <c r="A10" s="36"/>
      <c r="B10" s="36"/>
      <c r="C10" s="86"/>
      <c r="D10" s="86"/>
      <c r="E10" s="36"/>
      <c r="F10" s="36"/>
      <c r="G10" s="36"/>
      <c r="H10" s="58"/>
      <c r="I10" s="58"/>
      <c r="J10" s="58"/>
      <c r="K10" s="58"/>
      <c r="L10" s="58"/>
      <c r="M10" s="58"/>
      <c r="N10" s="58"/>
      <c r="O10" s="36"/>
    </row>
    <row r="11" spans="1:16" x14ac:dyDescent="0.35">
      <c r="A11" s="36"/>
      <c r="B11" s="84" t="s">
        <v>109</v>
      </c>
      <c r="C11" s="84"/>
      <c r="D11" s="84"/>
      <c r="E11" s="84"/>
      <c r="F11" s="84"/>
      <c r="G11" s="84"/>
      <c r="H11" s="85"/>
      <c r="I11" s="85"/>
      <c r="J11" s="85"/>
      <c r="K11" s="85"/>
      <c r="L11" s="85"/>
      <c r="M11" s="85"/>
      <c r="N11" s="85"/>
      <c r="O11" s="84"/>
    </row>
    <row r="12" spans="1:16" x14ac:dyDescent="0.35">
      <c r="A12" s="36"/>
      <c r="B12" s="36"/>
      <c r="C12" s="36"/>
      <c r="D12" s="36"/>
      <c r="E12" s="36"/>
      <c r="F12" s="36"/>
      <c r="G12" s="36"/>
      <c r="H12" s="58"/>
      <c r="I12" s="58"/>
      <c r="J12" s="58"/>
      <c r="K12" s="58"/>
      <c r="L12" s="58"/>
      <c r="M12" s="58"/>
      <c r="N12" s="58"/>
      <c r="O12" s="36"/>
    </row>
    <row r="13" spans="1:16" x14ac:dyDescent="0.35">
      <c r="A13" s="36"/>
      <c r="B13" s="36"/>
      <c r="C13" s="86" t="s">
        <v>110</v>
      </c>
      <c r="D13" s="86"/>
      <c r="E13" s="36"/>
      <c r="F13" s="36"/>
      <c r="G13" s="36"/>
      <c r="H13" s="58"/>
      <c r="I13" s="58"/>
      <c r="J13" s="58"/>
      <c r="K13" s="58"/>
      <c r="L13" s="58"/>
      <c r="M13" s="58"/>
      <c r="N13" s="58"/>
      <c r="O13" s="36"/>
    </row>
    <row r="14" spans="1:16" x14ac:dyDescent="0.35">
      <c r="A14" s="36"/>
      <c r="B14" s="36"/>
      <c r="C14" s="86"/>
      <c r="D14" s="86"/>
      <c r="E14" s="36"/>
      <c r="F14" s="36"/>
      <c r="G14" s="36"/>
      <c r="H14" s="58"/>
      <c r="I14" s="58"/>
      <c r="J14" s="58"/>
      <c r="K14" s="58"/>
      <c r="L14" s="58"/>
      <c r="M14" s="58"/>
      <c r="N14" s="58"/>
      <c r="O14" s="36"/>
    </row>
    <row r="15" spans="1:16" x14ac:dyDescent="0.35">
      <c r="A15" s="36"/>
      <c r="B15" s="36"/>
      <c r="C15" s="87" t="s">
        <v>111</v>
      </c>
      <c r="D15" s="87"/>
      <c r="E15" s="87"/>
      <c r="F15" s="87"/>
      <c r="G15" s="87"/>
      <c r="H15" s="88"/>
      <c r="I15" s="88"/>
      <c r="J15" s="88"/>
      <c r="K15" s="88"/>
      <c r="L15" s="88"/>
      <c r="M15" s="88"/>
      <c r="N15" s="88"/>
      <c r="O15" s="87"/>
    </row>
    <row r="16" spans="1:16" x14ac:dyDescent="0.35">
      <c r="A16" s="36"/>
      <c r="B16" s="36"/>
      <c r="C16" s="86"/>
      <c r="D16" s="86"/>
      <c r="E16" s="36"/>
      <c r="F16" s="36"/>
      <c r="G16" s="36"/>
      <c r="H16" s="58"/>
      <c r="I16" s="58"/>
      <c r="J16" s="58"/>
      <c r="K16" s="58"/>
      <c r="L16" s="58"/>
      <c r="M16" s="58"/>
      <c r="N16" s="58"/>
      <c r="O16" s="36"/>
    </row>
    <row r="17" spans="1:15" x14ac:dyDescent="0.35">
      <c r="A17" s="36"/>
      <c r="B17" s="36"/>
      <c r="C17" s="36"/>
      <c r="D17" s="36"/>
      <c r="E17" s="92" t="s">
        <v>112</v>
      </c>
      <c r="F17" s="36"/>
      <c r="G17" s="92" t="s">
        <v>113</v>
      </c>
      <c r="H17" s="21">
        <f>10^6</f>
        <v>1000000</v>
      </c>
      <c r="I17" s="101"/>
      <c r="J17" s="101"/>
      <c r="K17" s="101"/>
      <c r="L17" s="101"/>
      <c r="M17" s="101"/>
      <c r="N17" s="58"/>
      <c r="O17" s="36"/>
    </row>
    <row r="18" spans="1:15" x14ac:dyDescent="0.35">
      <c r="A18" s="36"/>
      <c r="B18" s="36"/>
      <c r="C18" s="36"/>
      <c r="D18" s="36"/>
      <c r="E18" s="86"/>
      <c r="F18" s="36"/>
      <c r="G18" s="36"/>
      <c r="H18" s="58"/>
      <c r="I18" s="58"/>
      <c r="J18" s="58"/>
      <c r="K18" s="58"/>
      <c r="L18" s="58"/>
      <c r="M18" s="58"/>
      <c r="N18" s="58"/>
      <c r="O18" s="36"/>
    </row>
    <row r="19" spans="1:15" x14ac:dyDescent="0.35">
      <c r="A19" s="36"/>
      <c r="B19" s="84" t="s">
        <v>114</v>
      </c>
      <c r="C19" s="84"/>
      <c r="D19" s="84"/>
      <c r="E19" s="84"/>
      <c r="F19" s="84"/>
      <c r="G19" s="84"/>
      <c r="H19" s="85"/>
      <c r="I19" s="85"/>
      <c r="J19" s="85"/>
      <c r="K19" s="85"/>
      <c r="L19" s="85"/>
      <c r="M19" s="85"/>
      <c r="N19" s="85"/>
      <c r="O19" s="84"/>
    </row>
    <row r="20" spans="1:15" x14ac:dyDescent="0.35">
      <c r="A20" s="36"/>
      <c r="B20" s="36"/>
      <c r="C20" s="36"/>
      <c r="D20" s="36"/>
      <c r="E20" s="36"/>
      <c r="F20" s="36"/>
      <c r="G20" s="36"/>
      <c r="H20" s="58"/>
      <c r="I20" s="58"/>
      <c r="J20" s="58"/>
      <c r="K20" s="58"/>
      <c r="L20" s="58"/>
      <c r="M20" s="58"/>
      <c r="N20" s="58"/>
      <c r="O20" s="36"/>
    </row>
    <row r="21" spans="1:15" x14ac:dyDescent="0.35">
      <c r="A21" s="36"/>
      <c r="B21" s="36"/>
      <c r="C21" s="86" t="s">
        <v>115</v>
      </c>
      <c r="D21" s="86"/>
      <c r="E21" s="36"/>
      <c r="F21" s="36"/>
      <c r="G21" s="36"/>
      <c r="H21" s="58"/>
      <c r="I21" s="58"/>
      <c r="J21" s="58"/>
      <c r="K21" s="58"/>
      <c r="L21" s="58"/>
      <c r="M21" s="58"/>
      <c r="N21" s="58"/>
      <c r="O21" s="36"/>
    </row>
    <row r="22" spans="1:15" x14ac:dyDescent="0.35">
      <c r="A22" s="36"/>
      <c r="B22" s="36"/>
      <c r="C22" s="86"/>
      <c r="D22" s="86"/>
      <c r="E22" s="36"/>
      <c r="F22" s="36"/>
      <c r="G22" s="36"/>
      <c r="H22" s="58"/>
      <c r="I22" s="58"/>
      <c r="J22" s="58"/>
      <c r="K22" s="58"/>
      <c r="L22" s="58"/>
      <c r="M22" s="58"/>
      <c r="N22" s="58"/>
      <c r="O22" s="36"/>
    </row>
    <row r="23" spans="1:15" x14ac:dyDescent="0.35">
      <c r="A23" s="36"/>
      <c r="B23" s="36"/>
      <c r="C23" s="87" t="s">
        <v>116</v>
      </c>
      <c r="D23" s="87"/>
      <c r="E23" s="87"/>
      <c r="F23" s="87"/>
      <c r="G23" s="87"/>
      <c r="H23" s="88"/>
      <c r="I23" s="88"/>
      <c r="J23" s="88"/>
      <c r="K23" s="88"/>
      <c r="L23" s="88"/>
      <c r="M23" s="88"/>
      <c r="N23" s="88"/>
      <c r="O23" s="87"/>
    </row>
    <row r="24" spans="1:15" x14ac:dyDescent="0.35">
      <c r="A24" s="36"/>
      <c r="B24" s="36"/>
      <c r="C24" s="86"/>
      <c r="D24" s="86"/>
      <c r="E24" s="36"/>
      <c r="F24" s="36"/>
      <c r="G24" s="36"/>
      <c r="H24" s="58"/>
      <c r="I24" s="58"/>
      <c r="J24" s="58"/>
      <c r="K24" s="58"/>
      <c r="L24" s="58"/>
      <c r="M24" s="58"/>
      <c r="N24" s="58"/>
      <c r="O24" s="36"/>
    </row>
    <row r="25" spans="1:15" x14ac:dyDescent="0.35">
      <c r="A25" s="36"/>
      <c r="B25" s="36"/>
      <c r="C25" s="86"/>
      <c r="D25" s="86" t="s">
        <v>117</v>
      </c>
      <c r="E25" s="36"/>
      <c r="F25" s="36"/>
      <c r="G25" s="36"/>
      <c r="H25" s="58"/>
      <c r="I25" s="58"/>
      <c r="J25" s="58"/>
      <c r="K25" s="58"/>
      <c r="L25" s="58"/>
      <c r="M25" s="58"/>
      <c r="N25" s="58"/>
      <c r="O25" s="36"/>
    </row>
    <row r="26" spans="1:15" x14ac:dyDescent="0.35">
      <c r="A26" s="36"/>
      <c r="B26" s="36"/>
      <c r="C26" s="86"/>
      <c r="D26" s="86"/>
      <c r="E26" s="36"/>
      <c r="F26" s="36"/>
      <c r="G26" s="36"/>
      <c r="H26" s="58"/>
      <c r="I26" s="58"/>
      <c r="J26" s="58"/>
      <c r="K26" s="58"/>
      <c r="L26" s="58"/>
      <c r="M26" s="58"/>
      <c r="N26" s="58"/>
      <c r="O26" s="36"/>
    </row>
    <row r="27" spans="1:15" x14ac:dyDescent="0.35">
      <c r="A27" s="98"/>
      <c r="B27" s="36"/>
      <c r="C27" s="36"/>
      <c r="D27" s="86"/>
      <c r="E27" s="92" t="s">
        <v>118</v>
      </c>
      <c r="F27" s="36"/>
      <c r="G27" s="92" t="s">
        <v>119</v>
      </c>
      <c r="H27" s="22">
        <v>1</v>
      </c>
      <c r="I27" s="102" t="s">
        <v>120</v>
      </c>
      <c r="J27" s="102"/>
      <c r="K27" s="102"/>
      <c r="L27" s="102"/>
      <c r="M27" s="102"/>
      <c r="N27" s="103"/>
      <c r="O27" s="92" t="s">
        <v>121</v>
      </c>
    </row>
    <row r="28" spans="1:15" x14ac:dyDescent="0.35">
      <c r="A28" s="36"/>
      <c r="B28" s="36"/>
      <c r="C28" s="36"/>
      <c r="D28" s="36"/>
      <c r="E28" s="86"/>
      <c r="F28" s="36"/>
      <c r="G28" s="36"/>
      <c r="H28" s="58"/>
      <c r="I28" s="58"/>
      <c r="J28" s="58"/>
      <c r="K28" s="58"/>
      <c r="L28" s="58"/>
      <c r="M28" s="58"/>
      <c r="N28" s="58"/>
      <c r="O28" s="36"/>
    </row>
    <row r="29" spans="1:15" x14ac:dyDescent="0.35">
      <c r="A29" s="36"/>
      <c r="B29" s="36"/>
      <c r="C29" s="87" t="s">
        <v>122</v>
      </c>
      <c r="D29" s="87"/>
      <c r="E29" s="87"/>
      <c r="F29" s="87"/>
      <c r="G29" s="87"/>
      <c r="H29" s="88"/>
      <c r="I29" s="88"/>
      <c r="J29" s="88"/>
      <c r="K29" s="88"/>
      <c r="L29" s="88"/>
      <c r="M29" s="88"/>
      <c r="N29" s="88"/>
      <c r="O29" s="87"/>
    </row>
    <row r="30" spans="1:15" x14ac:dyDescent="0.35">
      <c r="A30" s="36"/>
      <c r="B30" s="36"/>
      <c r="C30" s="86"/>
      <c r="D30" s="86"/>
      <c r="E30" s="36"/>
      <c r="F30" s="36"/>
      <c r="G30" s="36"/>
      <c r="H30" s="58"/>
      <c r="I30" s="58"/>
      <c r="J30" s="58"/>
      <c r="K30" s="58"/>
      <c r="L30" s="58"/>
      <c r="M30" s="58"/>
      <c r="N30" s="58"/>
      <c r="O30" s="36"/>
    </row>
    <row r="31" spans="1:15" x14ac:dyDescent="0.35">
      <c r="A31" s="36"/>
      <c r="B31" s="36"/>
      <c r="C31" s="86"/>
      <c r="D31" s="86" t="s">
        <v>123</v>
      </c>
      <c r="E31" s="36"/>
      <c r="F31" s="36"/>
      <c r="G31" s="36"/>
      <c r="H31" s="58"/>
      <c r="I31" s="58"/>
      <c r="J31" s="58"/>
      <c r="K31" s="58"/>
      <c r="L31" s="58"/>
      <c r="M31" s="58"/>
      <c r="N31" s="58"/>
      <c r="O31" s="36"/>
    </row>
    <row r="32" spans="1:15" x14ac:dyDescent="0.35">
      <c r="A32" s="36"/>
      <c r="B32" s="36"/>
      <c r="C32" s="86"/>
      <c r="D32" s="86" t="s">
        <v>124</v>
      </c>
      <c r="E32" s="36"/>
      <c r="F32" s="36"/>
      <c r="G32" s="36"/>
      <c r="H32" s="58"/>
      <c r="I32" s="58"/>
      <c r="J32" s="58"/>
      <c r="K32" s="58"/>
      <c r="L32" s="58"/>
      <c r="M32" s="58"/>
      <c r="N32" s="58"/>
      <c r="O32" s="36"/>
    </row>
    <row r="33" spans="1:15" x14ac:dyDescent="0.35">
      <c r="A33" s="36"/>
      <c r="B33" s="36"/>
      <c r="C33" s="86"/>
      <c r="D33" s="86"/>
      <c r="E33" s="36"/>
      <c r="F33" s="36"/>
      <c r="G33" s="36"/>
      <c r="H33" s="58"/>
      <c r="I33" s="58"/>
      <c r="J33" s="58"/>
      <c r="K33" s="58"/>
      <c r="L33" s="58"/>
      <c r="M33" s="58"/>
      <c r="N33" s="58"/>
      <c r="O33" s="36"/>
    </row>
    <row r="34" spans="1:15" x14ac:dyDescent="0.35">
      <c r="A34" s="98"/>
      <c r="B34" s="36"/>
      <c r="C34" s="36"/>
      <c r="D34" s="86"/>
      <c r="E34" s="92" t="s">
        <v>125</v>
      </c>
      <c r="F34" s="36"/>
      <c r="G34" s="92" t="str">
        <f>Direct!G$56</f>
        <v>%</v>
      </c>
      <c r="H34" s="22">
        <v>1</v>
      </c>
      <c r="I34" s="102" t="s">
        <v>120</v>
      </c>
      <c r="J34" s="102"/>
      <c r="K34" s="102"/>
      <c r="L34" s="102"/>
      <c r="M34" s="102"/>
      <c r="N34" s="103"/>
      <c r="O34" s="92" t="s">
        <v>121</v>
      </c>
    </row>
    <row r="35" spans="1:15" x14ac:dyDescent="0.35">
      <c r="A35" s="98"/>
      <c r="B35" s="36"/>
      <c r="C35" s="36"/>
      <c r="D35" s="36"/>
      <c r="E35" s="92" t="s">
        <v>126</v>
      </c>
      <c r="F35" s="36"/>
      <c r="G35" s="92" t="str">
        <f>Direct!G$56</f>
        <v>%</v>
      </c>
      <c r="H35" s="22">
        <v>1</v>
      </c>
      <c r="I35" s="102" t="s">
        <v>120</v>
      </c>
      <c r="J35" s="102"/>
      <c r="K35" s="102"/>
      <c r="L35" s="102"/>
      <c r="M35" s="102"/>
      <c r="N35" s="103"/>
      <c r="O35" s="92" t="s">
        <v>121</v>
      </c>
    </row>
    <row r="36" spans="1:15" x14ac:dyDescent="0.35">
      <c r="A36" s="36"/>
      <c r="B36" s="36"/>
      <c r="C36" s="36"/>
      <c r="D36" s="36"/>
      <c r="E36" s="86"/>
      <c r="F36" s="36"/>
      <c r="G36" s="36"/>
      <c r="H36" s="58"/>
      <c r="I36" s="58"/>
      <c r="J36" s="58"/>
      <c r="K36" s="58"/>
      <c r="L36" s="58"/>
      <c r="M36" s="58"/>
      <c r="N36" s="58"/>
      <c r="O36" s="36"/>
    </row>
    <row r="37" spans="1:15" x14ac:dyDescent="0.35">
      <c r="A37" s="36"/>
      <c r="B37" s="36"/>
      <c r="C37" s="87" t="s">
        <v>127</v>
      </c>
      <c r="D37" s="87"/>
      <c r="E37" s="87"/>
      <c r="F37" s="87"/>
      <c r="G37" s="87"/>
      <c r="H37" s="88"/>
      <c r="I37" s="88"/>
      <c r="J37" s="88"/>
      <c r="K37" s="88"/>
      <c r="L37" s="88"/>
      <c r="M37" s="88"/>
      <c r="N37" s="88"/>
      <c r="O37" s="87"/>
    </row>
    <row r="38" spans="1:15" x14ac:dyDescent="0.35">
      <c r="A38" s="36"/>
      <c r="B38" s="36"/>
      <c r="C38" s="86"/>
      <c r="D38" s="86"/>
      <c r="E38" s="36"/>
      <c r="F38" s="36"/>
      <c r="G38" s="36"/>
      <c r="H38" s="58"/>
      <c r="I38" s="58"/>
      <c r="J38" s="58"/>
      <c r="K38" s="58"/>
      <c r="L38" s="58"/>
      <c r="M38" s="58"/>
      <c r="N38" s="58"/>
      <c r="O38" s="36"/>
    </row>
    <row r="39" spans="1:15" x14ac:dyDescent="0.35">
      <c r="A39" s="36"/>
      <c r="B39" s="36"/>
      <c r="C39" s="86"/>
      <c r="D39" s="86" t="s">
        <v>128</v>
      </c>
      <c r="E39" s="36"/>
      <c r="F39" s="36"/>
      <c r="G39" s="36"/>
      <c r="H39" s="58"/>
      <c r="I39" s="58"/>
      <c r="J39" s="58"/>
      <c r="K39" s="58"/>
      <c r="L39" s="58"/>
      <c r="M39" s="58"/>
      <c r="N39" s="58"/>
      <c r="O39" s="36"/>
    </row>
    <row r="40" spans="1:15" x14ac:dyDescent="0.35">
      <c r="A40" s="36"/>
      <c r="B40" s="36"/>
      <c r="C40" s="86"/>
      <c r="D40" s="86" t="s">
        <v>129</v>
      </c>
      <c r="E40" s="36"/>
      <c r="F40" s="36"/>
      <c r="G40" s="36"/>
      <c r="H40" s="58"/>
      <c r="I40" s="58"/>
      <c r="J40" s="58"/>
      <c r="K40" s="58"/>
      <c r="L40" s="58"/>
      <c r="M40" s="58"/>
      <c r="N40" s="58"/>
      <c r="O40" s="36"/>
    </row>
    <row r="41" spans="1:15" x14ac:dyDescent="0.35">
      <c r="A41" s="36"/>
      <c r="B41" s="36"/>
      <c r="C41" s="36"/>
      <c r="D41" s="86" t="s">
        <v>130</v>
      </c>
      <c r="E41" s="36"/>
      <c r="F41" s="36"/>
      <c r="G41" s="36"/>
      <c r="H41" s="58"/>
      <c r="I41" s="58"/>
      <c r="J41" s="58"/>
      <c r="K41" s="58"/>
      <c r="L41" s="58"/>
      <c r="M41" s="58"/>
      <c r="N41" s="58"/>
      <c r="O41" s="36"/>
    </row>
    <row r="42" spans="1:15" x14ac:dyDescent="0.35">
      <c r="A42" s="36"/>
      <c r="B42" s="36"/>
      <c r="C42" s="36"/>
      <c r="D42" s="86"/>
      <c r="E42" s="36"/>
      <c r="F42" s="36"/>
      <c r="G42" s="36"/>
      <c r="H42" s="58"/>
      <c r="I42" s="58"/>
      <c r="J42" s="58"/>
      <c r="K42" s="58"/>
      <c r="L42" s="58"/>
      <c r="M42" s="58"/>
      <c r="N42" s="58"/>
      <c r="O42" s="36"/>
    </row>
    <row r="43" spans="1:15" x14ac:dyDescent="0.35">
      <c r="A43" s="36"/>
      <c r="B43" s="36"/>
      <c r="C43" s="36"/>
      <c r="D43" s="86"/>
      <c r="E43" s="89" t="s">
        <v>131</v>
      </c>
      <c r="F43" s="36"/>
      <c r="G43" s="36"/>
      <c r="H43" s="58"/>
      <c r="I43" s="58"/>
      <c r="J43" s="58"/>
      <c r="K43" s="58"/>
      <c r="L43" s="58"/>
      <c r="M43" s="58"/>
      <c r="N43" s="58"/>
      <c r="O43" s="36"/>
    </row>
    <row r="44" spans="1:15" x14ac:dyDescent="0.35">
      <c r="A44" s="36"/>
      <c r="B44" s="36"/>
      <c r="C44" s="36"/>
      <c r="D44" s="86"/>
      <c r="E44" s="36"/>
      <c r="F44" s="90" t="s">
        <v>132</v>
      </c>
      <c r="G44" s="90" t="s">
        <v>133</v>
      </c>
      <c r="H44" s="23" t="s">
        <v>72</v>
      </c>
      <c r="I44" s="101"/>
      <c r="J44" s="101"/>
      <c r="K44" s="101"/>
      <c r="L44" s="101"/>
      <c r="M44" s="101"/>
      <c r="N44" s="58"/>
      <c r="O44" s="36"/>
    </row>
    <row r="45" spans="1:15" x14ac:dyDescent="0.35">
      <c r="A45" s="36"/>
      <c r="B45" s="36"/>
      <c r="C45" s="36"/>
      <c r="D45" s="36"/>
      <c r="E45" s="36"/>
      <c r="F45" s="92" t="s">
        <v>134</v>
      </c>
      <c r="G45" s="92" t="s">
        <v>133</v>
      </c>
      <c r="H45" s="21" t="s">
        <v>135</v>
      </c>
      <c r="I45" s="101"/>
      <c r="J45" s="101"/>
      <c r="K45" s="101"/>
      <c r="L45" s="101"/>
      <c r="M45" s="101"/>
      <c r="N45" s="58"/>
      <c r="O45" s="36"/>
    </row>
    <row r="46" spans="1:15" x14ac:dyDescent="0.35">
      <c r="A46" s="36"/>
      <c r="B46" s="36"/>
      <c r="C46" s="36"/>
      <c r="D46" s="36"/>
      <c r="E46" s="36"/>
      <c r="F46" s="161" t="s">
        <v>136</v>
      </c>
      <c r="G46" s="161" t="s">
        <v>133</v>
      </c>
      <c r="H46" s="163" t="s">
        <v>137</v>
      </c>
      <c r="I46" s="101"/>
      <c r="J46" s="101"/>
      <c r="K46" s="101"/>
      <c r="L46" s="101"/>
      <c r="M46" s="101"/>
      <c r="N46" s="58"/>
      <c r="O46" s="36"/>
    </row>
    <row r="47" spans="1:15" x14ac:dyDescent="0.35">
      <c r="A47" s="36"/>
      <c r="B47" s="36"/>
      <c r="C47" s="36"/>
      <c r="D47" s="36"/>
      <c r="E47" s="36"/>
      <c r="F47" s="162" t="s">
        <v>138</v>
      </c>
      <c r="G47" s="94" t="s">
        <v>133</v>
      </c>
      <c r="H47" s="164" t="s">
        <v>139</v>
      </c>
      <c r="I47" s="101"/>
      <c r="J47" s="101"/>
      <c r="K47" s="101"/>
      <c r="L47" s="101"/>
      <c r="M47" s="101"/>
      <c r="N47" s="58"/>
      <c r="O47" s="36"/>
    </row>
    <row r="48" spans="1:15" x14ac:dyDescent="0.35">
      <c r="A48" s="36"/>
      <c r="B48" s="36"/>
      <c r="C48" s="36"/>
      <c r="D48" s="36"/>
      <c r="E48" s="36"/>
      <c r="F48" s="36"/>
      <c r="G48" s="36"/>
      <c r="H48" s="58"/>
      <c r="I48" s="58"/>
      <c r="J48" s="58"/>
      <c r="K48" s="58"/>
      <c r="L48" s="58"/>
      <c r="M48" s="58"/>
      <c r="N48" s="58"/>
      <c r="O48" s="36"/>
    </row>
    <row r="49" spans="1:15" x14ac:dyDescent="0.35">
      <c r="A49" s="36"/>
      <c r="B49" s="36"/>
      <c r="C49" s="36"/>
      <c r="D49" s="36"/>
      <c r="E49" s="92" t="s">
        <v>140</v>
      </c>
      <c r="F49" s="36"/>
      <c r="G49" s="92" t="s">
        <v>141</v>
      </c>
      <c r="H49" s="21" t="s">
        <v>72</v>
      </c>
      <c r="I49" s="101"/>
      <c r="J49" s="101"/>
      <c r="K49" s="101"/>
      <c r="L49" s="101"/>
      <c r="M49" s="101"/>
      <c r="N49" s="58"/>
      <c r="O49" s="36"/>
    </row>
    <row r="50" spans="1:15" x14ac:dyDescent="0.35">
      <c r="A50" s="36"/>
      <c r="B50" s="36"/>
      <c r="C50" s="36"/>
      <c r="D50" s="36"/>
      <c r="E50" s="86"/>
      <c r="F50" s="36"/>
      <c r="G50" s="36"/>
      <c r="H50" s="58"/>
      <c r="I50" s="58"/>
      <c r="J50" s="58"/>
      <c r="K50" s="58"/>
      <c r="L50" s="58"/>
      <c r="M50" s="58"/>
      <c r="N50" s="58"/>
      <c r="O50" s="36"/>
    </row>
    <row r="51" spans="1:15" x14ac:dyDescent="0.35">
      <c r="A51" s="36"/>
      <c r="B51" s="36"/>
      <c r="C51" s="36"/>
      <c r="D51" s="36"/>
      <c r="E51" s="161" t="s">
        <v>142</v>
      </c>
      <c r="F51" s="36"/>
      <c r="G51" s="92" t="s">
        <v>141</v>
      </c>
      <c r="H51" s="21" t="s">
        <v>139</v>
      </c>
      <c r="I51" s="101"/>
      <c r="J51" s="101"/>
      <c r="K51" s="101"/>
      <c r="L51" s="101"/>
      <c r="M51" s="101"/>
      <c r="N51" s="58"/>
      <c r="O51" s="36"/>
    </row>
    <row r="52" spans="1:15" x14ac:dyDescent="0.35">
      <c r="A52" s="36"/>
      <c r="B52" s="36"/>
      <c r="C52" s="36"/>
      <c r="D52" s="36"/>
      <c r="E52" s="86"/>
      <c r="F52" s="36"/>
      <c r="G52" s="36"/>
      <c r="H52" s="58"/>
      <c r="I52" s="58"/>
      <c r="J52" s="58"/>
      <c r="K52" s="58"/>
      <c r="L52" s="58"/>
      <c r="M52" s="58"/>
      <c r="N52" s="58"/>
      <c r="O52" s="36"/>
    </row>
    <row r="53" spans="1:15" x14ac:dyDescent="0.35">
      <c r="A53" s="98"/>
      <c r="B53" s="36"/>
      <c r="C53" s="36"/>
      <c r="D53" s="36"/>
      <c r="E53" s="89" t="s">
        <v>143</v>
      </c>
      <c r="F53" s="36"/>
      <c r="G53" s="36"/>
      <c r="H53" s="58"/>
      <c r="I53" s="103" t="s">
        <v>120</v>
      </c>
      <c r="J53" s="103"/>
      <c r="K53" s="103"/>
      <c r="L53" s="103"/>
      <c r="M53" s="103"/>
      <c r="N53" s="103"/>
      <c r="O53" s="92" t="s">
        <v>144</v>
      </c>
    </row>
    <row r="54" spans="1:15" x14ac:dyDescent="0.35">
      <c r="A54" s="36"/>
      <c r="B54" s="36"/>
      <c r="C54" s="36"/>
      <c r="D54" s="36"/>
      <c r="E54" s="36"/>
      <c r="F54" s="90" t="s">
        <v>145</v>
      </c>
      <c r="G54" s="90" t="s">
        <v>133</v>
      </c>
      <c r="H54" s="104"/>
      <c r="I54" s="101"/>
      <c r="J54" s="101"/>
      <c r="K54" s="101"/>
      <c r="L54" s="101"/>
      <c r="M54" s="101"/>
      <c r="N54" s="58"/>
      <c r="O54" s="36"/>
    </row>
    <row r="55" spans="1:15" x14ac:dyDescent="0.35">
      <c r="A55" s="36"/>
      <c r="B55" s="36"/>
      <c r="C55" s="36"/>
      <c r="D55" s="36"/>
      <c r="E55" s="36"/>
      <c r="F55" s="92" t="s">
        <v>146</v>
      </c>
      <c r="G55" s="92" t="s">
        <v>133</v>
      </c>
      <c r="H55" s="21" t="s">
        <v>72</v>
      </c>
      <c r="I55" s="101"/>
      <c r="J55" s="101"/>
      <c r="K55" s="101"/>
      <c r="L55" s="101"/>
      <c r="M55" s="101"/>
      <c r="N55" s="58"/>
      <c r="O55" s="36"/>
    </row>
    <row r="56" spans="1:15" x14ac:dyDescent="0.35">
      <c r="A56" s="36"/>
      <c r="B56" s="36"/>
      <c r="C56" s="36"/>
      <c r="D56" s="36"/>
      <c r="E56" s="36"/>
      <c r="F56" s="92" t="s">
        <v>147</v>
      </c>
      <c r="G56" s="92" t="s">
        <v>133</v>
      </c>
      <c r="H56" s="21" t="s">
        <v>72</v>
      </c>
      <c r="I56" s="101"/>
      <c r="J56" s="101"/>
      <c r="K56" s="101"/>
      <c r="L56" s="101"/>
      <c r="M56" s="101"/>
      <c r="N56" s="58"/>
      <c r="O56" s="36"/>
    </row>
    <row r="57" spans="1:15" x14ac:dyDescent="0.35">
      <c r="A57" s="36"/>
      <c r="B57" s="36"/>
      <c r="C57" s="36"/>
      <c r="D57" s="36"/>
      <c r="E57" s="36"/>
      <c r="F57" s="92" t="s">
        <v>148</v>
      </c>
      <c r="G57" s="92" t="s">
        <v>133</v>
      </c>
      <c r="H57" s="21" t="s">
        <v>72</v>
      </c>
      <c r="I57" s="101"/>
      <c r="J57" s="101"/>
      <c r="K57" s="101"/>
      <c r="L57" s="101"/>
      <c r="M57" s="101"/>
      <c r="N57" s="58"/>
      <c r="O57" s="36"/>
    </row>
    <row r="58" spans="1:15" x14ac:dyDescent="0.35">
      <c r="A58" s="36"/>
      <c r="B58" s="36"/>
      <c r="C58" s="36"/>
      <c r="D58" s="36"/>
      <c r="E58" s="36"/>
      <c r="F58" s="92" t="s">
        <v>149</v>
      </c>
      <c r="G58" s="92" t="s">
        <v>133</v>
      </c>
      <c r="H58" s="21" t="s">
        <v>72</v>
      </c>
      <c r="I58" s="101"/>
      <c r="J58" s="101"/>
      <c r="K58" s="101"/>
      <c r="L58" s="101"/>
      <c r="M58" s="101"/>
      <c r="N58" s="58"/>
      <c r="O58" s="36"/>
    </row>
    <row r="59" spans="1:15" x14ac:dyDescent="0.35">
      <c r="A59" s="36"/>
      <c r="B59" s="36"/>
      <c r="C59" s="36"/>
      <c r="D59" s="36"/>
      <c r="E59" s="36"/>
      <c r="F59" s="92" t="s">
        <v>150</v>
      </c>
      <c r="G59" s="92" t="s">
        <v>133</v>
      </c>
      <c r="H59" s="21" t="s">
        <v>72</v>
      </c>
      <c r="I59" s="101"/>
      <c r="J59" s="101"/>
      <c r="K59" s="101"/>
      <c r="L59" s="101"/>
      <c r="M59" s="101"/>
      <c r="N59" s="58"/>
      <c r="O59" s="36"/>
    </row>
    <row r="60" spans="1:15" x14ac:dyDescent="0.35">
      <c r="A60" s="36"/>
      <c r="B60" s="36"/>
      <c r="C60" s="36"/>
      <c r="D60" s="36"/>
      <c r="E60" s="36"/>
      <c r="F60" s="92" t="s">
        <v>151</v>
      </c>
      <c r="G60" s="92" t="s">
        <v>133</v>
      </c>
      <c r="H60" s="21" t="s">
        <v>72</v>
      </c>
      <c r="I60" s="101"/>
      <c r="J60" s="101"/>
      <c r="K60" s="101"/>
      <c r="L60" s="101"/>
      <c r="M60" s="101"/>
      <c r="N60" s="58"/>
      <c r="O60" s="36"/>
    </row>
    <row r="61" spans="1:15" x14ac:dyDescent="0.35">
      <c r="A61" s="36"/>
      <c r="B61" s="36"/>
      <c r="C61" s="36"/>
      <c r="D61" s="36"/>
      <c r="E61" s="36"/>
      <c r="F61" s="92" t="s">
        <v>152</v>
      </c>
      <c r="G61" s="92" t="s">
        <v>133</v>
      </c>
      <c r="H61" s="21" t="s">
        <v>72</v>
      </c>
      <c r="I61" s="101"/>
      <c r="J61" s="101"/>
      <c r="K61" s="101"/>
      <c r="L61" s="101"/>
      <c r="M61" s="101"/>
      <c r="N61" s="58"/>
      <c r="O61" s="36"/>
    </row>
    <row r="62" spans="1:15" x14ac:dyDescent="0.35">
      <c r="A62" s="36"/>
      <c r="B62" s="36"/>
      <c r="C62" s="36"/>
      <c r="D62" s="36"/>
      <c r="E62" s="36"/>
      <c r="F62" s="92" t="s">
        <v>153</v>
      </c>
      <c r="G62" s="92" t="s">
        <v>133</v>
      </c>
      <c r="H62" s="21" t="s">
        <v>72</v>
      </c>
      <c r="I62" s="101"/>
      <c r="J62" s="101"/>
      <c r="K62" s="101"/>
      <c r="L62" s="101"/>
      <c r="M62" s="101"/>
      <c r="N62" s="58"/>
      <c r="O62" s="36"/>
    </row>
    <row r="63" spans="1:15" x14ac:dyDescent="0.35">
      <c r="A63" s="36"/>
      <c r="B63" s="36"/>
      <c r="C63" s="36"/>
      <c r="D63" s="36"/>
      <c r="E63" s="36"/>
      <c r="F63" s="92" t="s">
        <v>154</v>
      </c>
      <c r="G63" s="92" t="s">
        <v>133</v>
      </c>
      <c r="H63" s="21" t="s">
        <v>72</v>
      </c>
      <c r="I63" s="101"/>
      <c r="J63" s="101"/>
      <c r="K63" s="101"/>
      <c r="L63" s="101"/>
      <c r="M63" s="101"/>
      <c r="N63" s="58"/>
      <c r="O63" s="36"/>
    </row>
    <row r="64" spans="1:15" x14ac:dyDescent="0.35">
      <c r="A64" s="36"/>
      <c r="B64" s="36"/>
      <c r="C64" s="36"/>
      <c r="D64" s="36"/>
      <c r="E64" s="36"/>
      <c r="F64" s="92" t="s">
        <v>155</v>
      </c>
      <c r="G64" s="92" t="s">
        <v>133</v>
      </c>
      <c r="H64" s="21" t="s">
        <v>72</v>
      </c>
      <c r="I64" s="101"/>
      <c r="J64" s="101"/>
      <c r="K64" s="101"/>
      <c r="L64" s="101"/>
      <c r="M64" s="101"/>
      <c r="N64" s="58"/>
      <c r="O64" s="36"/>
    </row>
    <row r="65" spans="1:15" x14ac:dyDescent="0.35">
      <c r="A65" s="36"/>
      <c r="B65" s="36"/>
      <c r="C65" s="36"/>
      <c r="D65" s="36"/>
      <c r="E65" s="36"/>
      <c r="F65" s="92" t="s">
        <v>156</v>
      </c>
      <c r="G65" s="92" t="s">
        <v>133</v>
      </c>
      <c r="H65" s="21" t="s">
        <v>72</v>
      </c>
      <c r="I65" s="101"/>
      <c r="J65" s="101"/>
      <c r="K65" s="101"/>
      <c r="L65" s="101"/>
      <c r="M65" s="101"/>
      <c r="N65" s="58"/>
      <c r="O65" s="36"/>
    </row>
    <row r="66" spans="1:15" x14ac:dyDescent="0.35">
      <c r="A66" s="36"/>
      <c r="B66" s="36"/>
      <c r="C66" s="36"/>
      <c r="D66" s="36"/>
      <c r="E66" s="36"/>
      <c r="F66" s="92" t="s">
        <v>157</v>
      </c>
      <c r="G66" s="92" t="s">
        <v>133</v>
      </c>
      <c r="H66" s="21" t="s">
        <v>72</v>
      </c>
      <c r="I66" s="101"/>
      <c r="J66" s="101"/>
      <c r="K66" s="101"/>
      <c r="L66" s="101"/>
      <c r="M66" s="101"/>
      <c r="N66" s="58"/>
      <c r="O66" s="36"/>
    </row>
    <row r="67" spans="1:15" x14ac:dyDescent="0.35">
      <c r="A67" s="36"/>
      <c r="B67" s="36"/>
      <c r="C67" s="36"/>
      <c r="D67" s="36"/>
      <c r="E67" s="36"/>
      <c r="F67" s="92" t="s">
        <v>158</v>
      </c>
      <c r="G67" s="92" t="s">
        <v>133</v>
      </c>
      <c r="H67" s="21" t="s">
        <v>72</v>
      </c>
      <c r="I67" s="101"/>
      <c r="J67" s="101"/>
      <c r="K67" s="101"/>
      <c r="L67" s="101"/>
      <c r="M67" s="101"/>
      <c r="N67" s="58"/>
      <c r="O67" s="36"/>
    </row>
    <row r="68" spans="1:15" x14ac:dyDescent="0.35">
      <c r="A68" s="36"/>
      <c r="B68" s="36"/>
      <c r="C68" s="36"/>
      <c r="D68" s="36"/>
      <c r="E68" s="36"/>
      <c r="F68" s="92" t="s">
        <v>159</v>
      </c>
      <c r="G68" s="92" t="s">
        <v>133</v>
      </c>
      <c r="H68" s="21" t="s">
        <v>72</v>
      </c>
      <c r="I68" s="101"/>
      <c r="J68" s="101"/>
      <c r="K68" s="101"/>
      <c r="L68" s="101"/>
      <c r="M68" s="101"/>
      <c r="N68" s="58"/>
      <c r="O68" s="36"/>
    </row>
    <row r="69" spans="1:15" x14ac:dyDescent="0.35">
      <c r="A69" s="36"/>
      <c r="B69" s="36"/>
      <c r="C69" s="36"/>
      <c r="D69" s="36"/>
      <c r="E69" s="36"/>
      <c r="F69" s="92" t="s">
        <v>160</v>
      </c>
      <c r="G69" s="92" t="s">
        <v>133</v>
      </c>
      <c r="H69" s="21" t="s">
        <v>137</v>
      </c>
      <c r="I69" s="101"/>
      <c r="J69" s="101"/>
      <c r="K69" s="101"/>
      <c r="L69" s="101"/>
      <c r="M69" s="101"/>
      <c r="N69" s="58"/>
      <c r="O69" s="36"/>
    </row>
    <row r="70" spans="1:15" x14ac:dyDescent="0.35">
      <c r="A70" s="36"/>
      <c r="B70" s="36"/>
      <c r="C70" s="36"/>
      <c r="D70" s="36"/>
      <c r="E70" s="36"/>
      <c r="F70" s="92" t="s">
        <v>161</v>
      </c>
      <c r="G70" s="92" t="s">
        <v>133</v>
      </c>
      <c r="H70" s="21" t="s">
        <v>137</v>
      </c>
      <c r="I70" s="101"/>
      <c r="J70" s="101"/>
      <c r="K70" s="101"/>
      <c r="L70" s="101"/>
      <c r="M70" s="101"/>
      <c r="N70" s="58"/>
      <c r="O70" s="36"/>
    </row>
    <row r="71" spans="1:15" x14ac:dyDescent="0.35">
      <c r="A71" s="36"/>
      <c r="B71" s="36"/>
      <c r="C71" s="36"/>
      <c r="D71" s="36"/>
      <c r="E71" s="36"/>
      <c r="F71" s="92" t="s">
        <v>162</v>
      </c>
      <c r="G71" s="92" t="s">
        <v>133</v>
      </c>
      <c r="H71" s="21" t="s">
        <v>72</v>
      </c>
      <c r="I71" s="101"/>
      <c r="J71" s="101"/>
      <c r="K71" s="101"/>
      <c r="L71" s="101"/>
      <c r="M71" s="101"/>
      <c r="N71" s="58"/>
      <c r="O71" s="36"/>
    </row>
    <row r="72" spans="1:15" x14ac:dyDescent="0.35">
      <c r="A72" s="36"/>
      <c r="B72" s="36"/>
      <c r="C72" s="36"/>
      <c r="D72" s="36"/>
      <c r="E72" s="36"/>
      <c r="F72" s="92" t="s">
        <v>163</v>
      </c>
      <c r="G72" s="92" t="s">
        <v>133</v>
      </c>
      <c r="H72" s="21" t="s">
        <v>72</v>
      </c>
      <c r="I72" s="101"/>
      <c r="J72" s="101"/>
      <c r="K72" s="101"/>
      <c r="L72" s="101"/>
      <c r="M72" s="101"/>
      <c r="N72" s="58"/>
      <c r="O72" s="36"/>
    </row>
    <row r="73" spans="1:15" x14ac:dyDescent="0.35">
      <c r="A73" s="36"/>
      <c r="B73" s="36"/>
      <c r="C73" s="36"/>
      <c r="D73" s="36"/>
      <c r="E73" s="36"/>
      <c r="F73" s="92" t="s">
        <v>164</v>
      </c>
      <c r="G73" s="92" t="s">
        <v>133</v>
      </c>
      <c r="H73" s="21" t="s">
        <v>72</v>
      </c>
      <c r="I73" s="101"/>
      <c r="J73" s="101"/>
      <c r="K73" s="101"/>
      <c r="L73" s="101"/>
      <c r="M73" s="101"/>
      <c r="N73" s="58"/>
      <c r="O73" s="36"/>
    </row>
    <row r="74" spans="1:15" x14ac:dyDescent="0.35">
      <c r="A74" s="36"/>
      <c r="B74" s="36"/>
      <c r="C74" s="36"/>
      <c r="D74" s="36"/>
      <c r="E74" s="36"/>
      <c r="F74" s="92" t="s">
        <v>165</v>
      </c>
      <c r="G74" s="92" t="s">
        <v>133</v>
      </c>
      <c r="H74" s="21" t="s">
        <v>72</v>
      </c>
      <c r="I74" s="101"/>
      <c r="J74" s="101"/>
      <c r="K74" s="101"/>
      <c r="L74" s="101"/>
      <c r="M74" s="101"/>
      <c r="N74" s="58"/>
      <c r="O74" s="36"/>
    </row>
    <row r="75" spans="1:15" x14ac:dyDescent="0.35">
      <c r="A75" s="36"/>
      <c r="B75" s="36"/>
      <c r="C75" s="36"/>
      <c r="D75" s="36"/>
      <c r="E75" s="36"/>
      <c r="F75" s="92" t="s">
        <v>166</v>
      </c>
      <c r="G75" s="92" t="s">
        <v>133</v>
      </c>
      <c r="H75" s="21" t="s">
        <v>137</v>
      </c>
      <c r="I75" s="101"/>
      <c r="J75" s="101"/>
      <c r="K75" s="101"/>
      <c r="L75" s="101"/>
      <c r="M75" s="101"/>
      <c r="N75" s="58"/>
      <c r="O75" s="36"/>
    </row>
    <row r="76" spans="1:15" x14ac:dyDescent="0.35">
      <c r="A76" s="36"/>
      <c r="B76" s="36"/>
      <c r="C76" s="36"/>
      <c r="D76" s="36"/>
      <c r="E76" s="36"/>
      <c r="F76" s="92" t="s">
        <v>167</v>
      </c>
      <c r="G76" s="92" t="s">
        <v>133</v>
      </c>
      <c r="H76" s="24" t="s">
        <v>137</v>
      </c>
      <c r="I76" s="105"/>
      <c r="J76" s="105"/>
      <c r="K76" s="105"/>
      <c r="L76" s="105"/>
      <c r="M76" s="105"/>
      <c r="N76" s="58"/>
      <c r="O76" s="36"/>
    </row>
    <row r="77" spans="1:15" x14ac:dyDescent="0.35">
      <c r="A77" s="36"/>
      <c r="B77" s="36"/>
      <c r="C77" s="36"/>
      <c r="D77" s="36"/>
      <c r="E77" s="36"/>
      <c r="F77" s="92" t="s">
        <v>168</v>
      </c>
      <c r="G77" s="92" t="s">
        <v>133</v>
      </c>
      <c r="H77" s="24" t="s">
        <v>137</v>
      </c>
      <c r="I77" s="105"/>
      <c r="J77" s="105"/>
      <c r="K77" s="105"/>
      <c r="L77" s="105"/>
      <c r="M77" s="105"/>
      <c r="N77" s="58"/>
      <c r="O77" s="36"/>
    </row>
    <row r="78" spans="1:15" x14ac:dyDescent="0.35">
      <c r="A78" s="36"/>
      <c r="B78" s="36"/>
      <c r="C78" s="36"/>
      <c r="D78" s="36"/>
      <c r="E78" s="36"/>
      <c r="F78" s="92" t="s">
        <v>169</v>
      </c>
      <c r="G78" s="92" t="s">
        <v>133</v>
      </c>
      <c r="H78" s="24" t="s">
        <v>137</v>
      </c>
      <c r="I78" s="105"/>
      <c r="J78" s="105"/>
      <c r="K78" s="105"/>
      <c r="L78" s="105"/>
      <c r="M78" s="105"/>
      <c r="N78" s="58"/>
      <c r="O78" s="36"/>
    </row>
    <row r="79" spans="1:15" x14ac:dyDescent="0.35">
      <c r="A79" s="36"/>
      <c r="B79" s="36"/>
      <c r="C79" s="36"/>
      <c r="D79" s="36"/>
      <c r="E79" s="36"/>
      <c r="F79" s="92" t="s">
        <v>170</v>
      </c>
      <c r="G79" s="92" t="s">
        <v>133</v>
      </c>
      <c r="H79" s="24" t="s">
        <v>137</v>
      </c>
      <c r="I79" s="105"/>
      <c r="J79" s="105"/>
      <c r="K79" s="105"/>
      <c r="L79" s="105"/>
      <c r="M79" s="105"/>
      <c r="N79" s="58"/>
      <c r="O79" s="36"/>
    </row>
    <row r="80" spans="1:15" x14ac:dyDescent="0.35">
      <c r="A80" s="36"/>
      <c r="B80" s="36"/>
      <c r="C80" s="36"/>
      <c r="D80" s="36"/>
      <c r="E80" s="36"/>
      <c r="F80" s="92" t="s">
        <v>171</v>
      </c>
      <c r="G80" s="92" t="s">
        <v>133</v>
      </c>
      <c r="H80" s="24" t="s">
        <v>137</v>
      </c>
      <c r="I80" s="105"/>
      <c r="J80" s="105"/>
      <c r="K80" s="105"/>
      <c r="L80" s="105"/>
      <c r="M80" s="105"/>
      <c r="N80" s="58"/>
      <c r="O80" s="36"/>
    </row>
    <row r="81" spans="1:15" x14ac:dyDescent="0.35">
      <c r="A81" s="36"/>
      <c r="B81" s="36"/>
      <c r="C81" s="36"/>
      <c r="D81" s="36"/>
      <c r="E81" s="36"/>
      <c r="F81" s="92" t="s">
        <v>172</v>
      </c>
      <c r="G81" s="92" t="s">
        <v>133</v>
      </c>
      <c r="H81" s="24" t="s">
        <v>137</v>
      </c>
      <c r="I81" s="105"/>
      <c r="J81" s="105"/>
      <c r="K81" s="105"/>
      <c r="L81" s="105"/>
      <c r="M81" s="105"/>
      <c r="N81" s="58"/>
      <c r="O81" s="36"/>
    </row>
    <row r="82" spans="1:15" x14ac:dyDescent="0.35">
      <c r="A82" s="36"/>
      <c r="B82" s="36"/>
      <c r="C82" s="36"/>
      <c r="D82" s="36"/>
      <c r="E82" s="36"/>
      <c r="F82" s="92" t="s">
        <v>173</v>
      </c>
      <c r="G82" s="92" t="s">
        <v>133</v>
      </c>
      <c r="H82" s="24" t="s">
        <v>137</v>
      </c>
      <c r="I82" s="105"/>
      <c r="J82" s="105"/>
      <c r="K82" s="105"/>
      <c r="L82" s="105"/>
      <c r="M82" s="105"/>
      <c r="N82" s="58"/>
      <c r="O82" s="36"/>
    </row>
    <row r="83" spans="1:15" x14ac:dyDescent="0.35">
      <c r="A83" s="36"/>
      <c r="B83" s="36"/>
      <c r="C83" s="36"/>
      <c r="D83" s="36"/>
      <c r="E83" s="36"/>
      <c r="F83" s="92" t="s">
        <v>174</v>
      </c>
      <c r="G83" s="92" t="s">
        <v>133</v>
      </c>
      <c r="H83" s="24" t="s">
        <v>137</v>
      </c>
      <c r="I83" s="105"/>
      <c r="J83" s="105"/>
      <c r="K83" s="105"/>
      <c r="L83" s="105"/>
      <c r="M83" s="105"/>
      <c r="N83" s="58"/>
      <c r="O83" s="36"/>
    </row>
    <row r="84" spans="1:15" x14ac:dyDescent="0.35">
      <c r="A84" s="36"/>
      <c r="B84" s="36"/>
      <c r="C84" s="36"/>
      <c r="D84" s="36"/>
      <c r="E84" s="36"/>
      <c r="F84" s="92" t="s">
        <v>175</v>
      </c>
      <c r="G84" s="92" t="s">
        <v>133</v>
      </c>
      <c r="H84" s="24" t="s">
        <v>135</v>
      </c>
      <c r="I84" s="105"/>
      <c r="J84" s="105"/>
      <c r="K84" s="105"/>
      <c r="L84" s="105"/>
      <c r="M84" s="105"/>
      <c r="N84" s="58"/>
      <c r="O84" s="36"/>
    </row>
    <row r="85" spans="1:15" x14ac:dyDescent="0.35">
      <c r="A85" s="36"/>
      <c r="B85" s="36"/>
      <c r="C85" s="36"/>
      <c r="D85" s="36"/>
      <c r="E85" s="36"/>
      <c r="F85" s="92" t="s">
        <v>176</v>
      </c>
      <c r="G85" s="92" t="s">
        <v>133</v>
      </c>
      <c r="H85" s="24" t="s">
        <v>137</v>
      </c>
      <c r="I85" s="105"/>
      <c r="J85" s="105"/>
      <c r="K85" s="105"/>
      <c r="L85" s="105"/>
      <c r="M85" s="105"/>
      <c r="N85" s="58"/>
      <c r="O85" s="36"/>
    </row>
    <row r="86" spans="1:15" x14ac:dyDescent="0.35">
      <c r="A86" s="36"/>
      <c r="B86" s="36"/>
      <c r="C86" s="36"/>
      <c r="D86" s="36"/>
      <c r="E86" s="36"/>
      <c r="F86" s="161" t="s">
        <v>177</v>
      </c>
      <c r="G86" s="161" t="s">
        <v>133</v>
      </c>
      <c r="H86" s="24" t="s">
        <v>139</v>
      </c>
      <c r="I86" s="107" t="s">
        <v>120</v>
      </c>
      <c r="J86" s="105"/>
      <c r="K86" s="105"/>
      <c r="L86" s="105"/>
      <c r="M86" s="105"/>
      <c r="N86" s="58"/>
      <c r="O86" s="36" t="s">
        <v>178</v>
      </c>
    </row>
    <row r="87" spans="1:15" x14ac:dyDescent="0.35">
      <c r="A87" s="36"/>
      <c r="B87" s="36"/>
      <c r="C87" s="36"/>
      <c r="D87" s="36"/>
      <c r="E87" s="36"/>
      <c r="F87" s="161" t="s">
        <v>179</v>
      </c>
      <c r="G87" s="92" t="s">
        <v>133</v>
      </c>
      <c r="H87" s="24" t="s">
        <v>137</v>
      </c>
      <c r="I87" s="107" t="s">
        <v>120</v>
      </c>
      <c r="J87" s="105"/>
      <c r="K87" s="105"/>
      <c r="L87" s="105"/>
      <c r="M87" s="105"/>
      <c r="N87" s="58"/>
      <c r="O87" s="36" t="s">
        <v>178</v>
      </c>
    </row>
    <row r="88" spans="1:15" x14ac:dyDescent="0.35">
      <c r="A88" s="36"/>
      <c r="B88" s="36"/>
      <c r="C88" s="36"/>
      <c r="D88" s="36"/>
      <c r="E88" s="36"/>
      <c r="F88" s="162" t="s">
        <v>180</v>
      </c>
      <c r="G88" s="94" t="s">
        <v>133</v>
      </c>
      <c r="H88" s="25" t="s">
        <v>139</v>
      </c>
      <c r="I88" s="107" t="s">
        <v>120</v>
      </c>
      <c r="J88" s="105"/>
      <c r="K88" s="105"/>
      <c r="L88" s="105"/>
      <c r="M88" s="105"/>
      <c r="N88" s="58"/>
      <c r="O88" s="36" t="s">
        <v>181</v>
      </c>
    </row>
    <row r="89" spans="1:15" x14ac:dyDescent="0.35">
      <c r="A89" s="36"/>
      <c r="B89" s="36"/>
      <c r="C89" s="36"/>
      <c r="D89" s="36"/>
      <c r="E89" s="36"/>
      <c r="F89" s="36"/>
      <c r="G89" s="36"/>
      <c r="H89" s="58"/>
      <c r="I89" s="58"/>
      <c r="J89" s="58"/>
      <c r="K89" s="58"/>
      <c r="L89" s="58"/>
      <c r="M89" s="58"/>
      <c r="N89" s="58"/>
      <c r="O89" s="36"/>
    </row>
    <row r="90" spans="1:15" x14ac:dyDescent="0.35">
      <c r="A90" s="36"/>
      <c r="B90" s="36"/>
      <c r="C90" s="87" t="s">
        <v>182</v>
      </c>
      <c r="D90" s="87"/>
      <c r="E90" s="87"/>
      <c r="F90" s="87"/>
      <c r="G90" s="87"/>
      <c r="H90" s="88"/>
      <c r="I90" s="88"/>
      <c r="J90" s="88"/>
      <c r="K90" s="88"/>
      <c r="L90" s="88"/>
      <c r="M90" s="88"/>
      <c r="N90" s="88"/>
      <c r="O90" s="87"/>
    </row>
    <row r="91" spans="1:15" x14ac:dyDescent="0.35">
      <c r="A91" s="36"/>
      <c r="B91" s="36"/>
      <c r="C91" s="86"/>
      <c r="D91" s="86"/>
      <c r="E91" s="36"/>
      <c r="F91" s="36"/>
      <c r="G91" s="36"/>
      <c r="H91" s="58"/>
      <c r="I91" s="58"/>
      <c r="J91" s="58"/>
      <c r="K91" s="58"/>
      <c r="L91" s="58"/>
      <c r="M91" s="58"/>
      <c r="N91" s="58"/>
      <c r="O91" s="36"/>
    </row>
    <row r="92" spans="1:15" x14ac:dyDescent="0.35">
      <c r="A92" s="36"/>
      <c r="B92" s="36"/>
      <c r="C92" s="86"/>
      <c r="D92" s="86" t="s">
        <v>183</v>
      </c>
      <c r="E92" s="36"/>
      <c r="F92" s="36"/>
      <c r="G92" s="36"/>
      <c r="H92" s="58"/>
      <c r="I92" s="58"/>
      <c r="J92" s="58"/>
      <c r="K92" s="58"/>
      <c r="L92" s="58"/>
      <c r="M92" s="58"/>
      <c r="N92" s="58"/>
      <c r="O92" s="36"/>
    </row>
    <row r="93" spans="1:15" x14ac:dyDescent="0.35">
      <c r="A93" s="36"/>
      <c r="B93" s="36"/>
      <c r="C93" s="86"/>
      <c r="D93" s="86" t="s">
        <v>184</v>
      </c>
      <c r="E93" s="36"/>
      <c r="F93" s="36"/>
      <c r="G93" s="36"/>
      <c r="H93" s="58"/>
      <c r="I93" s="58"/>
      <c r="J93" s="58"/>
      <c r="K93" s="58"/>
      <c r="L93" s="58"/>
      <c r="M93" s="58"/>
      <c r="N93" s="58"/>
      <c r="O93" s="36"/>
    </row>
    <row r="94" spans="1:15" x14ac:dyDescent="0.35">
      <c r="A94" s="36"/>
      <c r="B94" s="36"/>
      <c r="C94" s="86"/>
      <c r="D94" s="86"/>
      <c r="E94" s="36"/>
      <c r="F94" s="36"/>
      <c r="G94" s="36"/>
      <c r="H94" s="58"/>
      <c r="I94" s="58"/>
      <c r="J94" s="58"/>
      <c r="K94" s="58"/>
      <c r="L94" s="58"/>
      <c r="M94" s="58"/>
      <c r="N94" s="58"/>
      <c r="O94" s="36"/>
    </row>
    <row r="95" spans="1:15" x14ac:dyDescent="0.35">
      <c r="A95" s="98"/>
      <c r="B95" s="36"/>
      <c r="C95" s="36"/>
      <c r="D95" s="86"/>
      <c r="E95" s="89" t="s">
        <v>185</v>
      </c>
      <c r="F95" s="36"/>
      <c r="G95" s="36"/>
      <c r="H95" s="58"/>
      <c r="I95" s="103" t="s">
        <v>120</v>
      </c>
      <c r="J95" s="103"/>
      <c r="K95" s="103"/>
      <c r="L95" s="103"/>
      <c r="M95" s="103"/>
      <c r="N95" s="103"/>
      <c r="O95" s="92" t="s">
        <v>144</v>
      </c>
    </row>
    <row r="96" spans="1:15" x14ac:dyDescent="0.35">
      <c r="A96" s="36"/>
      <c r="B96" s="36"/>
      <c r="C96" s="36"/>
      <c r="D96" s="36"/>
      <c r="E96" s="36"/>
      <c r="F96" s="90" t="s">
        <v>145</v>
      </c>
      <c r="G96" s="90" t="s">
        <v>119</v>
      </c>
      <c r="H96" s="26">
        <v>1</v>
      </c>
      <c r="I96" s="106"/>
      <c r="J96" s="106"/>
      <c r="K96" s="106"/>
      <c r="L96" s="106"/>
      <c r="M96" s="106"/>
      <c r="N96" s="58"/>
      <c r="O96" s="36"/>
    </row>
    <row r="97" spans="1:15" x14ac:dyDescent="0.35">
      <c r="A97" s="36"/>
      <c r="B97" s="36"/>
      <c r="C97" s="36"/>
      <c r="D97" s="36"/>
      <c r="E97" s="36"/>
      <c r="F97" s="92" t="s">
        <v>146</v>
      </c>
      <c r="G97" s="92" t="s">
        <v>119</v>
      </c>
      <c r="H97" s="22">
        <v>1</v>
      </c>
      <c r="I97" s="106"/>
      <c r="J97" s="106"/>
      <c r="K97" s="106"/>
      <c r="L97" s="106"/>
      <c r="M97" s="106"/>
      <c r="N97" s="58"/>
      <c r="O97" s="36"/>
    </row>
    <row r="98" spans="1:15" x14ac:dyDescent="0.35">
      <c r="A98" s="36"/>
      <c r="B98" s="36"/>
      <c r="C98" s="36"/>
      <c r="D98" s="36"/>
      <c r="E98" s="36"/>
      <c r="F98" s="92" t="s">
        <v>147</v>
      </c>
      <c r="G98" s="92" t="s">
        <v>119</v>
      </c>
      <c r="H98" s="22">
        <v>0.23499999999999999</v>
      </c>
      <c r="I98" s="106"/>
      <c r="J98" s="106"/>
      <c r="K98" s="106"/>
      <c r="L98" s="106"/>
      <c r="M98" s="106"/>
      <c r="N98" s="58"/>
      <c r="O98" s="36"/>
    </row>
    <row r="99" spans="1:15" x14ac:dyDescent="0.35">
      <c r="A99" s="36"/>
      <c r="B99" s="36"/>
      <c r="C99" s="36"/>
      <c r="D99" s="36"/>
      <c r="E99" s="36"/>
      <c r="F99" s="92" t="s">
        <v>148</v>
      </c>
      <c r="G99" s="92" t="s">
        <v>119</v>
      </c>
      <c r="H99" s="22">
        <v>0.23499999999999999</v>
      </c>
      <c r="I99" s="106"/>
      <c r="J99" s="106"/>
      <c r="K99" s="106"/>
      <c r="L99" s="106"/>
      <c r="M99" s="106"/>
      <c r="N99" s="58"/>
      <c r="O99" s="36"/>
    </row>
    <row r="100" spans="1:15" x14ac:dyDescent="0.35">
      <c r="A100" s="36"/>
      <c r="B100" s="36"/>
      <c r="C100" s="36"/>
      <c r="D100" s="36"/>
      <c r="E100" s="36"/>
      <c r="F100" s="92" t="s">
        <v>149</v>
      </c>
      <c r="G100" s="92" t="s">
        <v>119</v>
      </c>
      <c r="H100" s="22">
        <v>0.23499999999999999</v>
      </c>
      <c r="I100" s="106"/>
      <c r="J100" s="106"/>
      <c r="K100" s="106"/>
      <c r="L100" s="106"/>
      <c r="M100" s="106"/>
      <c r="N100" s="58"/>
      <c r="O100" s="36"/>
    </row>
    <row r="101" spans="1:15" x14ac:dyDescent="0.35">
      <c r="A101" s="36"/>
      <c r="B101" s="36"/>
      <c r="C101" s="36"/>
      <c r="D101" s="36"/>
      <c r="E101" s="36"/>
      <c r="F101" s="92" t="s">
        <v>150</v>
      </c>
      <c r="G101" s="92" t="s">
        <v>119</v>
      </c>
      <c r="H101" s="22">
        <v>0.23499999999999999</v>
      </c>
      <c r="I101" s="106"/>
      <c r="J101" s="106"/>
      <c r="K101" s="106"/>
      <c r="L101" s="106"/>
      <c r="M101" s="106"/>
      <c r="N101" s="58"/>
      <c r="O101" s="36"/>
    </row>
    <row r="102" spans="1:15" x14ac:dyDescent="0.35">
      <c r="A102" s="36"/>
      <c r="B102" s="36"/>
      <c r="C102" s="36"/>
      <c r="D102" s="36"/>
      <c r="E102" s="36"/>
      <c r="F102" s="92" t="s">
        <v>151</v>
      </c>
      <c r="G102" s="92" t="s">
        <v>119</v>
      </c>
      <c r="H102" s="22">
        <v>0.52569999999999995</v>
      </c>
      <c r="I102" s="106"/>
      <c r="J102" s="106"/>
      <c r="K102" s="106"/>
      <c r="L102" s="106"/>
      <c r="M102" s="106"/>
      <c r="N102" s="58"/>
      <c r="O102" s="36"/>
    </row>
    <row r="103" spans="1:15" x14ac:dyDescent="0.35">
      <c r="A103" s="36"/>
      <c r="B103" s="36"/>
      <c r="C103" s="36"/>
      <c r="D103" s="36"/>
      <c r="E103" s="36"/>
      <c r="F103" s="92" t="s">
        <v>152</v>
      </c>
      <c r="G103" s="92" t="s">
        <v>119</v>
      </c>
      <c r="H103" s="22">
        <v>0.52569999999999995</v>
      </c>
      <c r="I103" s="106"/>
      <c r="J103" s="106"/>
      <c r="K103" s="106"/>
      <c r="L103" s="106"/>
      <c r="M103" s="106"/>
      <c r="N103" s="58"/>
      <c r="O103" s="36"/>
    </row>
    <row r="104" spans="1:15" x14ac:dyDescent="0.35">
      <c r="A104" s="36"/>
      <c r="B104" s="36"/>
      <c r="C104" s="36"/>
      <c r="D104" s="36"/>
      <c r="E104" s="36"/>
      <c r="F104" s="92" t="s">
        <v>153</v>
      </c>
      <c r="G104" s="92" t="s">
        <v>119</v>
      </c>
      <c r="H104" s="22">
        <v>0.52569999999999995</v>
      </c>
      <c r="I104" s="106"/>
      <c r="J104" s="106"/>
      <c r="K104" s="106"/>
      <c r="L104" s="106"/>
      <c r="M104" s="106"/>
      <c r="N104" s="58"/>
      <c r="O104" s="36"/>
    </row>
    <row r="105" spans="1:15" x14ac:dyDescent="0.35">
      <c r="A105" s="36"/>
      <c r="B105" s="36"/>
      <c r="C105" s="36"/>
      <c r="D105" s="36"/>
      <c r="E105" s="36"/>
      <c r="F105" s="92" t="s">
        <v>154</v>
      </c>
      <c r="G105" s="92" t="s">
        <v>119</v>
      </c>
      <c r="H105" s="22">
        <v>0.52569999999999995</v>
      </c>
      <c r="I105" s="106"/>
      <c r="J105" s="106"/>
      <c r="K105" s="106"/>
      <c r="L105" s="106"/>
      <c r="M105" s="106"/>
      <c r="N105" s="58"/>
      <c r="O105" s="36"/>
    </row>
    <row r="106" spans="1:15" x14ac:dyDescent="0.35">
      <c r="A106" s="36"/>
      <c r="B106" s="36"/>
      <c r="C106" s="36"/>
      <c r="D106" s="36"/>
      <c r="E106" s="36"/>
      <c r="F106" s="92" t="s">
        <v>155</v>
      </c>
      <c r="G106" s="92" t="s">
        <v>119</v>
      </c>
      <c r="H106" s="22">
        <v>0.52569999999999995</v>
      </c>
      <c r="I106" s="106"/>
      <c r="J106" s="106"/>
      <c r="K106" s="106"/>
      <c r="L106" s="106"/>
      <c r="M106" s="106"/>
      <c r="N106" s="58"/>
      <c r="O106" s="36"/>
    </row>
    <row r="107" spans="1:15" x14ac:dyDescent="0.35">
      <c r="A107" s="36"/>
      <c r="B107" s="36"/>
      <c r="C107" s="36"/>
      <c r="D107" s="36"/>
      <c r="E107" s="36"/>
      <c r="F107" s="92" t="s">
        <v>156</v>
      </c>
      <c r="G107" s="92" t="s">
        <v>119</v>
      </c>
      <c r="H107" s="22">
        <v>0.52569999999999995</v>
      </c>
      <c r="I107" s="106"/>
      <c r="J107" s="106"/>
      <c r="K107" s="106"/>
      <c r="L107" s="106"/>
      <c r="M107" s="106"/>
      <c r="N107" s="58"/>
      <c r="O107" s="36"/>
    </row>
    <row r="108" spans="1:15" x14ac:dyDescent="0.35">
      <c r="A108" s="36"/>
      <c r="B108" s="36"/>
      <c r="C108" s="36"/>
      <c r="D108" s="36"/>
      <c r="E108" s="36"/>
      <c r="F108" s="92" t="s">
        <v>157</v>
      </c>
      <c r="G108" s="92" t="s">
        <v>119</v>
      </c>
      <c r="H108" s="22">
        <v>0.52569999999999995</v>
      </c>
      <c r="I108" s="106"/>
      <c r="J108" s="106"/>
      <c r="K108" s="106"/>
      <c r="L108" s="106"/>
      <c r="M108" s="106"/>
      <c r="N108" s="58"/>
      <c r="O108" s="36"/>
    </row>
    <row r="109" spans="1:15" x14ac:dyDescent="0.35">
      <c r="A109" s="36"/>
      <c r="B109" s="36"/>
      <c r="C109" s="36"/>
      <c r="D109" s="36"/>
      <c r="E109" s="36"/>
      <c r="F109" s="92" t="s">
        <v>158</v>
      </c>
      <c r="G109" s="92" t="s">
        <v>119</v>
      </c>
      <c r="H109" s="22">
        <v>0.52569999999999995</v>
      </c>
      <c r="I109" s="106"/>
      <c r="J109" s="106"/>
      <c r="K109" s="106"/>
      <c r="L109" s="106"/>
      <c r="M109" s="106"/>
      <c r="N109" s="58"/>
      <c r="O109" s="36"/>
    </row>
    <row r="110" spans="1:15" x14ac:dyDescent="0.35">
      <c r="A110" s="36"/>
      <c r="B110" s="36"/>
      <c r="C110" s="36"/>
      <c r="D110" s="36"/>
      <c r="E110" s="36"/>
      <c r="F110" s="92" t="s">
        <v>159</v>
      </c>
      <c r="G110" s="92" t="s">
        <v>119</v>
      </c>
      <c r="H110" s="22">
        <v>0.52569999999999995</v>
      </c>
      <c r="I110" s="106"/>
      <c r="J110" s="106"/>
      <c r="K110" s="106"/>
      <c r="L110" s="106"/>
      <c r="M110" s="106"/>
      <c r="N110" s="58"/>
      <c r="O110" s="36"/>
    </row>
    <row r="111" spans="1:15" x14ac:dyDescent="0.35">
      <c r="A111" s="36"/>
      <c r="B111" s="36"/>
      <c r="C111" s="36"/>
      <c r="D111" s="36"/>
      <c r="E111" s="36"/>
      <c r="F111" s="92" t="s">
        <v>160</v>
      </c>
      <c r="G111" s="92" t="s">
        <v>119</v>
      </c>
      <c r="H111" s="22">
        <v>0.52569999999999995</v>
      </c>
      <c r="I111" s="106"/>
      <c r="J111" s="106"/>
      <c r="K111" s="106"/>
      <c r="L111" s="106"/>
      <c r="M111" s="106"/>
      <c r="N111" s="58"/>
      <c r="O111" s="36"/>
    </row>
    <row r="112" spans="1:15" x14ac:dyDescent="0.35">
      <c r="A112" s="36"/>
      <c r="B112" s="36"/>
      <c r="C112" s="36"/>
      <c r="D112" s="36"/>
      <c r="E112" s="36"/>
      <c r="F112" s="92" t="s">
        <v>161</v>
      </c>
      <c r="G112" s="92" t="s">
        <v>119</v>
      </c>
      <c r="H112" s="22">
        <v>0.52569999999999995</v>
      </c>
      <c r="I112" s="106"/>
      <c r="J112" s="106"/>
      <c r="K112" s="106"/>
      <c r="L112" s="106"/>
      <c r="M112" s="106"/>
      <c r="N112" s="58"/>
      <c r="O112" s="36"/>
    </row>
    <row r="113" spans="1:15" x14ac:dyDescent="0.35">
      <c r="A113" s="36"/>
      <c r="B113" s="36"/>
      <c r="C113" s="36"/>
      <c r="D113" s="36"/>
      <c r="E113" s="36"/>
      <c r="F113" s="92" t="s">
        <v>162</v>
      </c>
      <c r="G113" s="92" t="s">
        <v>119</v>
      </c>
      <c r="H113" s="22">
        <v>0.52569999999999995</v>
      </c>
      <c r="I113" s="106"/>
      <c r="J113" s="106"/>
      <c r="K113" s="106"/>
      <c r="L113" s="106"/>
      <c r="M113" s="106"/>
      <c r="N113" s="58"/>
      <c r="O113" s="36"/>
    </row>
    <row r="114" spans="1:15" x14ac:dyDescent="0.35">
      <c r="A114" s="36"/>
      <c r="B114" s="36"/>
      <c r="C114" s="36"/>
      <c r="D114" s="36"/>
      <c r="E114" s="36"/>
      <c r="F114" s="92" t="s">
        <v>163</v>
      </c>
      <c r="G114" s="92" t="s">
        <v>119</v>
      </c>
      <c r="H114" s="22">
        <v>0.52569999999999995</v>
      </c>
      <c r="I114" s="106"/>
      <c r="J114" s="106"/>
      <c r="K114" s="106"/>
      <c r="L114" s="106"/>
      <c r="M114" s="106"/>
      <c r="N114" s="58"/>
      <c r="O114" s="36"/>
    </row>
    <row r="115" spans="1:15" x14ac:dyDescent="0.35">
      <c r="A115" s="36"/>
      <c r="B115" s="36"/>
      <c r="C115" s="36"/>
      <c r="D115" s="36"/>
      <c r="E115" s="36"/>
      <c r="F115" s="92" t="s">
        <v>164</v>
      </c>
      <c r="G115" s="92" t="s">
        <v>119</v>
      </c>
      <c r="H115" s="22">
        <v>0.52569999999999995</v>
      </c>
      <c r="I115" s="106"/>
      <c r="J115" s="106"/>
      <c r="K115" s="106"/>
      <c r="L115" s="106"/>
      <c r="M115" s="106"/>
      <c r="N115" s="58"/>
      <c r="O115" s="36"/>
    </row>
    <row r="116" spans="1:15" x14ac:dyDescent="0.35">
      <c r="A116" s="36"/>
      <c r="B116" s="36"/>
      <c r="C116" s="36"/>
      <c r="D116" s="36"/>
      <c r="E116" s="36"/>
      <c r="F116" s="92" t="s">
        <v>165</v>
      </c>
      <c r="G116" s="92" t="s">
        <v>119</v>
      </c>
      <c r="H116" s="22">
        <v>0.52569999999999995</v>
      </c>
      <c r="I116" s="106"/>
      <c r="J116" s="106"/>
      <c r="K116" s="106"/>
      <c r="L116" s="106"/>
      <c r="M116" s="106"/>
      <c r="N116" s="58"/>
      <c r="O116" s="36"/>
    </row>
    <row r="117" spans="1:15" x14ac:dyDescent="0.35">
      <c r="A117" s="36"/>
      <c r="B117" s="36"/>
      <c r="C117" s="36"/>
      <c r="D117" s="36"/>
      <c r="E117" s="36"/>
      <c r="F117" s="92" t="s">
        <v>166</v>
      </c>
      <c r="G117" s="92" t="s">
        <v>119</v>
      </c>
      <c r="H117" s="22"/>
      <c r="I117" s="106"/>
      <c r="J117" s="106"/>
      <c r="K117" s="106"/>
      <c r="L117" s="106"/>
      <c r="M117" s="106"/>
      <c r="N117" s="58"/>
      <c r="O117" s="36"/>
    </row>
    <row r="118" spans="1:15" x14ac:dyDescent="0.35">
      <c r="A118" s="36"/>
      <c r="B118" s="36"/>
      <c r="C118" s="36"/>
      <c r="D118" s="36"/>
      <c r="E118" s="36"/>
      <c r="F118" s="92" t="s">
        <v>167</v>
      </c>
      <c r="G118" s="92" t="s">
        <v>119</v>
      </c>
      <c r="H118" s="22">
        <v>0.57699999999999996</v>
      </c>
      <c r="I118" s="106"/>
      <c r="J118" s="106"/>
      <c r="K118" s="106"/>
      <c r="L118" s="106"/>
      <c r="M118" s="106"/>
      <c r="N118" s="58"/>
      <c r="O118" s="36"/>
    </row>
    <row r="119" spans="1:15" x14ac:dyDescent="0.35">
      <c r="A119" s="36"/>
      <c r="B119" s="36"/>
      <c r="C119" s="36"/>
      <c r="D119" s="36"/>
      <c r="E119" s="36"/>
      <c r="F119" s="92" t="s">
        <v>168</v>
      </c>
      <c r="G119" s="92" t="s">
        <v>119</v>
      </c>
      <c r="H119" s="22"/>
      <c r="I119" s="106"/>
      <c r="J119" s="106"/>
      <c r="K119" s="106"/>
      <c r="L119" s="106"/>
      <c r="M119" s="106"/>
      <c r="N119" s="58"/>
      <c r="O119" s="36"/>
    </row>
    <row r="120" spans="1:15" x14ac:dyDescent="0.35">
      <c r="A120" s="36"/>
      <c r="B120" s="36"/>
      <c r="C120" s="36"/>
      <c r="D120" s="36"/>
      <c r="E120" s="36"/>
      <c r="F120" s="92" t="s">
        <v>169</v>
      </c>
      <c r="G120" s="92" t="s">
        <v>119</v>
      </c>
      <c r="H120" s="22"/>
      <c r="I120" s="106"/>
      <c r="J120" s="106"/>
      <c r="K120" s="106"/>
      <c r="L120" s="106"/>
      <c r="M120" s="106"/>
      <c r="N120" s="58"/>
      <c r="O120" s="36"/>
    </row>
    <row r="121" spans="1:15" x14ac:dyDescent="0.35">
      <c r="A121" s="36"/>
      <c r="B121" s="36"/>
      <c r="C121" s="36"/>
      <c r="D121" s="36"/>
      <c r="E121" s="36"/>
      <c r="F121" s="92" t="s">
        <v>170</v>
      </c>
      <c r="G121" s="92" t="s">
        <v>119</v>
      </c>
      <c r="H121" s="22"/>
      <c r="I121" s="106"/>
      <c r="J121" s="106"/>
      <c r="K121" s="106"/>
      <c r="L121" s="106"/>
      <c r="M121" s="106"/>
      <c r="N121" s="58"/>
      <c r="O121" s="36"/>
    </row>
    <row r="122" spans="1:15" x14ac:dyDescent="0.35">
      <c r="A122" s="36"/>
      <c r="B122" s="36"/>
      <c r="C122" s="36"/>
      <c r="D122" s="36"/>
      <c r="E122" s="36"/>
      <c r="F122" s="92" t="s">
        <v>171</v>
      </c>
      <c r="G122" s="92" t="s">
        <v>119</v>
      </c>
      <c r="H122" s="22"/>
      <c r="I122" s="106"/>
      <c r="J122" s="106"/>
      <c r="K122" s="106"/>
      <c r="L122" s="106"/>
      <c r="M122" s="106"/>
      <c r="N122" s="58"/>
      <c r="O122" s="36"/>
    </row>
    <row r="123" spans="1:15" x14ac:dyDescent="0.35">
      <c r="A123" s="36"/>
      <c r="B123" s="36"/>
      <c r="C123" s="36"/>
      <c r="D123" s="36"/>
      <c r="E123" s="36"/>
      <c r="F123" s="92" t="s">
        <v>172</v>
      </c>
      <c r="G123" s="92" t="s">
        <v>119</v>
      </c>
      <c r="H123" s="22"/>
      <c r="I123" s="106"/>
      <c r="J123" s="106"/>
      <c r="K123" s="106"/>
      <c r="L123" s="106"/>
      <c r="M123" s="106"/>
      <c r="N123" s="58"/>
      <c r="O123" s="36"/>
    </row>
    <row r="124" spans="1:15" x14ac:dyDescent="0.35">
      <c r="A124" s="36"/>
      <c r="B124" s="36"/>
      <c r="C124" s="36"/>
      <c r="D124" s="36"/>
      <c r="E124" s="36"/>
      <c r="F124" s="92" t="s">
        <v>173</v>
      </c>
      <c r="G124" s="92" t="s">
        <v>119</v>
      </c>
      <c r="H124" s="22"/>
      <c r="I124" s="106"/>
      <c r="J124" s="106"/>
      <c r="K124" s="106"/>
      <c r="L124" s="106"/>
      <c r="M124" s="106"/>
      <c r="N124" s="58"/>
      <c r="O124" s="36"/>
    </row>
    <row r="125" spans="1:15" x14ac:dyDescent="0.35">
      <c r="A125" s="36"/>
      <c r="B125" s="36"/>
      <c r="C125" s="36"/>
      <c r="D125" s="36"/>
      <c r="E125" s="36"/>
      <c r="F125" s="92" t="s">
        <v>174</v>
      </c>
      <c r="G125" s="92" t="s">
        <v>119</v>
      </c>
      <c r="H125" s="22"/>
      <c r="I125" s="106"/>
      <c r="J125" s="106"/>
      <c r="K125" s="106"/>
      <c r="L125" s="106"/>
      <c r="M125" s="106"/>
      <c r="N125" s="58"/>
      <c r="O125" s="36"/>
    </row>
    <row r="126" spans="1:15" x14ac:dyDescent="0.35">
      <c r="A126" s="36"/>
      <c r="B126" s="36"/>
      <c r="C126" s="36"/>
      <c r="D126" s="36"/>
      <c r="E126" s="36"/>
      <c r="F126" s="92" t="s">
        <v>175</v>
      </c>
      <c r="G126" s="92" t="s">
        <v>119</v>
      </c>
      <c r="H126" s="22"/>
      <c r="I126" s="106"/>
      <c r="J126" s="106"/>
      <c r="K126" s="106"/>
      <c r="L126" s="106"/>
      <c r="M126" s="106"/>
      <c r="N126" s="58"/>
      <c r="O126" s="36"/>
    </row>
    <row r="127" spans="1:15" x14ac:dyDescent="0.35">
      <c r="A127" s="36"/>
      <c r="B127" s="36"/>
      <c r="C127" s="36"/>
      <c r="D127" s="36"/>
      <c r="E127" s="36"/>
      <c r="F127" s="92" t="s">
        <v>176</v>
      </c>
      <c r="G127" s="92" t="s">
        <v>119</v>
      </c>
      <c r="H127" s="22"/>
      <c r="I127" s="106"/>
      <c r="J127" s="106"/>
      <c r="K127" s="106"/>
      <c r="L127" s="106"/>
      <c r="M127" s="106"/>
      <c r="N127" s="58"/>
      <c r="O127" s="36"/>
    </row>
    <row r="128" spans="1:15" x14ac:dyDescent="0.35">
      <c r="A128" s="36"/>
      <c r="B128" s="36"/>
      <c r="C128" s="36"/>
      <c r="D128" s="36"/>
      <c r="E128" s="36"/>
      <c r="F128" s="92" t="s">
        <v>177</v>
      </c>
      <c r="G128" s="161" t="s">
        <v>119</v>
      </c>
      <c r="H128" s="22"/>
      <c r="I128" s="106"/>
      <c r="J128" s="106"/>
      <c r="K128" s="106"/>
      <c r="L128" s="106"/>
      <c r="M128" s="106"/>
      <c r="N128" s="58"/>
      <c r="O128" s="36"/>
    </row>
    <row r="129" spans="1:15" x14ac:dyDescent="0.35">
      <c r="A129" s="36"/>
      <c r="B129" s="36"/>
      <c r="C129" s="36"/>
      <c r="D129" s="36"/>
      <c r="E129" s="36"/>
      <c r="F129" s="92" t="s">
        <v>179</v>
      </c>
      <c r="G129" s="161" t="s">
        <v>119</v>
      </c>
      <c r="H129" s="22"/>
      <c r="I129" s="106"/>
      <c r="J129" s="106"/>
      <c r="K129" s="106"/>
      <c r="L129" s="106"/>
      <c r="M129" s="106"/>
      <c r="N129" s="58"/>
      <c r="O129" s="36"/>
    </row>
    <row r="130" spans="1:15" x14ac:dyDescent="0.35">
      <c r="A130" s="36"/>
      <c r="B130" s="36"/>
      <c r="C130" s="36"/>
      <c r="D130" s="36"/>
      <c r="E130" s="36"/>
      <c r="F130" s="94" t="s">
        <v>180</v>
      </c>
      <c r="G130" s="162" t="s">
        <v>119</v>
      </c>
      <c r="H130" s="27"/>
      <c r="I130" s="106"/>
      <c r="J130" s="106"/>
      <c r="K130" s="106"/>
      <c r="L130" s="106"/>
      <c r="M130" s="106"/>
      <c r="N130" s="58"/>
      <c r="O130" s="36"/>
    </row>
    <row r="131" spans="1:15" x14ac:dyDescent="0.35">
      <c r="A131" s="36"/>
      <c r="B131" s="36"/>
      <c r="C131" s="36"/>
      <c r="D131" s="36"/>
      <c r="E131" s="36"/>
      <c r="F131" s="36"/>
      <c r="G131" s="36"/>
      <c r="H131" s="58"/>
      <c r="I131" s="58"/>
      <c r="J131" s="58"/>
      <c r="K131" s="58"/>
      <c r="L131" s="58"/>
      <c r="M131" s="58"/>
      <c r="N131" s="58"/>
      <c r="O131" s="36"/>
    </row>
    <row r="132" spans="1:15" x14ac:dyDescent="0.35">
      <c r="A132" s="36"/>
      <c r="B132" s="36"/>
      <c r="C132" s="87" t="s">
        <v>186</v>
      </c>
      <c r="D132" s="87"/>
      <c r="E132" s="87"/>
      <c r="F132" s="87"/>
      <c r="G132" s="87"/>
      <c r="H132" s="88"/>
      <c r="I132" s="88"/>
      <c r="J132" s="88"/>
      <c r="K132" s="88"/>
      <c r="L132" s="88"/>
      <c r="M132" s="88"/>
      <c r="N132" s="88"/>
      <c r="O132" s="87"/>
    </row>
    <row r="133" spans="1:15" x14ac:dyDescent="0.35">
      <c r="A133" s="36"/>
      <c r="B133" s="36"/>
      <c r="C133" s="86"/>
      <c r="D133" s="86"/>
      <c r="E133" s="36"/>
      <c r="F133" s="36"/>
      <c r="G133" s="36"/>
      <c r="H133" s="58"/>
      <c r="I133" s="58"/>
      <c r="J133" s="58"/>
      <c r="K133" s="58"/>
      <c r="L133" s="58"/>
      <c r="M133" s="58"/>
      <c r="N133" s="58"/>
      <c r="O133" s="36"/>
    </row>
    <row r="134" spans="1:15" x14ac:dyDescent="0.35">
      <c r="A134" s="36"/>
      <c r="B134" s="36"/>
      <c r="C134" s="86"/>
      <c r="D134" s="86" t="s">
        <v>187</v>
      </c>
      <c r="E134" s="36"/>
      <c r="F134" s="36"/>
      <c r="G134" s="36"/>
      <c r="H134" s="58"/>
      <c r="I134" s="58"/>
      <c r="J134" s="58"/>
      <c r="K134" s="58"/>
      <c r="L134" s="58"/>
      <c r="M134" s="58"/>
      <c r="N134" s="58"/>
      <c r="O134" s="36"/>
    </row>
    <row r="135" spans="1:15" x14ac:dyDescent="0.35">
      <c r="A135" s="36"/>
      <c r="B135" s="36"/>
      <c r="C135" s="86"/>
      <c r="D135" s="86" t="s">
        <v>188</v>
      </c>
      <c r="E135" s="36"/>
      <c r="F135" s="36"/>
      <c r="G135" s="36"/>
      <c r="H135" s="58"/>
      <c r="I135" s="58"/>
      <c r="J135" s="58"/>
      <c r="K135" s="58"/>
      <c r="L135" s="58"/>
      <c r="M135" s="58"/>
      <c r="N135" s="58"/>
      <c r="O135" s="36"/>
    </row>
    <row r="136" spans="1:15" x14ac:dyDescent="0.35">
      <c r="A136" s="36"/>
      <c r="B136" s="36"/>
      <c r="C136" s="86"/>
      <c r="D136" s="86"/>
      <c r="E136" s="36"/>
      <c r="F136" s="36"/>
      <c r="G136" s="36"/>
      <c r="H136" s="58"/>
      <c r="I136" s="58"/>
      <c r="J136" s="58"/>
      <c r="K136" s="58"/>
      <c r="L136" s="58"/>
      <c r="M136" s="58"/>
      <c r="N136" s="58"/>
      <c r="O136" s="36"/>
    </row>
    <row r="137" spans="1:15" x14ac:dyDescent="0.35">
      <c r="A137" s="36"/>
      <c r="B137" s="36"/>
      <c r="C137" s="36"/>
      <c r="D137" s="86"/>
      <c r="E137" s="89" t="s">
        <v>189</v>
      </c>
      <c r="F137" s="36"/>
      <c r="G137" s="36"/>
      <c r="H137" s="58"/>
      <c r="I137" s="58"/>
      <c r="J137" s="58"/>
      <c r="K137" s="58"/>
      <c r="L137" s="58"/>
      <c r="M137" s="58"/>
      <c r="N137" s="58"/>
      <c r="O137" s="36"/>
    </row>
    <row r="138" spans="1:15" x14ac:dyDescent="0.35">
      <c r="A138" s="36"/>
      <c r="B138" s="36"/>
      <c r="C138" s="36"/>
      <c r="D138" s="36"/>
      <c r="E138" s="36"/>
      <c r="F138" s="90" t="s">
        <v>132</v>
      </c>
      <c r="G138" s="90" t="s">
        <v>190</v>
      </c>
      <c r="H138" s="28">
        <v>1</v>
      </c>
      <c r="I138" s="107"/>
      <c r="J138" s="107"/>
      <c r="K138" s="107"/>
      <c r="L138" s="107"/>
      <c r="M138" s="107"/>
      <c r="N138" s="58"/>
      <c r="O138" s="36"/>
    </row>
    <row r="139" spans="1:15" x14ac:dyDescent="0.35">
      <c r="A139" s="36"/>
      <c r="B139" s="36"/>
      <c r="C139" s="36"/>
      <c r="D139" s="36"/>
      <c r="E139" s="36"/>
      <c r="F139" s="94" t="s">
        <v>134</v>
      </c>
      <c r="G139" s="94" t="s">
        <v>190</v>
      </c>
      <c r="H139" s="29"/>
      <c r="I139" s="107"/>
      <c r="J139" s="107"/>
      <c r="K139" s="107"/>
      <c r="L139" s="107"/>
      <c r="M139" s="107"/>
      <c r="N139" s="58"/>
      <c r="O139" s="36"/>
    </row>
    <row r="140" spans="1:15" x14ac:dyDescent="0.35">
      <c r="A140" s="36"/>
      <c r="B140" s="36"/>
      <c r="C140" s="36"/>
      <c r="D140" s="36"/>
      <c r="E140" s="36"/>
      <c r="F140" s="36"/>
      <c r="G140" s="36"/>
      <c r="H140" s="58"/>
      <c r="I140" s="58"/>
      <c r="J140" s="58"/>
      <c r="K140" s="58"/>
      <c r="L140" s="58"/>
      <c r="M140" s="58"/>
      <c r="N140" s="58"/>
      <c r="O140" s="36"/>
    </row>
    <row r="141" spans="1:15" x14ac:dyDescent="0.35">
      <c r="A141" s="98"/>
      <c r="B141" s="36"/>
      <c r="C141" s="36"/>
      <c r="D141" s="36"/>
      <c r="E141" s="89" t="s">
        <v>191</v>
      </c>
      <c r="F141" s="36"/>
      <c r="G141" s="36"/>
      <c r="H141" s="58"/>
      <c r="I141" s="103" t="s">
        <v>120</v>
      </c>
      <c r="J141" s="103"/>
      <c r="K141" s="103"/>
      <c r="L141" s="103"/>
      <c r="M141" s="103"/>
      <c r="N141" s="103"/>
      <c r="O141" s="92" t="s">
        <v>144</v>
      </c>
    </row>
    <row r="142" spans="1:15" x14ac:dyDescent="0.35">
      <c r="A142" s="36"/>
      <c r="B142" s="36"/>
      <c r="C142" s="36"/>
      <c r="D142" s="36"/>
      <c r="E142" s="36"/>
      <c r="F142" s="90" t="s">
        <v>145</v>
      </c>
      <c r="G142" s="90" t="s">
        <v>190</v>
      </c>
      <c r="H142" s="28">
        <v>1</v>
      </c>
      <c r="I142" s="107"/>
      <c r="J142" s="107"/>
      <c r="K142" s="107"/>
      <c r="L142" s="107"/>
      <c r="M142" s="107"/>
      <c r="N142" s="58"/>
      <c r="O142" s="36"/>
    </row>
    <row r="143" spans="1:15" x14ac:dyDescent="0.35">
      <c r="A143" s="36"/>
      <c r="B143" s="36"/>
      <c r="C143" s="36"/>
      <c r="D143" s="36"/>
      <c r="E143" s="36"/>
      <c r="F143" s="92" t="s">
        <v>146</v>
      </c>
      <c r="G143" s="92" t="s">
        <v>190</v>
      </c>
      <c r="H143" s="30">
        <v>1</v>
      </c>
      <c r="I143" s="107"/>
      <c r="J143" s="107"/>
      <c r="K143" s="107"/>
      <c r="L143" s="107"/>
      <c r="M143" s="107"/>
      <c r="N143" s="58"/>
      <c r="O143" s="36"/>
    </row>
    <row r="144" spans="1:15" x14ac:dyDescent="0.35">
      <c r="A144" s="36"/>
      <c r="B144" s="36"/>
      <c r="C144" s="36"/>
      <c r="D144" s="36"/>
      <c r="E144" s="36"/>
      <c r="F144" s="92" t="s">
        <v>147</v>
      </c>
      <c r="G144" s="92" t="s">
        <v>190</v>
      </c>
      <c r="H144" s="30">
        <v>1</v>
      </c>
      <c r="I144" s="107"/>
      <c r="J144" s="107"/>
      <c r="K144" s="107"/>
      <c r="L144" s="107"/>
      <c r="M144" s="107"/>
      <c r="N144" s="58"/>
      <c r="O144" s="36"/>
    </row>
    <row r="145" spans="1:15" x14ac:dyDescent="0.35">
      <c r="A145" s="36"/>
      <c r="B145" s="36"/>
      <c r="C145" s="36"/>
      <c r="D145" s="36"/>
      <c r="E145" s="36"/>
      <c r="F145" s="92" t="s">
        <v>148</v>
      </c>
      <c r="G145" s="92" t="s">
        <v>190</v>
      </c>
      <c r="H145" s="30">
        <v>1</v>
      </c>
      <c r="I145" s="107"/>
      <c r="J145" s="107"/>
      <c r="K145" s="107"/>
      <c r="L145" s="107"/>
      <c r="M145" s="107"/>
      <c r="N145" s="58"/>
      <c r="O145" s="36"/>
    </row>
    <row r="146" spans="1:15" x14ac:dyDescent="0.35">
      <c r="A146" s="36"/>
      <c r="B146" s="36"/>
      <c r="C146" s="36"/>
      <c r="D146" s="36"/>
      <c r="E146" s="36"/>
      <c r="F146" s="92" t="s">
        <v>149</v>
      </c>
      <c r="G146" s="92" t="s">
        <v>190</v>
      </c>
      <c r="H146" s="30">
        <v>1</v>
      </c>
      <c r="I146" s="107"/>
      <c r="J146" s="107"/>
      <c r="K146" s="107"/>
      <c r="L146" s="107"/>
      <c r="M146" s="107"/>
      <c r="N146" s="58"/>
      <c r="O146" s="36"/>
    </row>
    <row r="147" spans="1:15" x14ac:dyDescent="0.35">
      <c r="A147" s="36"/>
      <c r="B147" s="36"/>
      <c r="C147" s="36"/>
      <c r="D147" s="36"/>
      <c r="E147" s="36"/>
      <c r="F147" s="92" t="s">
        <v>150</v>
      </c>
      <c r="G147" s="92" t="s">
        <v>190</v>
      </c>
      <c r="H147" s="30">
        <v>1</v>
      </c>
      <c r="I147" s="107"/>
      <c r="J147" s="107"/>
      <c r="K147" s="107"/>
      <c r="L147" s="107"/>
      <c r="M147" s="107"/>
      <c r="N147" s="58"/>
      <c r="O147" s="36"/>
    </row>
    <row r="148" spans="1:15" x14ac:dyDescent="0.35">
      <c r="A148" s="36"/>
      <c r="B148" s="36"/>
      <c r="C148" s="36"/>
      <c r="D148" s="36"/>
      <c r="E148" s="36"/>
      <c r="F148" s="92" t="s">
        <v>151</v>
      </c>
      <c r="G148" s="92" t="s">
        <v>190</v>
      </c>
      <c r="H148" s="30"/>
      <c r="I148" s="107"/>
      <c r="J148" s="107"/>
      <c r="K148" s="107"/>
      <c r="L148" s="107"/>
      <c r="M148" s="107"/>
      <c r="N148" s="58"/>
      <c r="O148" s="36"/>
    </row>
    <row r="149" spans="1:15" x14ac:dyDescent="0.35">
      <c r="A149" s="36"/>
      <c r="B149" s="36"/>
      <c r="C149" s="36"/>
      <c r="D149" s="36"/>
      <c r="E149" s="36"/>
      <c r="F149" s="92" t="s">
        <v>152</v>
      </c>
      <c r="G149" s="92" t="s">
        <v>190</v>
      </c>
      <c r="H149" s="30"/>
      <c r="I149" s="107"/>
      <c r="J149" s="107"/>
      <c r="K149" s="107"/>
      <c r="L149" s="107"/>
      <c r="M149" s="107"/>
      <c r="N149" s="58"/>
      <c r="O149" s="36"/>
    </row>
    <row r="150" spans="1:15" x14ac:dyDescent="0.35">
      <c r="A150" s="36"/>
      <c r="B150" s="36"/>
      <c r="C150" s="36"/>
      <c r="D150" s="36"/>
      <c r="E150" s="36"/>
      <c r="F150" s="92" t="s">
        <v>153</v>
      </c>
      <c r="G150" s="92" t="s">
        <v>190</v>
      </c>
      <c r="H150" s="30"/>
      <c r="I150" s="107"/>
      <c r="J150" s="107"/>
      <c r="K150" s="107"/>
      <c r="L150" s="107"/>
      <c r="M150" s="107"/>
      <c r="N150" s="58"/>
      <c r="O150" s="36"/>
    </row>
    <row r="151" spans="1:15" x14ac:dyDescent="0.35">
      <c r="A151" s="36"/>
      <c r="B151" s="36"/>
      <c r="C151" s="36"/>
      <c r="D151" s="36"/>
      <c r="E151" s="36"/>
      <c r="F151" s="92" t="s">
        <v>154</v>
      </c>
      <c r="G151" s="92" t="s">
        <v>190</v>
      </c>
      <c r="H151" s="30"/>
      <c r="I151" s="107"/>
      <c r="J151" s="107"/>
      <c r="K151" s="107"/>
      <c r="L151" s="107"/>
      <c r="M151" s="107"/>
      <c r="N151" s="58"/>
      <c r="O151" s="36"/>
    </row>
    <row r="152" spans="1:15" x14ac:dyDescent="0.35">
      <c r="A152" s="36"/>
      <c r="B152" s="36"/>
      <c r="C152" s="36"/>
      <c r="D152" s="36"/>
      <c r="E152" s="36"/>
      <c r="F152" s="92" t="s">
        <v>155</v>
      </c>
      <c r="G152" s="92" t="s">
        <v>190</v>
      </c>
      <c r="H152" s="30"/>
      <c r="I152" s="107"/>
      <c r="J152" s="107"/>
      <c r="K152" s="107"/>
      <c r="L152" s="107"/>
      <c r="M152" s="107"/>
      <c r="N152" s="58"/>
      <c r="O152" s="36"/>
    </row>
    <row r="153" spans="1:15" x14ac:dyDescent="0.35">
      <c r="A153" s="36"/>
      <c r="B153" s="36"/>
      <c r="C153" s="36"/>
      <c r="D153" s="36"/>
      <c r="E153" s="36"/>
      <c r="F153" s="92" t="s">
        <v>156</v>
      </c>
      <c r="G153" s="92" t="s">
        <v>190</v>
      </c>
      <c r="H153" s="30"/>
      <c r="I153" s="107"/>
      <c r="J153" s="107"/>
      <c r="K153" s="107"/>
      <c r="L153" s="107"/>
      <c r="M153" s="107"/>
      <c r="N153" s="58"/>
      <c r="O153" s="36"/>
    </row>
    <row r="154" spans="1:15" x14ac:dyDescent="0.35">
      <c r="A154" s="36"/>
      <c r="B154" s="36"/>
      <c r="C154" s="36"/>
      <c r="D154" s="36"/>
      <c r="E154" s="36"/>
      <c r="F154" s="92" t="s">
        <v>157</v>
      </c>
      <c r="G154" s="92" t="s">
        <v>190</v>
      </c>
      <c r="H154" s="30"/>
      <c r="I154" s="107"/>
      <c r="J154" s="107"/>
      <c r="K154" s="107"/>
      <c r="L154" s="107"/>
      <c r="M154" s="107"/>
      <c r="N154" s="58"/>
      <c r="O154" s="36"/>
    </row>
    <row r="155" spans="1:15" x14ac:dyDescent="0.35">
      <c r="A155" s="36"/>
      <c r="B155" s="36"/>
      <c r="C155" s="36"/>
      <c r="D155" s="36"/>
      <c r="E155" s="36"/>
      <c r="F155" s="92" t="s">
        <v>158</v>
      </c>
      <c r="G155" s="92" t="s">
        <v>190</v>
      </c>
      <c r="H155" s="30"/>
      <c r="I155" s="107"/>
      <c r="J155" s="107"/>
      <c r="K155" s="107"/>
      <c r="L155" s="107"/>
      <c r="M155" s="107"/>
      <c r="N155" s="58"/>
      <c r="O155" s="36"/>
    </row>
    <row r="156" spans="1:15" x14ac:dyDescent="0.35">
      <c r="A156" s="36"/>
      <c r="B156" s="36"/>
      <c r="C156" s="36"/>
      <c r="D156" s="36"/>
      <c r="E156" s="36"/>
      <c r="F156" s="92" t="s">
        <v>159</v>
      </c>
      <c r="G156" s="92" t="s">
        <v>190</v>
      </c>
      <c r="H156" s="30"/>
      <c r="I156" s="107"/>
      <c r="J156" s="107"/>
      <c r="K156" s="107"/>
      <c r="L156" s="107"/>
      <c r="M156" s="107"/>
      <c r="N156" s="58"/>
      <c r="O156" s="36"/>
    </row>
    <row r="157" spans="1:15" x14ac:dyDescent="0.35">
      <c r="A157" s="36"/>
      <c r="B157" s="36"/>
      <c r="C157" s="36"/>
      <c r="D157" s="36"/>
      <c r="E157" s="36"/>
      <c r="F157" s="92" t="s">
        <v>160</v>
      </c>
      <c r="G157" s="92" t="s">
        <v>190</v>
      </c>
      <c r="H157" s="30"/>
      <c r="I157" s="107"/>
      <c r="J157" s="107"/>
      <c r="K157" s="107"/>
      <c r="L157" s="107"/>
      <c r="M157" s="107"/>
      <c r="N157" s="58"/>
      <c r="O157" s="36"/>
    </row>
    <row r="158" spans="1:15" x14ac:dyDescent="0.35">
      <c r="A158" s="36"/>
      <c r="B158" s="36"/>
      <c r="C158" s="36"/>
      <c r="D158" s="36"/>
      <c r="E158" s="36"/>
      <c r="F158" s="92" t="s">
        <v>161</v>
      </c>
      <c r="G158" s="92" t="s">
        <v>190</v>
      </c>
      <c r="H158" s="30"/>
      <c r="I158" s="107"/>
      <c r="J158" s="107"/>
      <c r="K158" s="107"/>
      <c r="L158" s="107"/>
      <c r="M158" s="107"/>
      <c r="N158" s="58"/>
      <c r="O158" s="36"/>
    </row>
    <row r="159" spans="1:15" x14ac:dyDescent="0.35">
      <c r="A159" s="36"/>
      <c r="B159" s="36"/>
      <c r="C159" s="36"/>
      <c r="D159" s="36"/>
      <c r="E159" s="36"/>
      <c r="F159" s="92" t="s">
        <v>162</v>
      </c>
      <c r="G159" s="92" t="s">
        <v>190</v>
      </c>
      <c r="H159" s="30"/>
      <c r="I159" s="107"/>
      <c r="J159" s="107"/>
      <c r="K159" s="107"/>
      <c r="L159" s="107"/>
      <c r="M159" s="107"/>
      <c r="N159" s="58"/>
      <c r="O159" s="36"/>
    </row>
    <row r="160" spans="1:15" x14ac:dyDescent="0.35">
      <c r="A160" s="36"/>
      <c r="B160" s="36"/>
      <c r="C160" s="36"/>
      <c r="D160" s="36"/>
      <c r="E160" s="36"/>
      <c r="F160" s="92" t="s">
        <v>163</v>
      </c>
      <c r="G160" s="92" t="s">
        <v>190</v>
      </c>
      <c r="H160" s="30"/>
      <c r="I160" s="107"/>
      <c r="J160" s="107"/>
      <c r="K160" s="107"/>
      <c r="L160" s="107"/>
      <c r="M160" s="107"/>
      <c r="N160" s="58"/>
      <c r="O160" s="36"/>
    </row>
    <row r="161" spans="1:15" x14ac:dyDescent="0.35">
      <c r="A161" s="36"/>
      <c r="B161" s="36"/>
      <c r="C161" s="36"/>
      <c r="D161" s="36"/>
      <c r="E161" s="36"/>
      <c r="F161" s="92" t="s">
        <v>164</v>
      </c>
      <c r="G161" s="92" t="s">
        <v>190</v>
      </c>
      <c r="H161" s="30"/>
      <c r="I161" s="107"/>
      <c r="J161" s="107"/>
      <c r="K161" s="107"/>
      <c r="L161" s="107"/>
      <c r="M161" s="107"/>
      <c r="N161" s="58"/>
      <c r="O161" s="36"/>
    </row>
    <row r="162" spans="1:15" x14ac:dyDescent="0.35">
      <c r="A162" s="36"/>
      <c r="B162" s="36"/>
      <c r="C162" s="36"/>
      <c r="D162" s="36"/>
      <c r="E162" s="36"/>
      <c r="F162" s="92" t="s">
        <v>165</v>
      </c>
      <c r="G162" s="92" t="s">
        <v>190</v>
      </c>
      <c r="H162" s="30"/>
      <c r="I162" s="107"/>
      <c r="J162" s="107"/>
      <c r="K162" s="107"/>
      <c r="L162" s="107"/>
      <c r="M162" s="107"/>
      <c r="N162" s="58"/>
      <c r="O162" s="36"/>
    </row>
    <row r="163" spans="1:15" x14ac:dyDescent="0.35">
      <c r="A163" s="36"/>
      <c r="B163" s="36"/>
      <c r="C163" s="36"/>
      <c r="D163" s="36"/>
      <c r="E163" s="36"/>
      <c r="F163" s="92" t="s">
        <v>166</v>
      </c>
      <c r="G163" s="92" t="s">
        <v>190</v>
      </c>
      <c r="H163" s="30">
        <v>1</v>
      </c>
      <c r="I163" s="107"/>
      <c r="J163" s="107"/>
      <c r="K163" s="107"/>
      <c r="L163" s="107"/>
      <c r="M163" s="107"/>
      <c r="N163" s="58"/>
      <c r="O163" s="36"/>
    </row>
    <row r="164" spans="1:15" x14ac:dyDescent="0.35">
      <c r="A164" s="36"/>
      <c r="B164" s="36"/>
      <c r="C164" s="36"/>
      <c r="D164" s="36"/>
      <c r="E164" s="36"/>
      <c r="F164" s="92" t="s">
        <v>167</v>
      </c>
      <c r="G164" s="92" t="s">
        <v>190</v>
      </c>
      <c r="H164" s="30">
        <v>1</v>
      </c>
      <c r="I164" s="107"/>
      <c r="J164" s="107"/>
      <c r="K164" s="107"/>
      <c r="L164" s="107"/>
      <c r="M164" s="107"/>
      <c r="N164" s="58"/>
      <c r="O164" s="36"/>
    </row>
    <row r="165" spans="1:15" x14ac:dyDescent="0.35">
      <c r="A165" s="36"/>
      <c r="B165" s="36"/>
      <c r="C165" s="36"/>
      <c r="D165" s="36"/>
      <c r="E165" s="36"/>
      <c r="F165" s="92" t="s">
        <v>168</v>
      </c>
      <c r="G165" s="92" t="s">
        <v>190</v>
      </c>
      <c r="H165" s="30">
        <v>1</v>
      </c>
      <c r="I165" s="107"/>
      <c r="J165" s="107"/>
      <c r="K165" s="107"/>
      <c r="L165" s="107"/>
      <c r="M165" s="107"/>
      <c r="N165" s="58"/>
      <c r="O165" s="36"/>
    </row>
    <row r="166" spans="1:15" x14ac:dyDescent="0.35">
      <c r="A166" s="36"/>
      <c r="B166" s="36"/>
      <c r="C166" s="36"/>
      <c r="D166" s="36"/>
      <c r="E166" s="36"/>
      <c r="F166" s="92" t="s">
        <v>169</v>
      </c>
      <c r="G166" s="92" t="s">
        <v>190</v>
      </c>
      <c r="H166" s="30">
        <v>1</v>
      </c>
      <c r="I166" s="107"/>
      <c r="J166" s="107"/>
      <c r="K166" s="107"/>
      <c r="L166" s="107"/>
      <c r="M166" s="107"/>
      <c r="N166" s="58"/>
      <c r="O166" s="36"/>
    </row>
    <row r="167" spans="1:15" x14ac:dyDescent="0.35">
      <c r="A167" s="36"/>
      <c r="B167" s="36"/>
      <c r="C167" s="36"/>
      <c r="D167" s="36"/>
      <c r="E167" s="36"/>
      <c r="F167" s="92" t="s">
        <v>170</v>
      </c>
      <c r="G167" s="92" t="s">
        <v>190</v>
      </c>
      <c r="H167" s="30">
        <v>1</v>
      </c>
      <c r="I167" s="107"/>
      <c r="J167" s="107"/>
      <c r="K167" s="107"/>
      <c r="L167" s="107"/>
      <c r="M167" s="107"/>
      <c r="N167" s="58"/>
      <c r="O167" s="36"/>
    </row>
    <row r="168" spans="1:15" x14ac:dyDescent="0.35">
      <c r="A168" s="36"/>
      <c r="B168" s="36"/>
      <c r="C168" s="36"/>
      <c r="D168" s="36"/>
      <c r="E168" s="36"/>
      <c r="F168" s="92" t="s">
        <v>171</v>
      </c>
      <c r="G168" s="92" t="s">
        <v>190</v>
      </c>
      <c r="H168" s="30">
        <v>1</v>
      </c>
      <c r="I168" s="107"/>
      <c r="J168" s="107"/>
      <c r="K168" s="107"/>
      <c r="L168" s="107"/>
      <c r="M168" s="107"/>
      <c r="N168" s="58"/>
      <c r="O168" s="36"/>
    </row>
    <row r="169" spans="1:15" x14ac:dyDescent="0.35">
      <c r="A169" s="36"/>
      <c r="B169" s="36"/>
      <c r="C169" s="36"/>
      <c r="D169" s="36"/>
      <c r="E169" s="36"/>
      <c r="F169" s="92" t="s">
        <v>172</v>
      </c>
      <c r="G169" s="92" t="s">
        <v>190</v>
      </c>
      <c r="H169" s="30">
        <v>1</v>
      </c>
      <c r="I169" s="107"/>
      <c r="J169" s="107"/>
      <c r="K169" s="107"/>
      <c r="L169" s="107"/>
      <c r="M169" s="107"/>
      <c r="N169" s="58"/>
      <c r="O169" s="36"/>
    </row>
    <row r="170" spans="1:15" x14ac:dyDescent="0.35">
      <c r="A170" s="36"/>
      <c r="B170" s="36"/>
      <c r="C170" s="36"/>
      <c r="D170" s="36"/>
      <c r="E170" s="36"/>
      <c r="F170" s="92" t="s">
        <v>173</v>
      </c>
      <c r="G170" s="92" t="s">
        <v>190</v>
      </c>
      <c r="H170" s="30">
        <v>1</v>
      </c>
      <c r="I170" s="107"/>
      <c r="J170" s="107"/>
      <c r="K170" s="107"/>
      <c r="L170" s="107"/>
      <c r="M170" s="107"/>
      <c r="N170" s="58"/>
      <c r="O170" s="36"/>
    </row>
    <row r="171" spans="1:15" x14ac:dyDescent="0.35">
      <c r="A171" s="36"/>
      <c r="B171" s="36"/>
      <c r="C171" s="36"/>
      <c r="D171" s="36"/>
      <c r="E171" s="36"/>
      <c r="F171" s="92" t="s">
        <v>174</v>
      </c>
      <c r="G171" s="92" t="s">
        <v>190</v>
      </c>
      <c r="H171" s="30">
        <v>1</v>
      </c>
      <c r="I171" s="107"/>
      <c r="J171" s="107"/>
      <c r="K171" s="107"/>
      <c r="L171" s="107"/>
      <c r="M171" s="107"/>
      <c r="N171" s="58"/>
      <c r="O171" s="36"/>
    </row>
    <row r="172" spans="1:15" x14ac:dyDescent="0.35">
      <c r="A172" s="36"/>
      <c r="B172" s="36"/>
      <c r="C172" s="36"/>
      <c r="D172" s="36"/>
      <c r="E172" s="36"/>
      <c r="F172" s="92" t="s">
        <v>175</v>
      </c>
      <c r="G172" s="92" t="s">
        <v>190</v>
      </c>
      <c r="H172" s="30">
        <v>1</v>
      </c>
      <c r="I172" s="107"/>
      <c r="J172" s="107"/>
      <c r="K172" s="107"/>
      <c r="L172" s="107"/>
      <c r="M172" s="107"/>
      <c r="N172" s="58"/>
      <c r="O172" s="36"/>
    </row>
    <row r="173" spans="1:15" x14ac:dyDescent="0.35">
      <c r="A173" s="36"/>
      <c r="B173" s="36"/>
      <c r="C173" s="36"/>
      <c r="D173" s="36"/>
      <c r="E173" s="36"/>
      <c r="F173" s="92" t="s">
        <v>176</v>
      </c>
      <c r="G173" s="92" t="s">
        <v>190</v>
      </c>
      <c r="H173" s="30">
        <v>1</v>
      </c>
      <c r="I173" s="107"/>
      <c r="J173" s="107"/>
      <c r="K173" s="107"/>
      <c r="L173" s="107"/>
      <c r="M173" s="107"/>
      <c r="N173" s="58"/>
      <c r="O173" s="36"/>
    </row>
    <row r="174" spans="1:15" x14ac:dyDescent="0.35">
      <c r="A174" s="36"/>
      <c r="B174" s="36"/>
      <c r="C174" s="36"/>
      <c r="D174" s="36"/>
      <c r="E174" s="36"/>
      <c r="F174" s="92" t="s">
        <v>177</v>
      </c>
      <c r="G174" s="161" t="s">
        <v>190</v>
      </c>
      <c r="H174" s="30"/>
      <c r="I174" s="107" t="s">
        <v>120</v>
      </c>
      <c r="J174" s="107"/>
      <c r="K174" s="107"/>
      <c r="L174" s="107"/>
      <c r="M174" s="107"/>
      <c r="N174" s="58"/>
      <c r="O174" s="36" t="s">
        <v>178</v>
      </c>
    </row>
    <row r="175" spans="1:15" x14ac:dyDescent="0.35">
      <c r="A175" s="36"/>
      <c r="B175" s="36"/>
      <c r="C175" s="36"/>
      <c r="D175" s="36"/>
      <c r="E175" s="36"/>
      <c r="F175" s="92" t="s">
        <v>179</v>
      </c>
      <c r="G175" s="161" t="s">
        <v>190</v>
      </c>
      <c r="H175" s="30">
        <v>1</v>
      </c>
      <c r="I175" s="107" t="s">
        <v>120</v>
      </c>
      <c r="J175" s="107"/>
      <c r="K175" s="107"/>
      <c r="L175" s="107"/>
      <c r="M175" s="107"/>
      <c r="N175" s="58"/>
      <c r="O175" s="36" t="s">
        <v>178</v>
      </c>
    </row>
    <row r="176" spans="1:15" x14ac:dyDescent="0.35">
      <c r="A176" s="36"/>
      <c r="B176" s="36"/>
      <c r="C176" s="36"/>
      <c r="D176" s="36"/>
      <c r="E176" s="36"/>
      <c r="F176" s="94" t="s">
        <v>180</v>
      </c>
      <c r="G176" s="162" t="s">
        <v>190</v>
      </c>
      <c r="H176" s="29"/>
      <c r="I176" s="107" t="s">
        <v>120</v>
      </c>
      <c r="J176" s="105"/>
      <c r="K176" s="105"/>
      <c r="L176" s="105"/>
      <c r="M176" s="105"/>
      <c r="N176" s="58"/>
      <c r="O176" s="36" t="s">
        <v>181</v>
      </c>
    </row>
    <row r="177" spans="1:15" x14ac:dyDescent="0.35">
      <c r="A177" s="36"/>
      <c r="B177" s="36"/>
      <c r="C177" s="36"/>
      <c r="D177" s="36"/>
      <c r="E177" s="36"/>
      <c r="F177" s="36"/>
      <c r="G177" s="36"/>
      <c r="H177" s="58"/>
      <c r="I177" s="58"/>
      <c r="J177" s="58"/>
      <c r="K177" s="58"/>
      <c r="L177" s="58"/>
      <c r="M177" s="58"/>
      <c r="N177" s="58"/>
      <c r="O177" s="36"/>
    </row>
    <row r="178" spans="1:15" x14ac:dyDescent="0.35">
      <c r="A178" s="36"/>
      <c r="B178" s="36"/>
      <c r="C178" s="87" t="s">
        <v>192</v>
      </c>
      <c r="D178" s="87"/>
      <c r="E178" s="87"/>
      <c r="F178" s="87"/>
      <c r="G178" s="87"/>
      <c r="H178" s="88"/>
      <c r="I178" s="88"/>
      <c r="J178" s="88"/>
      <c r="K178" s="88"/>
      <c r="L178" s="88"/>
      <c r="M178" s="88"/>
      <c r="N178" s="88"/>
      <c r="O178" s="87"/>
    </row>
    <row r="179" spans="1:15" x14ac:dyDescent="0.35">
      <c r="A179" s="36"/>
      <c r="B179" s="36"/>
      <c r="C179" s="86"/>
      <c r="D179" s="86"/>
      <c r="E179" s="36"/>
      <c r="F179" s="36"/>
      <c r="G179" s="36"/>
      <c r="H179" s="58"/>
      <c r="I179" s="58"/>
      <c r="J179" s="58"/>
      <c r="K179" s="58"/>
      <c r="L179" s="58"/>
      <c r="M179" s="58"/>
      <c r="N179" s="58"/>
      <c r="O179" s="36"/>
    </row>
    <row r="180" spans="1:15" x14ac:dyDescent="0.35">
      <c r="A180" s="36"/>
      <c r="B180" s="36"/>
      <c r="C180" s="86"/>
      <c r="D180" s="86" t="s">
        <v>193</v>
      </c>
      <c r="E180" s="36"/>
      <c r="F180" s="36"/>
      <c r="G180" s="36"/>
      <c r="H180" s="58"/>
      <c r="I180" s="58"/>
      <c r="J180" s="58"/>
      <c r="K180" s="58"/>
      <c r="L180" s="58"/>
      <c r="M180" s="58"/>
      <c r="N180" s="58"/>
      <c r="O180" s="36"/>
    </row>
    <row r="181" spans="1:15" x14ac:dyDescent="0.35">
      <c r="A181" s="36"/>
      <c r="B181" s="36"/>
      <c r="C181" s="86"/>
      <c r="D181" s="86"/>
      <c r="E181" s="36"/>
      <c r="F181" s="36"/>
      <c r="G181" s="36"/>
      <c r="H181" s="58"/>
      <c r="I181" s="58"/>
      <c r="J181" s="58"/>
      <c r="K181" s="58"/>
      <c r="L181" s="58"/>
      <c r="M181" s="58"/>
      <c r="N181" s="58"/>
      <c r="O181" s="36"/>
    </row>
    <row r="182" spans="1:15" x14ac:dyDescent="0.35">
      <c r="A182" s="36"/>
      <c r="B182" s="36"/>
      <c r="C182" s="36"/>
      <c r="D182" s="86"/>
      <c r="E182" s="89" t="s">
        <v>194</v>
      </c>
      <c r="F182" s="36"/>
      <c r="G182" s="36"/>
      <c r="H182" s="58"/>
      <c r="I182" s="58"/>
      <c r="J182" s="58"/>
      <c r="K182" s="58"/>
      <c r="L182" s="58"/>
      <c r="M182" s="58"/>
      <c r="N182" s="58"/>
      <c r="O182" s="36"/>
    </row>
    <row r="183" spans="1:15" x14ac:dyDescent="0.35">
      <c r="A183" s="36"/>
      <c r="B183" s="36"/>
      <c r="C183" s="36"/>
      <c r="D183" s="36"/>
      <c r="E183" s="36"/>
      <c r="F183" s="90" t="s">
        <v>132</v>
      </c>
      <c r="G183" s="90" t="s">
        <v>195</v>
      </c>
      <c r="H183" s="31" t="s">
        <v>196</v>
      </c>
      <c r="I183" s="105"/>
      <c r="J183" s="105"/>
      <c r="K183" s="105"/>
      <c r="L183" s="105"/>
      <c r="M183" s="105"/>
      <c r="N183" s="58"/>
      <c r="O183" s="36"/>
    </row>
    <row r="184" spans="1:15" x14ac:dyDescent="0.35">
      <c r="A184" s="36"/>
      <c r="B184" s="36"/>
      <c r="C184" s="36"/>
      <c r="D184" s="36"/>
      <c r="E184" s="36"/>
      <c r="F184" s="92" t="s">
        <v>134</v>
      </c>
      <c r="G184" s="92" t="s">
        <v>195</v>
      </c>
      <c r="H184" s="24" t="s">
        <v>197</v>
      </c>
      <c r="I184" s="105"/>
      <c r="J184" s="105"/>
      <c r="K184" s="105"/>
      <c r="L184" s="105"/>
      <c r="M184" s="105"/>
      <c r="N184" s="58"/>
      <c r="O184" s="36"/>
    </row>
    <row r="185" spans="1:15" x14ac:dyDescent="0.35">
      <c r="A185" s="36"/>
      <c r="B185" s="36"/>
      <c r="C185" s="36"/>
      <c r="D185" s="36"/>
      <c r="E185" s="36"/>
      <c r="F185" s="92" t="s">
        <v>136</v>
      </c>
      <c r="G185" s="92" t="s">
        <v>195</v>
      </c>
      <c r="H185" s="24" t="s">
        <v>198</v>
      </c>
      <c r="I185" s="105"/>
      <c r="J185" s="105"/>
      <c r="K185" s="105"/>
      <c r="L185" s="105"/>
      <c r="M185" s="105"/>
      <c r="N185" s="58"/>
      <c r="O185" s="36"/>
    </row>
    <row r="186" spans="1:15" x14ac:dyDescent="0.35">
      <c r="A186" s="36"/>
      <c r="B186" s="36"/>
      <c r="C186" s="36"/>
      <c r="D186" s="36"/>
      <c r="E186" s="36"/>
      <c r="F186" s="92" t="s">
        <v>138</v>
      </c>
      <c r="G186" s="92" t="s">
        <v>195</v>
      </c>
      <c r="H186" s="24" t="s">
        <v>199</v>
      </c>
      <c r="I186" s="105"/>
      <c r="J186" s="105"/>
      <c r="K186" s="105"/>
      <c r="L186" s="105"/>
      <c r="M186" s="105"/>
      <c r="N186" s="58"/>
      <c r="O186" s="36"/>
    </row>
    <row r="187" spans="1:15" x14ac:dyDescent="0.35">
      <c r="A187" s="36"/>
      <c r="B187" s="36"/>
      <c r="C187" s="36"/>
      <c r="D187" s="36"/>
      <c r="E187" s="36"/>
      <c r="F187" s="94" t="s">
        <v>200</v>
      </c>
      <c r="G187" s="94" t="s">
        <v>195</v>
      </c>
      <c r="H187" s="25" t="s">
        <v>201</v>
      </c>
      <c r="I187" s="105"/>
      <c r="J187" s="105"/>
      <c r="K187" s="105"/>
      <c r="L187" s="105"/>
      <c r="M187" s="105"/>
      <c r="N187" s="58"/>
      <c r="O187" s="36"/>
    </row>
    <row r="188" spans="1:15" x14ac:dyDescent="0.35">
      <c r="A188" s="36"/>
      <c r="B188" s="36"/>
      <c r="C188" s="36"/>
      <c r="D188" s="36"/>
      <c r="E188" s="36"/>
      <c r="F188" s="36"/>
      <c r="G188" s="36"/>
      <c r="H188" s="58"/>
      <c r="I188" s="58"/>
      <c r="J188" s="58"/>
      <c r="K188" s="58"/>
      <c r="L188" s="58"/>
      <c r="M188" s="58"/>
      <c r="N188" s="58"/>
      <c r="O188" s="36"/>
    </row>
    <row r="189" spans="1:15" x14ac:dyDescent="0.35">
      <c r="A189" s="98"/>
      <c r="B189" s="36"/>
      <c r="C189" s="36"/>
      <c r="D189" s="36"/>
      <c r="E189" s="89" t="s">
        <v>202</v>
      </c>
      <c r="F189" s="36"/>
      <c r="G189" s="36"/>
      <c r="H189" s="58"/>
      <c r="I189" s="103" t="s">
        <v>120</v>
      </c>
      <c r="J189" s="103"/>
      <c r="K189" s="103"/>
      <c r="L189" s="103"/>
      <c r="M189" s="103"/>
      <c r="N189" s="103"/>
      <c r="O189" s="92" t="s">
        <v>203</v>
      </c>
    </row>
    <row r="190" spans="1:15" x14ac:dyDescent="0.35">
      <c r="A190" s="36"/>
      <c r="B190" s="36"/>
      <c r="C190" s="36"/>
      <c r="D190" s="36"/>
      <c r="E190" s="36"/>
      <c r="F190" s="90" t="s">
        <v>204</v>
      </c>
      <c r="G190" s="90" t="s">
        <v>195</v>
      </c>
      <c r="H190" s="31" t="s">
        <v>197</v>
      </c>
      <c r="I190" s="105"/>
      <c r="J190" s="105"/>
      <c r="K190" s="105"/>
      <c r="L190" s="105"/>
      <c r="M190" s="105"/>
      <c r="N190" s="58"/>
      <c r="O190" s="36"/>
    </row>
    <row r="191" spans="1:15" x14ac:dyDescent="0.35">
      <c r="A191" s="36"/>
      <c r="B191" s="36"/>
      <c r="C191" s="36"/>
      <c r="D191" s="36"/>
      <c r="E191" s="36"/>
      <c r="F191" s="92" t="s">
        <v>205</v>
      </c>
      <c r="G191" s="92" t="s">
        <v>195</v>
      </c>
      <c r="H191" s="24" t="s">
        <v>196</v>
      </c>
      <c r="I191" s="105"/>
      <c r="J191" s="105"/>
      <c r="K191" s="105"/>
      <c r="L191" s="105"/>
      <c r="M191" s="105"/>
      <c r="N191" s="58"/>
      <c r="O191" s="36"/>
    </row>
    <row r="192" spans="1:15" x14ac:dyDescent="0.35">
      <c r="A192" s="36"/>
      <c r="B192" s="36"/>
      <c r="C192" s="36"/>
      <c r="D192" s="36"/>
      <c r="E192" s="36"/>
      <c r="F192" s="92" t="s">
        <v>206</v>
      </c>
      <c r="G192" s="92" t="s">
        <v>195</v>
      </c>
      <c r="H192" s="24" t="s">
        <v>197</v>
      </c>
      <c r="I192" s="105"/>
      <c r="J192" s="105"/>
      <c r="K192" s="105"/>
      <c r="L192" s="105"/>
      <c r="M192" s="105"/>
      <c r="N192" s="58"/>
      <c r="O192" s="36"/>
    </row>
    <row r="193" spans="1:15" x14ac:dyDescent="0.35">
      <c r="A193" s="36"/>
      <c r="B193" s="36"/>
      <c r="C193" s="36"/>
      <c r="D193" s="36"/>
      <c r="E193" s="36"/>
      <c r="F193" s="92" t="s">
        <v>207</v>
      </c>
      <c r="G193" s="92" t="s">
        <v>195</v>
      </c>
      <c r="H193" s="24" t="s">
        <v>197</v>
      </c>
      <c r="I193" s="105"/>
      <c r="J193" s="105"/>
      <c r="K193" s="105"/>
      <c r="L193" s="105"/>
      <c r="M193" s="105"/>
      <c r="N193" s="58"/>
      <c r="O193" s="36"/>
    </row>
    <row r="194" spans="1:15" x14ac:dyDescent="0.35">
      <c r="A194" s="36"/>
      <c r="B194" s="36"/>
      <c r="C194" s="36"/>
      <c r="D194" s="36"/>
      <c r="E194" s="36"/>
      <c r="F194" s="92" t="s">
        <v>208</v>
      </c>
      <c r="G194" s="92" t="s">
        <v>195</v>
      </c>
      <c r="H194" s="24" t="s">
        <v>197</v>
      </c>
      <c r="I194" s="105"/>
      <c r="J194" s="105"/>
      <c r="K194" s="105"/>
      <c r="L194" s="105"/>
      <c r="M194" s="105"/>
      <c r="N194" s="58"/>
      <c r="O194" s="36"/>
    </row>
    <row r="195" spans="1:15" x14ac:dyDescent="0.35">
      <c r="A195" s="36"/>
      <c r="B195" s="36"/>
      <c r="C195" s="36"/>
      <c r="D195" s="36"/>
      <c r="E195" s="36"/>
      <c r="F195" s="92" t="s">
        <v>209</v>
      </c>
      <c r="G195" s="92" t="s">
        <v>195</v>
      </c>
      <c r="H195" s="24" t="s">
        <v>197</v>
      </c>
      <c r="I195" s="105"/>
      <c r="J195" s="105"/>
      <c r="K195" s="105"/>
      <c r="L195" s="105"/>
      <c r="M195" s="105"/>
      <c r="N195" s="58"/>
      <c r="O195" s="36"/>
    </row>
    <row r="196" spans="1:15" x14ac:dyDescent="0.35">
      <c r="A196" s="36"/>
      <c r="B196" s="36"/>
      <c r="C196" s="36"/>
      <c r="D196" s="36"/>
      <c r="E196" s="36"/>
      <c r="F196" s="92" t="s">
        <v>210</v>
      </c>
      <c r="G196" s="92" t="s">
        <v>195</v>
      </c>
      <c r="H196" s="24" t="s">
        <v>196</v>
      </c>
      <c r="I196" s="105"/>
      <c r="J196" s="105"/>
      <c r="K196" s="105"/>
      <c r="L196" s="105"/>
      <c r="M196" s="105"/>
      <c r="N196" s="58"/>
      <c r="O196" s="36"/>
    </row>
    <row r="197" spans="1:15" x14ac:dyDescent="0.35">
      <c r="A197" s="36"/>
      <c r="B197" s="36"/>
      <c r="C197" s="36"/>
      <c r="D197" s="36"/>
      <c r="E197" s="36"/>
      <c r="F197" s="92" t="s">
        <v>211</v>
      </c>
      <c r="G197" s="92" t="s">
        <v>195</v>
      </c>
      <c r="H197" s="24" t="s">
        <v>197</v>
      </c>
      <c r="I197" s="105"/>
      <c r="J197" s="105"/>
      <c r="K197" s="105"/>
      <c r="L197" s="105"/>
      <c r="M197" s="105"/>
      <c r="N197" s="58"/>
      <c r="O197" s="36"/>
    </row>
    <row r="198" spans="1:15" x14ac:dyDescent="0.35">
      <c r="A198" s="36"/>
      <c r="B198" s="36"/>
      <c r="C198" s="36"/>
      <c r="D198" s="36"/>
      <c r="E198" s="36"/>
      <c r="F198" s="92" t="s">
        <v>212</v>
      </c>
      <c r="G198" s="92" t="s">
        <v>195</v>
      </c>
      <c r="H198" s="24" t="s">
        <v>197</v>
      </c>
      <c r="I198" s="105"/>
      <c r="J198" s="105"/>
      <c r="K198" s="105"/>
      <c r="L198" s="105"/>
      <c r="M198" s="105"/>
      <c r="N198" s="58"/>
      <c r="O198" s="36"/>
    </row>
    <row r="199" spans="1:15" x14ac:dyDescent="0.35">
      <c r="A199" s="36"/>
      <c r="B199" s="36"/>
      <c r="C199" s="36"/>
      <c r="D199" s="36"/>
      <c r="E199" s="36"/>
      <c r="F199" s="92" t="s">
        <v>213</v>
      </c>
      <c r="G199" s="92" t="s">
        <v>195</v>
      </c>
      <c r="H199" s="24" t="s">
        <v>197</v>
      </c>
      <c r="I199" s="105"/>
      <c r="J199" s="105"/>
      <c r="K199" s="105"/>
      <c r="L199" s="105"/>
      <c r="M199" s="105"/>
      <c r="N199" s="58"/>
      <c r="O199" s="36"/>
    </row>
    <row r="200" spans="1:15" x14ac:dyDescent="0.35">
      <c r="A200" s="36"/>
      <c r="B200" s="36"/>
      <c r="C200" s="36"/>
      <c r="D200" s="36"/>
      <c r="E200" s="36"/>
      <c r="F200" s="92" t="s">
        <v>214</v>
      </c>
      <c r="G200" s="92" t="s">
        <v>195</v>
      </c>
      <c r="H200" s="24" t="s">
        <v>197</v>
      </c>
      <c r="I200" s="105"/>
      <c r="J200" s="105"/>
      <c r="K200" s="105"/>
      <c r="L200" s="105"/>
      <c r="M200" s="105"/>
      <c r="N200" s="58"/>
      <c r="O200" s="36"/>
    </row>
    <row r="201" spans="1:15" x14ac:dyDescent="0.35">
      <c r="A201" s="36"/>
      <c r="B201" s="36"/>
      <c r="C201" s="36"/>
      <c r="D201" s="36"/>
      <c r="E201" s="36"/>
      <c r="F201" s="92" t="s">
        <v>215</v>
      </c>
      <c r="G201" s="92" t="s">
        <v>195</v>
      </c>
      <c r="H201" s="24" t="s">
        <v>197</v>
      </c>
      <c r="I201" s="105"/>
      <c r="J201" s="105"/>
      <c r="K201" s="105"/>
      <c r="L201" s="105"/>
      <c r="M201" s="105"/>
      <c r="N201" s="58"/>
      <c r="O201" s="36"/>
    </row>
    <row r="202" spans="1:15" x14ac:dyDescent="0.35">
      <c r="A202" s="36"/>
      <c r="B202" s="36"/>
      <c r="C202" s="36"/>
      <c r="D202" s="36"/>
      <c r="E202" s="36"/>
      <c r="F202" s="92" t="s">
        <v>216</v>
      </c>
      <c r="G202" s="92" t="s">
        <v>195</v>
      </c>
      <c r="H202" s="24" t="s">
        <v>197</v>
      </c>
      <c r="I202" s="105"/>
      <c r="J202" s="105"/>
      <c r="K202" s="105"/>
      <c r="L202" s="105"/>
      <c r="M202" s="105"/>
      <c r="N202" s="58"/>
      <c r="O202" s="36"/>
    </row>
    <row r="203" spans="1:15" x14ac:dyDescent="0.35">
      <c r="A203" s="36"/>
      <c r="B203" s="36"/>
      <c r="C203" s="36"/>
      <c r="D203" s="36"/>
      <c r="E203" s="36"/>
      <c r="F203" s="92" t="s">
        <v>217</v>
      </c>
      <c r="G203" s="92" t="s">
        <v>195</v>
      </c>
      <c r="H203" s="24" t="s">
        <v>199</v>
      </c>
      <c r="I203" s="105"/>
      <c r="J203" s="105"/>
      <c r="K203" s="105"/>
      <c r="L203" s="105"/>
      <c r="M203" s="105"/>
      <c r="N203" s="58"/>
      <c r="O203" s="36"/>
    </row>
    <row r="204" spans="1:15" x14ac:dyDescent="0.35">
      <c r="A204" s="36"/>
      <c r="B204" s="36"/>
      <c r="C204" s="36"/>
      <c r="D204" s="36"/>
      <c r="E204" s="36"/>
      <c r="F204" s="92" t="s">
        <v>218</v>
      </c>
      <c r="G204" s="92" t="s">
        <v>195</v>
      </c>
      <c r="H204" s="24" t="s">
        <v>199</v>
      </c>
      <c r="I204" s="105"/>
      <c r="J204" s="105"/>
      <c r="K204" s="105"/>
      <c r="L204" s="105"/>
      <c r="M204" s="105"/>
      <c r="N204" s="58"/>
      <c r="O204" s="36"/>
    </row>
    <row r="205" spans="1:15" x14ac:dyDescent="0.35">
      <c r="A205" s="36"/>
      <c r="B205" s="36"/>
      <c r="C205" s="36"/>
      <c r="D205" s="36"/>
      <c r="E205" s="36"/>
      <c r="F205" s="92" t="s">
        <v>219</v>
      </c>
      <c r="G205" s="92" t="s">
        <v>195</v>
      </c>
      <c r="H205" s="24" t="s">
        <v>199</v>
      </c>
      <c r="I205" s="105"/>
      <c r="J205" s="105"/>
      <c r="K205" s="105"/>
      <c r="L205" s="105"/>
      <c r="M205" s="105"/>
      <c r="N205" s="58"/>
      <c r="O205" s="36"/>
    </row>
    <row r="206" spans="1:15" x14ac:dyDescent="0.35">
      <c r="A206" s="36"/>
      <c r="B206" s="36"/>
      <c r="C206" s="36"/>
      <c r="D206" s="36"/>
      <c r="E206" s="36"/>
      <c r="F206" s="92" t="s">
        <v>220</v>
      </c>
      <c r="G206" s="92" t="s">
        <v>195</v>
      </c>
      <c r="H206" s="24" t="s">
        <v>199</v>
      </c>
      <c r="I206" s="105"/>
      <c r="J206" s="105"/>
      <c r="K206" s="105"/>
      <c r="L206" s="105"/>
      <c r="M206" s="105"/>
      <c r="N206" s="58"/>
      <c r="O206" s="36"/>
    </row>
    <row r="207" spans="1:15" x14ac:dyDescent="0.35">
      <c r="A207" s="36"/>
      <c r="B207" s="36"/>
      <c r="C207" s="36"/>
      <c r="D207" s="36"/>
      <c r="E207" s="36"/>
      <c r="F207" s="92" t="s">
        <v>221</v>
      </c>
      <c r="G207" s="92" t="s">
        <v>195</v>
      </c>
      <c r="H207" s="24" t="s">
        <v>199</v>
      </c>
      <c r="I207" s="105"/>
      <c r="J207" s="105"/>
      <c r="K207" s="105"/>
      <c r="L207" s="105"/>
      <c r="M207" s="105"/>
      <c r="N207" s="58"/>
      <c r="O207" s="36"/>
    </row>
    <row r="208" spans="1:15" x14ac:dyDescent="0.35">
      <c r="A208" s="36"/>
      <c r="B208" s="36"/>
      <c r="C208" s="36"/>
      <c r="D208" s="36"/>
      <c r="E208" s="36"/>
      <c r="F208" s="92" t="s">
        <v>222</v>
      </c>
      <c r="G208" s="92" t="s">
        <v>195</v>
      </c>
      <c r="H208" s="24" t="s">
        <v>199</v>
      </c>
      <c r="I208" s="105"/>
      <c r="J208" s="105"/>
      <c r="K208" s="105"/>
      <c r="L208" s="105"/>
      <c r="M208" s="105"/>
      <c r="N208" s="58"/>
      <c r="O208" s="36"/>
    </row>
    <row r="209" spans="1:15" x14ac:dyDescent="0.35">
      <c r="A209" s="36"/>
      <c r="B209" s="36"/>
      <c r="C209" s="36"/>
      <c r="D209" s="36"/>
      <c r="E209" s="36"/>
      <c r="F209" s="92" t="s">
        <v>223</v>
      </c>
      <c r="G209" s="92" t="s">
        <v>195</v>
      </c>
      <c r="H209" s="24" t="s">
        <v>199</v>
      </c>
      <c r="I209" s="105"/>
      <c r="J209" s="105"/>
      <c r="K209" s="105"/>
      <c r="L209" s="105"/>
      <c r="M209" s="105"/>
      <c r="N209" s="58"/>
      <c r="O209" s="36"/>
    </row>
    <row r="210" spans="1:15" x14ac:dyDescent="0.35">
      <c r="A210" s="36"/>
      <c r="B210" s="36"/>
      <c r="C210" s="36"/>
      <c r="D210" s="36"/>
      <c r="E210" s="36"/>
      <c r="F210" s="92" t="s">
        <v>224</v>
      </c>
      <c r="G210" s="92" t="s">
        <v>195</v>
      </c>
      <c r="H210" s="24" t="s">
        <v>199</v>
      </c>
      <c r="I210" s="105"/>
      <c r="J210" s="105"/>
      <c r="K210" s="105"/>
      <c r="L210" s="105"/>
      <c r="M210" s="105"/>
      <c r="N210" s="58"/>
      <c r="O210" s="36"/>
    </row>
    <row r="211" spans="1:15" x14ac:dyDescent="0.35">
      <c r="A211" s="36"/>
      <c r="B211" s="36"/>
      <c r="C211" s="36"/>
      <c r="D211" s="36"/>
      <c r="E211" s="36"/>
      <c r="F211" s="92" t="s">
        <v>225</v>
      </c>
      <c r="G211" s="92" t="s">
        <v>195</v>
      </c>
      <c r="H211" s="24" t="s">
        <v>199</v>
      </c>
      <c r="I211" s="105"/>
      <c r="J211" s="105"/>
      <c r="K211" s="105"/>
      <c r="L211" s="105"/>
      <c r="M211" s="105"/>
      <c r="N211" s="58"/>
      <c r="O211" s="36"/>
    </row>
    <row r="212" spans="1:15" x14ac:dyDescent="0.35">
      <c r="A212" s="36"/>
      <c r="B212" s="36"/>
      <c r="C212" s="36"/>
      <c r="D212" s="36"/>
      <c r="E212" s="36"/>
      <c r="F212" s="92" t="s">
        <v>226</v>
      </c>
      <c r="G212" s="92" t="s">
        <v>195</v>
      </c>
      <c r="H212" s="24" t="s">
        <v>199</v>
      </c>
      <c r="I212" s="105"/>
      <c r="J212" s="105"/>
      <c r="K212" s="105"/>
      <c r="L212" s="105"/>
      <c r="M212" s="105"/>
      <c r="N212" s="58"/>
      <c r="O212" s="36"/>
    </row>
    <row r="213" spans="1:15" x14ac:dyDescent="0.35">
      <c r="A213" s="36"/>
      <c r="B213" s="36"/>
      <c r="C213" s="36"/>
      <c r="D213" s="36"/>
      <c r="E213" s="36"/>
      <c r="F213" s="92" t="s">
        <v>227</v>
      </c>
      <c r="G213" s="92" t="s">
        <v>195</v>
      </c>
      <c r="H213" s="24" t="s">
        <v>199</v>
      </c>
      <c r="I213" s="105"/>
      <c r="J213" s="105"/>
      <c r="K213" s="105"/>
      <c r="L213" s="105"/>
      <c r="M213" s="105"/>
      <c r="N213" s="58"/>
      <c r="O213" s="36"/>
    </row>
    <row r="214" spans="1:15" x14ac:dyDescent="0.35">
      <c r="A214" s="36"/>
      <c r="B214" s="36"/>
      <c r="C214" s="36"/>
      <c r="D214" s="36"/>
      <c r="E214" s="36"/>
      <c r="F214" s="92" t="s">
        <v>228</v>
      </c>
      <c r="G214" s="92" t="s">
        <v>195</v>
      </c>
      <c r="H214" s="24" t="s">
        <v>199</v>
      </c>
      <c r="I214" s="105"/>
      <c r="J214" s="105"/>
      <c r="K214" s="105"/>
      <c r="L214" s="105"/>
      <c r="M214" s="105"/>
      <c r="N214" s="58"/>
      <c r="O214" s="36"/>
    </row>
    <row r="215" spans="1:15" x14ac:dyDescent="0.35">
      <c r="A215" s="36"/>
      <c r="B215" s="36"/>
      <c r="C215" s="36"/>
      <c r="D215" s="36"/>
      <c r="E215" s="36"/>
      <c r="F215" s="92" t="s">
        <v>229</v>
      </c>
      <c r="G215" s="92" t="s">
        <v>195</v>
      </c>
      <c r="H215" s="24" t="s">
        <v>198</v>
      </c>
      <c r="I215" s="105"/>
      <c r="J215" s="105"/>
      <c r="K215" s="105"/>
      <c r="L215" s="105"/>
      <c r="M215" s="105"/>
      <c r="N215" s="58"/>
      <c r="O215" s="36"/>
    </row>
    <row r="216" spans="1:15" x14ac:dyDescent="0.35">
      <c r="A216" s="36"/>
      <c r="B216" s="36"/>
      <c r="C216" s="36"/>
      <c r="D216" s="36"/>
      <c r="E216" s="36"/>
      <c r="F216" s="92" t="s">
        <v>230</v>
      </c>
      <c r="G216" s="92" t="s">
        <v>195</v>
      </c>
      <c r="H216" s="24" t="s">
        <v>198</v>
      </c>
      <c r="I216" s="105"/>
      <c r="J216" s="105"/>
      <c r="K216" s="105"/>
      <c r="L216" s="105"/>
      <c r="M216" s="105"/>
      <c r="N216" s="58"/>
      <c r="O216" s="36"/>
    </row>
    <row r="217" spans="1:15" x14ac:dyDescent="0.35">
      <c r="A217" s="36"/>
      <c r="B217" s="36"/>
      <c r="C217" s="36"/>
      <c r="D217" s="36"/>
      <c r="E217" s="36"/>
      <c r="F217" s="92" t="s">
        <v>231</v>
      </c>
      <c r="G217" s="92" t="s">
        <v>195</v>
      </c>
      <c r="H217" s="24" t="s">
        <v>199</v>
      </c>
      <c r="I217" s="105"/>
      <c r="J217" s="105"/>
      <c r="K217" s="105"/>
      <c r="L217" s="105"/>
      <c r="M217" s="105"/>
      <c r="N217" s="58"/>
      <c r="O217" s="36"/>
    </row>
    <row r="218" spans="1:15" x14ac:dyDescent="0.35">
      <c r="A218" s="36"/>
      <c r="B218" s="36"/>
      <c r="C218" s="36"/>
      <c r="D218" s="36"/>
      <c r="E218" s="36"/>
      <c r="F218" s="92" t="s">
        <v>232</v>
      </c>
      <c r="G218" s="92" t="s">
        <v>195</v>
      </c>
      <c r="H218" s="24" t="s">
        <v>199</v>
      </c>
      <c r="I218" s="105"/>
      <c r="J218" s="105"/>
      <c r="K218" s="105"/>
      <c r="L218" s="105"/>
      <c r="M218" s="105"/>
      <c r="N218" s="58"/>
      <c r="O218" s="36"/>
    </row>
    <row r="219" spans="1:15" x14ac:dyDescent="0.35">
      <c r="A219" s="36"/>
      <c r="B219" s="36"/>
      <c r="C219" s="36"/>
      <c r="D219" s="36"/>
      <c r="E219" s="36"/>
      <c r="F219" s="92" t="s">
        <v>233</v>
      </c>
      <c r="G219" s="92" t="s">
        <v>195</v>
      </c>
      <c r="H219" s="24" t="s">
        <v>199</v>
      </c>
      <c r="I219" s="105"/>
      <c r="J219" s="105"/>
      <c r="K219" s="105"/>
      <c r="L219" s="105"/>
      <c r="M219" s="105"/>
      <c r="N219" s="58"/>
      <c r="O219" s="36"/>
    </row>
    <row r="220" spans="1:15" x14ac:dyDescent="0.35">
      <c r="A220" s="36"/>
      <c r="B220" s="36"/>
      <c r="C220" s="36"/>
      <c r="D220" s="36"/>
      <c r="E220" s="36"/>
      <c r="F220" s="92" t="s">
        <v>234</v>
      </c>
      <c r="G220" s="92" t="s">
        <v>195</v>
      </c>
      <c r="H220" s="24" t="s">
        <v>199</v>
      </c>
      <c r="I220" s="105"/>
      <c r="J220" s="105"/>
      <c r="K220" s="105"/>
      <c r="L220" s="105"/>
      <c r="M220" s="105"/>
      <c r="N220" s="58"/>
      <c r="O220" s="36"/>
    </row>
    <row r="221" spans="1:15" x14ac:dyDescent="0.35">
      <c r="A221" s="36"/>
      <c r="B221" s="36"/>
      <c r="C221" s="36"/>
      <c r="D221" s="36"/>
      <c r="E221" s="36"/>
      <c r="F221" s="92" t="s">
        <v>235</v>
      </c>
      <c r="G221" s="92" t="s">
        <v>195</v>
      </c>
      <c r="H221" s="24" t="s">
        <v>199</v>
      </c>
      <c r="I221" s="105"/>
      <c r="J221" s="105"/>
      <c r="K221" s="105"/>
      <c r="L221" s="105"/>
      <c r="M221" s="105"/>
      <c r="N221" s="58"/>
      <c r="O221" s="36"/>
    </row>
    <row r="222" spans="1:15" x14ac:dyDescent="0.35">
      <c r="A222" s="36"/>
      <c r="B222" s="36"/>
      <c r="C222" s="36"/>
      <c r="D222" s="36"/>
      <c r="E222" s="36"/>
      <c r="F222" s="92" t="s">
        <v>236</v>
      </c>
      <c r="G222" s="92" t="s">
        <v>195</v>
      </c>
      <c r="H222" s="24" t="s">
        <v>198</v>
      </c>
      <c r="I222" s="105"/>
      <c r="J222" s="105"/>
      <c r="K222" s="105"/>
      <c r="L222" s="105"/>
      <c r="M222" s="105"/>
      <c r="N222" s="58"/>
      <c r="O222" s="36"/>
    </row>
    <row r="223" spans="1:15" x14ac:dyDescent="0.35">
      <c r="A223" s="36"/>
      <c r="B223" s="36"/>
      <c r="C223" s="36"/>
      <c r="D223" s="36"/>
      <c r="E223" s="36"/>
      <c r="F223" s="92" t="s">
        <v>237</v>
      </c>
      <c r="G223" s="92" t="s">
        <v>195</v>
      </c>
      <c r="H223" s="24" t="s">
        <v>198</v>
      </c>
      <c r="I223" s="105"/>
      <c r="J223" s="105"/>
      <c r="K223" s="105"/>
      <c r="L223" s="105"/>
      <c r="M223" s="105"/>
      <c r="N223" s="58"/>
      <c r="O223" s="36"/>
    </row>
    <row r="224" spans="1:15" x14ac:dyDescent="0.35">
      <c r="A224" s="36"/>
      <c r="B224" s="36"/>
      <c r="C224" s="36"/>
      <c r="D224" s="36"/>
      <c r="E224" s="36"/>
      <c r="F224" s="92" t="s">
        <v>238</v>
      </c>
      <c r="G224" s="92" t="s">
        <v>195</v>
      </c>
      <c r="H224" s="24" t="s">
        <v>199</v>
      </c>
      <c r="I224" s="105"/>
      <c r="J224" s="105"/>
      <c r="K224" s="105"/>
      <c r="L224" s="105"/>
      <c r="M224" s="105"/>
      <c r="N224" s="58"/>
      <c r="O224" s="36"/>
    </row>
    <row r="225" spans="1:15" x14ac:dyDescent="0.35">
      <c r="A225" s="36"/>
      <c r="B225" s="36"/>
      <c r="C225" s="36"/>
      <c r="D225" s="36"/>
      <c r="E225" s="36"/>
      <c r="F225" s="92" t="s">
        <v>239</v>
      </c>
      <c r="G225" s="92" t="s">
        <v>195</v>
      </c>
      <c r="H225" s="24" t="s">
        <v>199</v>
      </c>
      <c r="I225" s="105"/>
      <c r="J225" s="105"/>
      <c r="K225" s="105"/>
      <c r="L225" s="105"/>
      <c r="M225" s="105"/>
      <c r="N225" s="58"/>
      <c r="O225" s="36"/>
    </row>
    <row r="226" spans="1:15" x14ac:dyDescent="0.35">
      <c r="A226" s="36"/>
      <c r="B226" s="36"/>
      <c r="C226" s="36"/>
      <c r="D226" s="36"/>
      <c r="E226" s="36"/>
      <c r="F226" s="92" t="s">
        <v>240</v>
      </c>
      <c r="G226" s="92" t="s">
        <v>195</v>
      </c>
      <c r="H226" s="24" t="s">
        <v>198</v>
      </c>
      <c r="I226" s="105"/>
      <c r="J226" s="105"/>
      <c r="K226" s="105"/>
      <c r="L226" s="105"/>
      <c r="M226" s="105"/>
      <c r="N226" s="58"/>
      <c r="O226" s="36"/>
    </row>
    <row r="227" spans="1:15" x14ac:dyDescent="0.35">
      <c r="A227" s="36"/>
      <c r="B227" s="36"/>
      <c r="C227" s="36"/>
      <c r="D227" s="36"/>
      <c r="E227" s="36"/>
      <c r="F227" s="92" t="s">
        <v>241</v>
      </c>
      <c r="G227" s="92" t="s">
        <v>195</v>
      </c>
      <c r="H227" s="24" t="s">
        <v>198</v>
      </c>
      <c r="I227" s="105"/>
      <c r="J227" s="105"/>
      <c r="K227" s="105"/>
      <c r="L227" s="105"/>
      <c r="M227" s="105"/>
      <c r="N227" s="58"/>
      <c r="O227" s="36"/>
    </row>
    <row r="228" spans="1:15" x14ac:dyDescent="0.35">
      <c r="A228" s="36"/>
      <c r="B228" s="36"/>
      <c r="C228" s="36"/>
      <c r="D228" s="36"/>
      <c r="E228" s="36"/>
      <c r="F228" s="92" t="s">
        <v>242</v>
      </c>
      <c r="G228" s="92" t="s">
        <v>195</v>
      </c>
      <c r="H228" s="24" t="s">
        <v>198</v>
      </c>
      <c r="I228" s="105"/>
      <c r="J228" s="105"/>
      <c r="K228" s="105"/>
      <c r="L228" s="105"/>
      <c r="M228" s="105"/>
      <c r="N228" s="58"/>
      <c r="O228" s="36"/>
    </row>
    <row r="229" spans="1:15" x14ac:dyDescent="0.35">
      <c r="A229" s="36"/>
      <c r="B229" s="36"/>
      <c r="C229" s="36"/>
      <c r="D229" s="36"/>
      <c r="E229" s="36"/>
      <c r="F229" s="92" t="s">
        <v>243</v>
      </c>
      <c r="G229" s="92" t="s">
        <v>195</v>
      </c>
      <c r="H229" s="24" t="s">
        <v>198</v>
      </c>
      <c r="I229" s="105"/>
      <c r="J229" s="105"/>
      <c r="K229" s="105"/>
      <c r="L229" s="105"/>
      <c r="M229" s="105"/>
      <c r="N229" s="58"/>
      <c r="O229" s="36"/>
    </row>
    <row r="230" spans="1:15" x14ac:dyDescent="0.35">
      <c r="A230" s="36"/>
      <c r="B230" s="36"/>
      <c r="C230" s="36"/>
      <c r="D230" s="36"/>
      <c r="E230" s="36"/>
      <c r="F230" s="92" t="s">
        <v>244</v>
      </c>
      <c r="G230" s="92" t="s">
        <v>195</v>
      </c>
      <c r="H230" s="24" t="s">
        <v>201</v>
      </c>
      <c r="I230" s="105"/>
      <c r="J230" s="105"/>
      <c r="K230" s="105"/>
      <c r="L230" s="105"/>
      <c r="M230" s="105"/>
      <c r="N230" s="58"/>
      <c r="O230" s="36"/>
    </row>
    <row r="231" spans="1:15" x14ac:dyDescent="0.35">
      <c r="A231" s="36"/>
      <c r="B231" s="36"/>
      <c r="C231" s="36"/>
      <c r="D231" s="36"/>
      <c r="E231" s="36"/>
      <c r="F231" s="92" t="s">
        <v>245</v>
      </c>
      <c r="G231" s="92" t="s">
        <v>195</v>
      </c>
      <c r="H231" s="24" t="s">
        <v>201</v>
      </c>
      <c r="I231" s="105"/>
      <c r="J231" s="105"/>
      <c r="K231" s="105"/>
      <c r="L231" s="105"/>
      <c r="M231" s="105"/>
      <c r="N231" s="58"/>
      <c r="O231" s="36"/>
    </row>
    <row r="232" spans="1:15" x14ac:dyDescent="0.35">
      <c r="A232" s="36"/>
      <c r="B232" s="36"/>
      <c r="C232" s="36"/>
      <c r="D232" s="36"/>
      <c r="E232" s="36"/>
      <c r="F232" s="92" t="s">
        <v>246</v>
      </c>
      <c r="G232" s="92" t="s">
        <v>195</v>
      </c>
      <c r="H232" s="24" t="s">
        <v>201</v>
      </c>
      <c r="I232" s="105"/>
      <c r="J232" s="105"/>
      <c r="K232" s="105"/>
      <c r="L232" s="105"/>
      <c r="M232" s="105"/>
      <c r="N232" s="58"/>
      <c r="O232" s="36"/>
    </row>
    <row r="233" spans="1:15" x14ac:dyDescent="0.35">
      <c r="A233" s="36"/>
      <c r="B233" s="36"/>
      <c r="C233" s="36"/>
      <c r="D233" s="36"/>
      <c r="E233" s="36"/>
      <c r="F233" s="92" t="s">
        <v>247</v>
      </c>
      <c r="G233" s="92" t="s">
        <v>195</v>
      </c>
      <c r="H233" s="24" t="s">
        <v>201</v>
      </c>
      <c r="I233" s="105"/>
      <c r="J233" s="105"/>
      <c r="K233" s="105"/>
      <c r="L233" s="105"/>
      <c r="M233" s="105"/>
      <c r="N233" s="58"/>
      <c r="O233" s="36"/>
    </row>
    <row r="234" spans="1:15" x14ac:dyDescent="0.35">
      <c r="A234" s="36"/>
      <c r="B234" s="36"/>
      <c r="C234" s="36"/>
      <c r="D234" s="36"/>
      <c r="E234" s="36"/>
      <c r="F234" s="92" t="s">
        <v>248</v>
      </c>
      <c r="G234" s="92" t="s">
        <v>195</v>
      </c>
      <c r="H234" s="24" t="s">
        <v>201</v>
      </c>
      <c r="I234" s="105"/>
      <c r="J234" s="105"/>
      <c r="K234" s="105"/>
      <c r="L234" s="105"/>
      <c r="M234" s="105"/>
      <c r="N234" s="58"/>
      <c r="O234" s="36"/>
    </row>
    <row r="235" spans="1:15" x14ac:dyDescent="0.35">
      <c r="A235" s="36"/>
      <c r="B235" s="36"/>
      <c r="C235" s="36"/>
      <c r="D235" s="36"/>
      <c r="E235" s="36"/>
      <c r="F235" s="92" t="s">
        <v>249</v>
      </c>
      <c r="G235" s="92" t="s">
        <v>195</v>
      </c>
      <c r="H235" s="24" t="s">
        <v>201</v>
      </c>
      <c r="I235" s="105"/>
      <c r="J235" s="105"/>
      <c r="K235" s="105"/>
      <c r="L235" s="105"/>
      <c r="M235" s="105"/>
      <c r="N235" s="58"/>
      <c r="O235" s="36"/>
    </row>
    <row r="236" spans="1:15" x14ac:dyDescent="0.35">
      <c r="A236" s="36"/>
      <c r="B236" s="36"/>
      <c r="C236" s="36"/>
      <c r="D236" s="36"/>
      <c r="E236" s="36"/>
      <c r="F236" s="92" t="s">
        <v>250</v>
      </c>
      <c r="G236" s="92" t="s">
        <v>195</v>
      </c>
      <c r="H236" s="24" t="s">
        <v>201</v>
      </c>
      <c r="I236" s="105"/>
      <c r="J236" s="105"/>
      <c r="K236" s="105"/>
      <c r="L236" s="105"/>
      <c r="M236" s="105"/>
      <c r="N236" s="58"/>
      <c r="O236" s="36"/>
    </row>
    <row r="237" spans="1:15" x14ac:dyDescent="0.35">
      <c r="A237" s="36"/>
      <c r="B237" s="36"/>
      <c r="C237" s="36"/>
      <c r="D237" s="36"/>
      <c r="E237" s="36"/>
      <c r="F237" s="92" t="s">
        <v>251</v>
      </c>
      <c r="G237" s="92" t="s">
        <v>195</v>
      </c>
      <c r="H237" s="24" t="s">
        <v>201</v>
      </c>
      <c r="I237" s="105"/>
      <c r="J237" s="105"/>
      <c r="K237" s="105"/>
      <c r="L237" s="105"/>
      <c r="M237" s="105"/>
      <c r="N237" s="58"/>
      <c r="O237" s="36"/>
    </row>
    <row r="238" spans="1:15" x14ac:dyDescent="0.35">
      <c r="A238" s="36"/>
      <c r="B238" s="36"/>
      <c r="C238" s="36"/>
      <c r="D238" s="36"/>
      <c r="E238" s="36"/>
      <c r="F238" s="92" t="s">
        <v>252</v>
      </c>
      <c r="G238" s="92" t="s">
        <v>195</v>
      </c>
      <c r="H238" s="24" t="s">
        <v>201</v>
      </c>
      <c r="I238" s="105"/>
      <c r="J238" s="105"/>
      <c r="K238" s="105"/>
      <c r="L238" s="105"/>
      <c r="M238" s="105"/>
      <c r="N238" s="58"/>
      <c r="O238" s="36"/>
    </row>
    <row r="239" spans="1:15" x14ac:dyDescent="0.35">
      <c r="A239" s="36"/>
      <c r="B239" s="36"/>
      <c r="C239" s="36"/>
      <c r="D239" s="36"/>
      <c r="E239" s="36"/>
      <c r="F239" s="92" t="s">
        <v>253</v>
      </c>
      <c r="G239" s="92" t="s">
        <v>195</v>
      </c>
      <c r="H239" s="24" t="s">
        <v>201</v>
      </c>
      <c r="I239" s="105"/>
      <c r="J239" s="105"/>
      <c r="K239" s="105"/>
      <c r="L239" s="105"/>
      <c r="M239" s="105"/>
      <c r="N239" s="58"/>
      <c r="O239" s="36"/>
    </row>
    <row r="240" spans="1:15" x14ac:dyDescent="0.35">
      <c r="A240" s="36"/>
      <c r="B240" s="36"/>
      <c r="C240" s="36"/>
      <c r="D240" s="36"/>
      <c r="E240" s="36"/>
      <c r="F240" s="92" t="s">
        <v>254</v>
      </c>
      <c r="G240" s="92" t="s">
        <v>195</v>
      </c>
      <c r="H240" s="24" t="s">
        <v>201</v>
      </c>
      <c r="I240" s="105"/>
      <c r="J240" s="105"/>
      <c r="K240" s="105"/>
      <c r="L240" s="105"/>
      <c r="M240" s="105"/>
      <c r="N240" s="58"/>
      <c r="O240" s="36"/>
    </row>
    <row r="241" spans="1:15" x14ac:dyDescent="0.35">
      <c r="A241" s="36"/>
      <c r="B241" s="36"/>
      <c r="C241" s="36"/>
      <c r="D241" s="36"/>
      <c r="E241" s="36"/>
      <c r="F241" s="92" t="s">
        <v>255</v>
      </c>
      <c r="G241" s="92" t="s">
        <v>195</v>
      </c>
      <c r="H241" s="24" t="s">
        <v>201</v>
      </c>
      <c r="I241" s="105"/>
      <c r="J241" s="105"/>
      <c r="K241" s="105"/>
      <c r="L241" s="105"/>
      <c r="M241" s="105"/>
      <c r="N241" s="58"/>
      <c r="O241" s="36"/>
    </row>
    <row r="242" spans="1:15" x14ac:dyDescent="0.35">
      <c r="A242" s="36"/>
      <c r="B242" s="36"/>
      <c r="C242" s="36"/>
      <c r="D242" s="36"/>
      <c r="E242" s="36"/>
      <c r="F242" s="92" t="s">
        <v>256</v>
      </c>
      <c r="G242" s="92" t="s">
        <v>195</v>
      </c>
      <c r="H242" s="24" t="s">
        <v>201</v>
      </c>
      <c r="I242" s="105"/>
      <c r="J242" s="105"/>
      <c r="K242" s="105"/>
      <c r="L242" s="105"/>
      <c r="M242" s="105"/>
      <c r="N242" s="58"/>
      <c r="O242" s="36"/>
    </row>
    <row r="243" spans="1:15" x14ac:dyDescent="0.35">
      <c r="A243" s="36"/>
      <c r="B243" s="36"/>
      <c r="C243" s="36"/>
      <c r="D243" s="36"/>
      <c r="E243" s="36"/>
      <c r="F243" s="92" t="s">
        <v>257</v>
      </c>
      <c r="G243" s="92" t="s">
        <v>195</v>
      </c>
      <c r="H243" s="24" t="s">
        <v>201</v>
      </c>
      <c r="I243" s="105"/>
      <c r="J243" s="105"/>
      <c r="K243" s="105"/>
      <c r="L243" s="105"/>
      <c r="M243" s="105"/>
      <c r="N243" s="58"/>
      <c r="O243" s="36"/>
    </row>
    <row r="244" spans="1:15" x14ac:dyDescent="0.35">
      <c r="A244" s="36"/>
      <c r="B244" s="36"/>
      <c r="C244" s="36"/>
      <c r="D244" s="36"/>
      <c r="E244" s="36"/>
      <c r="F244" s="92" t="s">
        <v>258</v>
      </c>
      <c r="G244" s="92" t="s">
        <v>195</v>
      </c>
      <c r="H244" s="24" t="s">
        <v>201</v>
      </c>
      <c r="I244" s="105"/>
      <c r="J244" s="105"/>
      <c r="K244" s="105"/>
      <c r="L244" s="105"/>
      <c r="M244" s="105"/>
      <c r="N244" s="58"/>
      <c r="O244" s="36"/>
    </row>
    <row r="245" spans="1:15" x14ac:dyDescent="0.35">
      <c r="A245" s="36"/>
      <c r="B245" s="36"/>
      <c r="C245" s="36"/>
      <c r="D245" s="36"/>
      <c r="E245" s="36"/>
      <c r="F245" s="92" t="s">
        <v>259</v>
      </c>
      <c r="G245" s="92" t="s">
        <v>195</v>
      </c>
      <c r="H245" s="24" t="s">
        <v>201</v>
      </c>
      <c r="I245" s="105"/>
      <c r="J245" s="105"/>
      <c r="K245" s="105"/>
      <c r="L245" s="105"/>
      <c r="M245" s="105"/>
      <c r="N245" s="58"/>
      <c r="O245" s="36"/>
    </row>
    <row r="246" spans="1:15" x14ac:dyDescent="0.35">
      <c r="A246" s="36"/>
      <c r="B246" s="36"/>
      <c r="C246" s="36"/>
      <c r="D246" s="36"/>
      <c r="E246" s="36"/>
      <c r="F246" s="92" t="s">
        <v>260</v>
      </c>
      <c r="G246" s="92" t="s">
        <v>195</v>
      </c>
      <c r="H246" s="24" t="s">
        <v>201</v>
      </c>
      <c r="I246" s="105"/>
      <c r="J246" s="105"/>
      <c r="K246" s="105"/>
      <c r="L246" s="105"/>
      <c r="M246" s="105"/>
      <c r="N246" s="58"/>
      <c r="O246" s="36"/>
    </row>
    <row r="247" spans="1:15" x14ac:dyDescent="0.35">
      <c r="A247" s="36"/>
      <c r="B247" s="36"/>
      <c r="C247" s="36"/>
      <c r="D247" s="36"/>
      <c r="E247" s="36"/>
      <c r="F247" s="92" t="s">
        <v>261</v>
      </c>
      <c r="G247" s="92" t="s">
        <v>195</v>
      </c>
      <c r="H247" s="24" t="s">
        <v>201</v>
      </c>
      <c r="I247" s="105"/>
      <c r="J247" s="105"/>
      <c r="K247" s="105"/>
      <c r="L247" s="105"/>
      <c r="M247" s="105"/>
      <c r="N247" s="58"/>
      <c r="O247" s="36"/>
    </row>
    <row r="248" spans="1:15" x14ac:dyDescent="0.35">
      <c r="A248" s="36"/>
      <c r="B248" s="36"/>
      <c r="C248" s="36"/>
      <c r="D248" s="36"/>
      <c r="E248" s="36"/>
      <c r="F248" s="92" t="s">
        <v>262</v>
      </c>
      <c r="G248" s="92" t="s">
        <v>195</v>
      </c>
      <c r="H248" s="24" t="s">
        <v>201</v>
      </c>
      <c r="I248" s="105"/>
      <c r="J248" s="105"/>
      <c r="K248" s="105"/>
      <c r="L248" s="105"/>
      <c r="M248" s="105"/>
      <c r="N248" s="58"/>
      <c r="O248" s="36"/>
    </row>
    <row r="249" spans="1:15" x14ac:dyDescent="0.35">
      <c r="A249" s="36"/>
      <c r="B249" s="36"/>
      <c r="C249" s="36"/>
      <c r="D249" s="36"/>
      <c r="E249" s="36"/>
      <c r="F249" s="92" t="s">
        <v>263</v>
      </c>
      <c r="G249" s="92" t="s">
        <v>195</v>
      </c>
      <c r="H249" s="24" t="s">
        <v>201</v>
      </c>
      <c r="I249" s="105"/>
      <c r="J249" s="105"/>
      <c r="K249" s="105"/>
      <c r="L249" s="105"/>
      <c r="M249" s="105"/>
      <c r="N249" s="58"/>
      <c r="O249" s="36"/>
    </row>
    <row r="250" spans="1:15" x14ac:dyDescent="0.35">
      <c r="A250" s="36"/>
      <c r="B250" s="36"/>
      <c r="C250" s="36"/>
      <c r="D250" s="36"/>
      <c r="E250" s="36"/>
      <c r="F250" s="92" t="s">
        <v>264</v>
      </c>
      <c r="G250" s="92" t="s">
        <v>195</v>
      </c>
      <c r="H250" s="24" t="s">
        <v>201</v>
      </c>
      <c r="I250" s="105"/>
      <c r="J250" s="105"/>
      <c r="K250" s="105"/>
      <c r="L250" s="105"/>
      <c r="M250" s="105"/>
      <c r="N250" s="58"/>
      <c r="O250" s="36"/>
    </row>
    <row r="251" spans="1:15" x14ac:dyDescent="0.35">
      <c r="A251" s="36"/>
      <c r="B251" s="36"/>
      <c r="C251" s="36"/>
      <c r="D251" s="36"/>
      <c r="E251" s="36"/>
      <c r="F251" s="92" t="s">
        <v>265</v>
      </c>
      <c r="G251" s="92" t="s">
        <v>195</v>
      </c>
      <c r="H251" s="24" t="s">
        <v>201</v>
      </c>
      <c r="I251" s="105"/>
      <c r="J251" s="105"/>
      <c r="K251" s="105"/>
      <c r="L251" s="105"/>
      <c r="M251" s="105"/>
      <c r="N251" s="58"/>
      <c r="O251" s="36"/>
    </row>
    <row r="252" spans="1:15" x14ac:dyDescent="0.35">
      <c r="A252" s="36"/>
      <c r="B252" s="36"/>
      <c r="C252" s="36"/>
      <c r="D252" s="36"/>
      <c r="E252" s="36"/>
      <c r="F252" s="92" t="s">
        <v>266</v>
      </c>
      <c r="G252" s="92" t="s">
        <v>195</v>
      </c>
      <c r="H252" s="24" t="s">
        <v>201</v>
      </c>
      <c r="I252" s="105"/>
      <c r="J252" s="105"/>
      <c r="K252" s="105"/>
      <c r="L252" s="105"/>
      <c r="M252" s="105"/>
      <c r="N252" s="58"/>
      <c r="O252" s="36"/>
    </row>
    <row r="253" spans="1:15" x14ac:dyDescent="0.35">
      <c r="A253" s="36"/>
      <c r="B253" s="36"/>
      <c r="C253" s="36"/>
      <c r="D253" s="36"/>
      <c r="E253" s="36"/>
      <c r="F253" s="92" t="s">
        <v>267</v>
      </c>
      <c r="G253" s="92" t="s">
        <v>195</v>
      </c>
      <c r="H253" s="24" t="s">
        <v>201</v>
      </c>
      <c r="I253" s="105"/>
      <c r="J253" s="105"/>
      <c r="K253" s="105"/>
      <c r="L253" s="105"/>
      <c r="M253" s="105"/>
      <c r="N253" s="58"/>
      <c r="O253" s="36"/>
    </row>
    <row r="254" spans="1:15" x14ac:dyDescent="0.35">
      <c r="A254" s="36"/>
      <c r="B254" s="36"/>
      <c r="C254" s="36"/>
      <c r="D254" s="36"/>
      <c r="E254" s="36"/>
      <c r="F254" s="92" t="s">
        <v>268</v>
      </c>
      <c r="G254" s="92" t="s">
        <v>195</v>
      </c>
      <c r="H254" s="24" t="s">
        <v>201</v>
      </c>
      <c r="I254" s="105"/>
      <c r="J254" s="105"/>
      <c r="K254" s="105"/>
      <c r="L254" s="105"/>
      <c r="M254" s="105"/>
      <c r="N254" s="58"/>
      <c r="O254" s="36"/>
    </row>
    <row r="255" spans="1:15" x14ac:dyDescent="0.35">
      <c r="A255" s="36"/>
      <c r="B255" s="36"/>
      <c r="C255" s="36"/>
      <c r="D255" s="36"/>
      <c r="E255" s="36"/>
      <c r="F255" s="92" t="s">
        <v>269</v>
      </c>
      <c r="G255" s="92" t="s">
        <v>195</v>
      </c>
      <c r="H255" s="24" t="s">
        <v>201</v>
      </c>
      <c r="I255" s="105"/>
      <c r="J255" s="105"/>
      <c r="K255" s="105"/>
      <c r="L255" s="105"/>
      <c r="M255" s="105"/>
      <c r="N255" s="58"/>
      <c r="O255" s="36"/>
    </row>
    <row r="256" spans="1:15" x14ac:dyDescent="0.35">
      <c r="A256" s="36"/>
      <c r="B256" s="36"/>
      <c r="C256" s="36"/>
      <c r="D256" s="36"/>
      <c r="E256" s="36"/>
      <c r="F256" s="92" t="s">
        <v>270</v>
      </c>
      <c r="G256" s="92" t="s">
        <v>195</v>
      </c>
      <c r="H256" s="24" t="s">
        <v>201</v>
      </c>
      <c r="I256" s="105"/>
      <c r="J256" s="105"/>
      <c r="K256" s="105"/>
      <c r="L256" s="105"/>
      <c r="M256" s="105"/>
      <c r="N256" s="58"/>
      <c r="O256" s="36"/>
    </row>
    <row r="257" spans="1:15" x14ac:dyDescent="0.35">
      <c r="A257" s="36"/>
      <c r="B257" s="36"/>
      <c r="C257" s="36"/>
      <c r="D257" s="36"/>
      <c r="E257" s="36"/>
      <c r="F257" s="92" t="s">
        <v>271</v>
      </c>
      <c r="G257" s="92" t="s">
        <v>195</v>
      </c>
      <c r="H257" s="24" t="s">
        <v>201</v>
      </c>
      <c r="I257" s="105"/>
      <c r="J257" s="105"/>
      <c r="K257" s="105"/>
      <c r="L257" s="105"/>
      <c r="M257" s="105"/>
      <c r="N257" s="58"/>
      <c r="O257" s="36"/>
    </row>
    <row r="258" spans="1:15" x14ac:dyDescent="0.35">
      <c r="A258" s="36"/>
      <c r="B258" s="36"/>
      <c r="C258" s="36"/>
      <c r="D258" s="36"/>
      <c r="E258" s="36"/>
      <c r="F258" s="92" t="s">
        <v>272</v>
      </c>
      <c r="G258" s="92" t="s">
        <v>195</v>
      </c>
      <c r="H258" s="24" t="s">
        <v>201</v>
      </c>
      <c r="I258" s="105"/>
      <c r="J258" s="105"/>
      <c r="K258" s="105"/>
      <c r="L258" s="105"/>
      <c r="M258" s="105"/>
      <c r="N258" s="58"/>
      <c r="O258" s="36"/>
    </row>
    <row r="259" spans="1:15" x14ac:dyDescent="0.35">
      <c r="A259" s="36"/>
      <c r="B259" s="36"/>
      <c r="C259" s="36"/>
      <c r="D259" s="36"/>
      <c r="E259" s="36"/>
      <c r="F259" s="92" t="s">
        <v>273</v>
      </c>
      <c r="G259" s="92" t="s">
        <v>195</v>
      </c>
      <c r="H259" s="24" t="s">
        <v>201</v>
      </c>
      <c r="I259" s="105"/>
      <c r="J259" s="105"/>
      <c r="K259" s="105"/>
      <c r="L259" s="105"/>
      <c r="M259" s="105"/>
      <c r="N259" s="58"/>
      <c r="O259" s="36"/>
    </row>
    <row r="260" spans="1:15" x14ac:dyDescent="0.35">
      <c r="A260" s="36"/>
      <c r="B260" s="36"/>
      <c r="C260" s="36"/>
      <c r="D260" s="36"/>
      <c r="E260" s="36"/>
      <c r="F260" s="92" t="s">
        <v>274</v>
      </c>
      <c r="G260" s="92" t="s">
        <v>195</v>
      </c>
      <c r="H260" s="24" t="s">
        <v>201</v>
      </c>
      <c r="I260" s="105"/>
      <c r="J260" s="105"/>
      <c r="K260" s="105"/>
      <c r="L260" s="105"/>
      <c r="M260" s="105"/>
      <c r="N260" s="58"/>
      <c r="O260" s="36"/>
    </row>
    <row r="261" spans="1:15" x14ac:dyDescent="0.35">
      <c r="A261" s="36"/>
      <c r="B261" s="36"/>
      <c r="C261" s="36"/>
      <c r="D261" s="36"/>
      <c r="E261" s="36"/>
      <c r="F261" s="92" t="s">
        <v>275</v>
      </c>
      <c r="G261" s="92" t="s">
        <v>195</v>
      </c>
      <c r="H261" s="24" t="s">
        <v>201</v>
      </c>
      <c r="I261" s="105"/>
      <c r="J261" s="105"/>
      <c r="K261" s="105"/>
      <c r="L261" s="105"/>
      <c r="M261" s="105"/>
      <c r="N261" s="58"/>
      <c r="O261" s="36"/>
    </row>
    <row r="262" spans="1:15" x14ac:dyDescent="0.35">
      <c r="A262" s="36"/>
      <c r="B262" s="36"/>
      <c r="C262" s="36"/>
      <c r="D262" s="36"/>
      <c r="E262" s="36"/>
      <c r="F262" s="92" t="s">
        <v>276</v>
      </c>
      <c r="G262" s="92" t="s">
        <v>195</v>
      </c>
      <c r="H262" s="24" t="s">
        <v>201</v>
      </c>
      <c r="I262" s="105"/>
      <c r="J262" s="105"/>
      <c r="K262" s="105"/>
      <c r="L262" s="105"/>
      <c r="M262" s="105"/>
      <c r="N262" s="58"/>
      <c r="O262" s="36"/>
    </row>
    <row r="263" spans="1:15" x14ac:dyDescent="0.35">
      <c r="A263" s="36"/>
      <c r="B263" s="36"/>
      <c r="C263" s="36"/>
      <c r="D263" s="36"/>
      <c r="E263" s="36"/>
      <c r="F263" s="92" t="s">
        <v>277</v>
      </c>
      <c r="G263" s="92" t="s">
        <v>195</v>
      </c>
      <c r="H263" s="24" t="s">
        <v>201</v>
      </c>
      <c r="I263" s="105"/>
      <c r="J263" s="105"/>
      <c r="K263" s="105"/>
      <c r="L263" s="105"/>
      <c r="M263" s="105"/>
      <c r="N263" s="58"/>
      <c r="O263" s="36"/>
    </row>
    <row r="264" spans="1:15" x14ac:dyDescent="0.35">
      <c r="A264" s="36"/>
      <c r="B264" s="36"/>
      <c r="C264" s="36"/>
      <c r="D264" s="36"/>
      <c r="E264" s="36"/>
      <c r="F264" s="92" t="s">
        <v>278</v>
      </c>
      <c r="G264" s="92" t="s">
        <v>195</v>
      </c>
      <c r="H264" s="24" t="s">
        <v>201</v>
      </c>
      <c r="I264" s="105"/>
      <c r="J264" s="105"/>
      <c r="K264" s="105"/>
      <c r="L264" s="105"/>
      <c r="M264" s="105"/>
      <c r="N264" s="58"/>
      <c r="O264" s="36"/>
    </row>
    <row r="265" spans="1:15" x14ac:dyDescent="0.35">
      <c r="A265" s="36"/>
      <c r="B265" s="36"/>
      <c r="C265" s="36"/>
      <c r="D265" s="36"/>
      <c r="E265" s="36"/>
      <c r="F265" s="92" t="s">
        <v>279</v>
      </c>
      <c r="G265" s="92" t="s">
        <v>195</v>
      </c>
      <c r="H265" s="24" t="s">
        <v>201</v>
      </c>
      <c r="I265" s="105"/>
      <c r="J265" s="105"/>
      <c r="K265" s="105"/>
      <c r="L265" s="105"/>
      <c r="M265" s="105"/>
      <c r="N265" s="58"/>
      <c r="O265" s="36"/>
    </row>
    <row r="266" spans="1:15" x14ac:dyDescent="0.35">
      <c r="A266" s="36"/>
      <c r="B266" s="36"/>
      <c r="C266" s="36"/>
      <c r="D266" s="36"/>
      <c r="E266" s="36"/>
      <c r="F266" s="92" t="s">
        <v>280</v>
      </c>
      <c r="G266" s="92" t="s">
        <v>195</v>
      </c>
      <c r="H266" s="24" t="s">
        <v>201</v>
      </c>
      <c r="I266" s="105"/>
      <c r="J266" s="105"/>
      <c r="K266" s="105"/>
      <c r="L266" s="105"/>
      <c r="M266" s="105"/>
      <c r="N266" s="58"/>
      <c r="O266" s="36"/>
    </row>
    <row r="267" spans="1:15" x14ac:dyDescent="0.35">
      <c r="A267" s="36"/>
      <c r="B267" s="36"/>
      <c r="C267" s="36"/>
      <c r="D267" s="36"/>
      <c r="E267" s="36"/>
      <c r="F267" s="92" t="s">
        <v>281</v>
      </c>
      <c r="G267" s="92" t="s">
        <v>195</v>
      </c>
      <c r="H267" s="24" t="s">
        <v>201</v>
      </c>
      <c r="I267" s="105"/>
      <c r="J267" s="105"/>
      <c r="K267" s="105"/>
      <c r="L267" s="105"/>
      <c r="M267" s="105"/>
      <c r="N267" s="58"/>
      <c r="O267" s="36"/>
    </row>
    <row r="268" spans="1:15" x14ac:dyDescent="0.35">
      <c r="A268" s="36"/>
      <c r="B268" s="36"/>
      <c r="C268" s="36"/>
      <c r="D268" s="36"/>
      <c r="E268" s="36"/>
      <c r="F268" s="92" t="s">
        <v>282</v>
      </c>
      <c r="G268" s="92" t="s">
        <v>195</v>
      </c>
      <c r="H268" s="24" t="s">
        <v>201</v>
      </c>
      <c r="I268" s="105"/>
      <c r="J268" s="105"/>
      <c r="K268" s="105"/>
      <c r="L268" s="105"/>
      <c r="M268" s="105"/>
      <c r="N268" s="58"/>
      <c r="O268" s="36"/>
    </row>
    <row r="269" spans="1:15" x14ac:dyDescent="0.35">
      <c r="A269" s="36"/>
      <c r="B269" s="36"/>
      <c r="C269" s="36"/>
      <c r="D269" s="36"/>
      <c r="E269" s="36"/>
      <c r="F269" s="92" t="s">
        <v>283</v>
      </c>
      <c r="G269" s="92" t="s">
        <v>195</v>
      </c>
      <c r="H269" s="24" t="s">
        <v>201</v>
      </c>
      <c r="I269" s="105"/>
      <c r="J269" s="105"/>
      <c r="K269" s="105"/>
      <c r="L269" s="105"/>
      <c r="M269" s="105"/>
      <c r="N269" s="58"/>
      <c r="O269" s="36"/>
    </row>
    <row r="270" spans="1:15" x14ac:dyDescent="0.35">
      <c r="A270" s="36"/>
      <c r="B270" s="36"/>
      <c r="C270" s="36"/>
      <c r="D270" s="36"/>
      <c r="E270" s="36"/>
      <c r="F270" s="92" t="s">
        <v>284</v>
      </c>
      <c r="G270" s="92" t="s">
        <v>195</v>
      </c>
      <c r="H270" s="24" t="s">
        <v>201</v>
      </c>
      <c r="I270" s="105"/>
      <c r="J270" s="105"/>
      <c r="K270" s="105"/>
      <c r="L270" s="105"/>
      <c r="M270" s="105"/>
      <c r="N270" s="58"/>
      <c r="O270" s="36"/>
    </row>
    <row r="271" spans="1:15" x14ac:dyDescent="0.35">
      <c r="A271" s="36"/>
      <c r="B271" s="36"/>
      <c r="C271" s="36"/>
      <c r="D271" s="36"/>
      <c r="E271" s="36"/>
      <c r="F271" s="92" t="s">
        <v>285</v>
      </c>
      <c r="G271" s="92" t="s">
        <v>195</v>
      </c>
      <c r="H271" s="24" t="s">
        <v>201</v>
      </c>
      <c r="I271" s="105"/>
      <c r="J271" s="105"/>
      <c r="K271" s="105"/>
      <c r="L271" s="105"/>
      <c r="M271" s="105"/>
      <c r="N271" s="58"/>
      <c r="O271" s="36"/>
    </row>
    <row r="272" spans="1:15" x14ac:dyDescent="0.35">
      <c r="A272" s="36"/>
      <c r="B272" s="36"/>
      <c r="C272" s="36"/>
      <c r="D272" s="36"/>
      <c r="E272" s="36"/>
      <c r="F272" s="92" t="s">
        <v>286</v>
      </c>
      <c r="G272" s="92" t="s">
        <v>195</v>
      </c>
      <c r="H272" s="24" t="s">
        <v>201</v>
      </c>
      <c r="I272" s="105"/>
      <c r="J272" s="105"/>
      <c r="K272" s="105"/>
      <c r="L272" s="105"/>
      <c r="M272" s="105"/>
      <c r="N272" s="58"/>
      <c r="O272" s="36"/>
    </row>
    <row r="273" spans="1:15" x14ac:dyDescent="0.35">
      <c r="A273" s="36"/>
      <c r="B273" s="36"/>
      <c r="C273" s="36"/>
      <c r="D273" s="36"/>
      <c r="E273" s="36"/>
      <c r="F273" s="92" t="s">
        <v>287</v>
      </c>
      <c r="G273" s="92" t="s">
        <v>195</v>
      </c>
      <c r="H273" s="24" t="s">
        <v>199</v>
      </c>
      <c r="I273" s="105"/>
      <c r="J273" s="105"/>
      <c r="K273" s="105"/>
      <c r="L273" s="105"/>
      <c r="M273" s="105"/>
      <c r="N273" s="58"/>
      <c r="O273" s="36"/>
    </row>
    <row r="274" spans="1:15" x14ac:dyDescent="0.35">
      <c r="A274" s="36"/>
      <c r="B274" s="36"/>
      <c r="C274" s="36"/>
      <c r="D274" s="36"/>
      <c r="E274" s="36"/>
      <c r="F274" s="94" t="s">
        <v>288</v>
      </c>
      <c r="G274" s="94" t="s">
        <v>195</v>
      </c>
      <c r="H274" s="25" t="s">
        <v>199</v>
      </c>
      <c r="I274" s="105"/>
      <c r="J274" s="105"/>
      <c r="K274" s="105"/>
      <c r="L274" s="105"/>
      <c r="M274" s="105"/>
      <c r="N274" s="58"/>
      <c r="O274" s="36"/>
    </row>
    <row r="275" spans="1:15" x14ac:dyDescent="0.35">
      <c r="A275" s="36"/>
      <c r="B275" s="36"/>
      <c r="C275" s="36"/>
      <c r="D275" s="36"/>
      <c r="E275" s="36"/>
      <c r="F275" s="36"/>
      <c r="G275" s="36"/>
      <c r="H275" s="58"/>
      <c r="I275" s="58"/>
      <c r="J275" s="58"/>
      <c r="K275" s="58"/>
      <c r="L275" s="58"/>
      <c r="M275" s="58"/>
      <c r="N275" s="58"/>
      <c r="O275" s="36"/>
    </row>
    <row r="276" spans="1:15" x14ac:dyDescent="0.35">
      <c r="A276" s="36"/>
      <c r="B276" s="36"/>
      <c r="C276" s="87" t="s">
        <v>289</v>
      </c>
      <c r="D276" s="87"/>
      <c r="E276" s="87"/>
      <c r="F276" s="87"/>
      <c r="G276" s="87"/>
      <c r="H276" s="88"/>
      <c r="I276" s="88"/>
      <c r="J276" s="88"/>
      <c r="K276" s="88"/>
      <c r="L276" s="88"/>
      <c r="M276" s="88"/>
      <c r="N276" s="88"/>
      <c r="O276" s="87"/>
    </row>
    <row r="277" spans="1:15" x14ac:dyDescent="0.35">
      <c r="A277" s="36"/>
      <c r="B277" s="36"/>
      <c r="C277" s="86"/>
      <c r="D277" s="86"/>
      <c r="E277" s="36"/>
      <c r="F277" s="36"/>
      <c r="G277" s="36"/>
      <c r="H277" s="58"/>
      <c r="I277" s="58"/>
      <c r="J277" s="58"/>
      <c r="K277" s="58"/>
      <c r="L277" s="58"/>
      <c r="M277" s="58"/>
      <c r="N277" s="58"/>
      <c r="O277" s="36"/>
    </row>
    <row r="278" spans="1:15" x14ac:dyDescent="0.35">
      <c r="A278" s="36"/>
      <c r="B278" s="36"/>
      <c r="C278" s="86"/>
      <c r="D278" s="86" t="s">
        <v>290</v>
      </c>
      <c r="E278" s="36"/>
      <c r="F278" s="36"/>
      <c r="G278" s="36"/>
      <c r="H278" s="58"/>
      <c r="I278" s="58"/>
      <c r="J278" s="58"/>
      <c r="K278" s="58"/>
      <c r="L278" s="58"/>
      <c r="M278" s="58"/>
      <c r="N278" s="58"/>
      <c r="O278" s="36"/>
    </row>
    <row r="279" spans="1:15" x14ac:dyDescent="0.35">
      <c r="A279" s="36"/>
      <c r="B279" s="36"/>
      <c r="C279" s="86"/>
      <c r="D279" s="86" t="s">
        <v>291</v>
      </c>
      <c r="E279" s="36"/>
      <c r="F279" s="36"/>
      <c r="G279" s="36"/>
      <c r="H279" s="58"/>
      <c r="I279" s="58"/>
      <c r="J279" s="58"/>
      <c r="K279" s="58"/>
      <c r="L279" s="58"/>
      <c r="M279" s="58"/>
      <c r="N279" s="58"/>
      <c r="O279" s="36"/>
    </row>
    <row r="280" spans="1:15" x14ac:dyDescent="0.35">
      <c r="A280" s="36"/>
      <c r="B280" s="36"/>
      <c r="C280" s="86"/>
      <c r="D280" s="86"/>
      <c r="E280" s="36"/>
      <c r="F280" s="36"/>
      <c r="G280" s="36"/>
      <c r="H280" s="58"/>
      <c r="I280" s="58"/>
      <c r="J280" s="58"/>
      <c r="K280" s="58"/>
      <c r="L280" s="58"/>
      <c r="M280" s="58"/>
      <c r="N280" s="58"/>
      <c r="O280" s="36"/>
    </row>
    <row r="281" spans="1:15" x14ac:dyDescent="0.35">
      <c r="A281" s="36"/>
      <c r="B281" s="36"/>
      <c r="C281" s="36"/>
      <c r="D281" s="86"/>
      <c r="E281" s="89" t="s">
        <v>292</v>
      </c>
      <c r="F281" s="36"/>
      <c r="G281" s="36"/>
      <c r="H281" s="58"/>
      <c r="I281" s="58"/>
      <c r="J281" s="58"/>
      <c r="K281" s="58"/>
      <c r="L281" s="58"/>
      <c r="M281" s="58"/>
      <c r="N281" s="58"/>
      <c r="O281" s="36"/>
    </row>
    <row r="282" spans="1:15" x14ac:dyDescent="0.35">
      <c r="A282" s="36"/>
      <c r="B282" s="36"/>
      <c r="C282" s="36"/>
      <c r="D282" s="36"/>
      <c r="E282" s="36"/>
      <c r="F282" s="90" t="s">
        <v>132</v>
      </c>
      <c r="G282" s="90" t="s">
        <v>141</v>
      </c>
      <c r="H282" s="31" t="s">
        <v>293</v>
      </c>
      <c r="I282" s="105"/>
      <c r="J282" s="105"/>
      <c r="K282" s="105"/>
      <c r="L282" s="105"/>
      <c r="M282" s="105"/>
      <c r="N282" s="58"/>
      <c r="O282" s="36"/>
    </row>
    <row r="283" spans="1:15" x14ac:dyDescent="0.35">
      <c r="A283" s="36"/>
      <c r="B283" s="36"/>
      <c r="C283" s="36"/>
      <c r="D283" s="36"/>
      <c r="E283" s="36"/>
      <c r="F283" s="92" t="s">
        <v>134</v>
      </c>
      <c r="G283" s="92" t="s">
        <v>141</v>
      </c>
      <c r="H283" s="24" t="s">
        <v>294</v>
      </c>
      <c r="I283" s="105"/>
      <c r="J283" s="105"/>
      <c r="K283" s="105"/>
      <c r="L283" s="105"/>
      <c r="M283" s="105"/>
      <c r="N283" s="58"/>
      <c r="O283" s="36"/>
    </row>
    <row r="284" spans="1:15" x14ac:dyDescent="0.35">
      <c r="A284" s="36"/>
      <c r="B284" s="36"/>
      <c r="C284" s="36"/>
      <c r="D284" s="36"/>
      <c r="E284" s="36"/>
      <c r="F284" s="92" t="s">
        <v>136</v>
      </c>
      <c r="G284" s="92" t="s">
        <v>141</v>
      </c>
      <c r="H284" s="24" t="s">
        <v>295</v>
      </c>
      <c r="I284" s="105"/>
      <c r="J284" s="105"/>
      <c r="K284" s="105"/>
      <c r="L284" s="105"/>
      <c r="M284" s="105"/>
      <c r="N284" s="58"/>
      <c r="O284" s="36"/>
    </row>
    <row r="285" spans="1:15" x14ac:dyDescent="0.35">
      <c r="A285" s="36"/>
      <c r="B285" s="36"/>
      <c r="C285" s="36"/>
      <c r="D285" s="36"/>
      <c r="E285" s="36"/>
      <c r="F285" s="92" t="s">
        <v>138</v>
      </c>
      <c r="G285" s="92" t="s">
        <v>141</v>
      </c>
      <c r="H285" s="24" t="s">
        <v>296</v>
      </c>
      <c r="I285" s="105"/>
      <c r="J285" s="105"/>
      <c r="K285" s="105"/>
      <c r="L285" s="105"/>
      <c r="M285" s="105"/>
      <c r="N285" s="58"/>
      <c r="O285" s="36"/>
    </row>
    <row r="286" spans="1:15" x14ac:dyDescent="0.35">
      <c r="A286" s="36"/>
      <c r="B286" s="36"/>
      <c r="C286" s="36"/>
      <c r="D286" s="36"/>
      <c r="E286" s="36"/>
      <c r="F286" s="94" t="s">
        <v>200</v>
      </c>
      <c r="G286" s="94" t="s">
        <v>141</v>
      </c>
      <c r="H286" s="25" t="s">
        <v>53</v>
      </c>
      <c r="I286" s="105"/>
      <c r="J286" s="105"/>
      <c r="K286" s="105"/>
      <c r="L286" s="105"/>
      <c r="M286" s="105"/>
      <c r="N286" s="58"/>
      <c r="O286" s="36"/>
    </row>
    <row r="287" spans="1:15" x14ac:dyDescent="0.35">
      <c r="A287" s="36"/>
      <c r="B287" s="36"/>
      <c r="C287" s="36"/>
      <c r="D287" s="36"/>
      <c r="E287" s="36"/>
      <c r="F287" s="36"/>
      <c r="G287" s="36"/>
      <c r="H287" s="58"/>
      <c r="I287" s="58"/>
      <c r="J287" s="58"/>
      <c r="K287" s="58"/>
      <c r="L287" s="58"/>
      <c r="M287" s="58"/>
      <c r="N287" s="58"/>
      <c r="O287" s="36"/>
    </row>
    <row r="288" spans="1:15" x14ac:dyDescent="0.35">
      <c r="A288" s="98"/>
      <c r="B288" s="36"/>
      <c r="C288" s="36"/>
      <c r="D288" s="36"/>
      <c r="E288" s="89" t="s">
        <v>297</v>
      </c>
      <c r="F288" s="36"/>
      <c r="G288" s="36"/>
      <c r="H288" s="58"/>
      <c r="I288" s="103" t="s">
        <v>120</v>
      </c>
      <c r="J288" s="103"/>
      <c r="K288" s="103"/>
      <c r="L288" s="103"/>
      <c r="M288" s="103"/>
      <c r="N288" s="103"/>
      <c r="O288" s="92" t="s">
        <v>298</v>
      </c>
    </row>
    <row r="289" spans="1:15" x14ac:dyDescent="0.35">
      <c r="A289" s="36"/>
      <c r="B289" s="36"/>
      <c r="C289" s="36"/>
      <c r="D289" s="36"/>
      <c r="E289" s="36"/>
      <c r="F289" s="90" t="s">
        <v>204</v>
      </c>
      <c r="G289" s="90" t="s">
        <v>195</v>
      </c>
      <c r="H289" s="31" t="s">
        <v>53</v>
      </c>
      <c r="I289" s="105"/>
      <c r="J289" s="105"/>
      <c r="K289" s="105"/>
      <c r="L289" s="105"/>
      <c r="M289" s="105"/>
      <c r="N289" s="58"/>
      <c r="O289" s="36"/>
    </row>
    <row r="290" spans="1:15" x14ac:dyDescent="0.35">
      <c r="A290" s="36"/>
      <c r="B290" s="36"/>
      <c r="C290" s="36"/>
      <c r="D290" s="36"/>
      <c r="E290" s="36"/>
      <c r="F290" s="92" t="s">
        <v>205</v>
      </c>
      <c r="G290" s="92" t="s">
        <v>195</v>
      </c>
      <c r="H290" s="24" t="s">
        <v>53</v>
      </c>
      <c r="I290" s="105"/>
      <c r="J290" s="105"/>
      <c r="K290" s="105"/>
      <c r="L290" s="105"/>
      <c r="M290" s="105"/>
      <c r="N290" s="58"/>
      <c r="O290" s="36"/>
    </row>
    <row r="291" spans="1:15" x14ac:dyDescent="0.35">
      <c r="A291" s="36"/>
      <c r="B291" s="36"/>
      <c r="C291" s="36"/>
      <c r="D291" s="36"/>
      <c r="E291" s="36"/>
      <c r="F291" s="92" t="s">
        <v>206</v>
      </c>
      <c r="G291" s="92" t="s">
        <v>195</v>
      </c>
      <c r="H291" s="24" t="s">
        <v>53</v>
      </c>
      <c r="I291" s="105"/>
      <c r="J291" s="105"/>
      <c r="K291" s="105"/>
      <c r="L291" s="105"/>
      <c r="M291" s="105"/>
      <c r="N291" s="58"/>
      <c r="O291" s="36"/>
    </row>
    <row r="292" spans="1:15" x14ac:dyDescent="0.35">
      <c r="A292" s="36"/>
      <c r="B292" s="36"/>
      <c r="C292" s="36"/>
      <c r="D292" s="36"/>
      <c r="E292" s="36"/>
      <c r="F292" s="92" t="s">
        <v>207</v>
      </c>
      <c r="G292" s="92" t="s">
        <v>195</v>
      </c>
      <c r="H292" s="24" t="s">
        <v>53</v>
      </c>
      <c r="I292" s="105"/>
      <c r="J292" s="105"/>
      <c r="K292" s="105"/>
      <c r="L292" s="105"/>
      <c r="M292" s="105"/>
      <c r="N292" s="58"/>
      <c r="O292" s="36"/>
    </row>
    <row r="293" spans="1:15" x14ac:dyDescent="0.35">
      <c r="A293" s="36"/>
      <c r="B293" s="36"/>
      <c r="C293" s="36"/>
      <c r="D293" s="36"/>
      <c r="E293" s="36"/>
      <c r="F293" s="92" t="s">
        <v>208</v>
      </c>
      <c r="G293" s="92" t="s">
        <v>195</v>
      </c>
      <c r="H293" s="24" t="s">
        <v>53</v>
      </c>
      <c r="I293" s="105"/>
      <c r="J293" s="105"/>
      <c r="K293" s="105"/>
      <c r="L293" s="105"/>
      <c r="M293" s="105"/>
      <c r="N293" s="58"/>
      <c r="O293" s="36"/>
    </row>
    <row r="294" spans="1:15" x14ac:dyDescent="0.35">
      <c r="A294" s="36"/>
      <c r="B294" s="36"/>
      <c r="C294" s="36"/>
      <c r="D294" s="36"/>
      <c r="E294" s="36"/>
      <c r="F294" s="92" t="s">
        <v>209</v>
      </c>
      <c r="G294" s="92" t="s">
        <v>195</v>
      </c>
      <c r="H294" s="24" t="s">
        <v>53</v>
      </c>
      <c r="I294" s="105"/>
      <c r="J294" s="105"/>
      <c r="K294" s="105"/>
      <c r="L294" s="105"/>
      <c r="M294" s="105"/>
      <c r="N294" s="58"/>
      <c r="O294" s="36"/>
    </row>
    <row r="295" spans="1:15" x14ac:dyDescent="0.35">
      <c r="A295" s="36"/>
      <c r="B295" s="36"/>
      <c r="C295" s="36"/>
      <c r="D295" s="36"/>
      <c r="E295" s="36"/>
      <c r="F295" s="92" t="s">
        <v>210</v>
      </c>
      <c r="G295" s="92" t="s">
        <v>195</v>
      </c>
      <c r="H295" s="24" t="s">
        <v>53</v>
      </c>
      <c r="I295" s="105"/>
      <c r="J295" s="105"/>
      <c r="K295" s="105"/>
      <c r="L295" s="105"/>
      <c r="M295" s="105"/>
      <c r="N295" s="58"/>
      <c r="O295" s="36"/>
    </row>
    <row r="296" spans="1:15" x14ac:dyDescent="0.35">
      <c r="A296" s="36"/>
      <c r="B296" s="36"/>
      <c r="C296" s="36"/>
      <c r="D296" s="36"/>
      <c r="E296" s="36"/>
      <c r="F296" s="92" t="s">
        <v>211</v>
      </c>
      <c r="G296" s="92" t="s">
        <v>195</v>
      </c>
      <c r="H296" s="24" t="s">
        <v>53</v>
      </c>
      <c r="I296" s="105"/>
      <c r="J296" s="105"/>
      <c r="K296" s="105"/>
      <c r="L296" s="105"/>
      <c r="M296" s="105"/>
      <c r="N296" s="58"/>
      <c r="O296" s="36"/>
    </row>
    <row r="297" spans="1:15" x14ac:dyDescent="0.35">
      <c r="A297" s="36"/>
      <c r="B297" s="36"/>
      <c r="C297" s="36"/>
      <c r="D297" s="36"/>
      <c r="E297" s="36"/>
      <c r="F297" s="92" t="s">
        <v>212</v>
      </c>
      <c r="G297" s="92" t="s">
        <v>195</v>
      </c>
      <c r="H297" s="24" t="s">
        <v>53</v>
      </c>
      <c r="I297" s="105"/>
      <c r="J297" s="105"/>
      <c r="K297" s="105"/>
      <c r="L297" s="105"/>
      <c r="M297" s="105"/>
      <c r="N297" s="58"/>
      <c r="O297" s="36"/>
    </row>
    <row r="298" spans="1:15" x14ac:dyDescent="0.35">
      <c r="A298" s="36"/>
      <c r="B298" s="36"/>
      <c r="C298" s="36"/>
      <c r="D298" s="36"/>
      <c r="E298" s="36"/>
      <c r="F298" s="92" t="s">
        <v>213</v>
      </c>
      <c r="G298" s="92" t="s">
        <v>195</v>
      </c>
      <c r="H298" s="24" t="s">
        <v>53</v>
      </c>
      <c r="I298" s="105"/>
      <c r="J298" s="105"/>
      <c r="K298" s="105"/>
      <c r="L298" s="105"/>
      <c r="M298" s="105"/>
      <c r="N298" s="58"/>
      <c r="O298" s="36"/>
    </row>
    <row r="299" spans="1:15" x14ac:dyDescent="0.35">
      <c r="A299" s="36"/>
      <c r="B299" s="36"/>
      <c r="C299" s="36"/>
      <c r="D299" s="36"/>
      <c r="E299" s="36"/>
      <c r="F299" s="92" t="s">
        <v>214</v>
      </c>
      <c r="G299" s="92" t="s">
        <v>195</v>
      </c>
      <c r="H299" s="24" t="s">
        <v>53</v>
      </c>
      <c r="I299" s="105"/>
      <c r="J299" s="105"/>
      <c r="K299" s="105"/>
      <c r="L299" s="105"/>
      <c r="M299" s="105"/>
      <c r="N299" s="58"/>
      <c r="O299" s="36"/>
    </row>
    <row r="300" spans="1:15" x14ac:dyDescent="0.35">
      <c r="A300" s="36"/>
      <c r="B300" s="36"/>
      <c r="C300" s="36"/>
      <c r="D300" s="36"/>
      <c r="E300" s="36"/>
      <c r="F300" s="92" t="s">
        <v>215</v>
      </c>
      <c r="G300" s="92" t="s">
        <v>195</v>
      </c>
      <c r="H300" s="24" t="s">
        <v>53</v>
      </c>
      <c r="I300" s="105"/>
      <c r="J300" s="105"/>
      <c r="K300" s="105"/>
      <c r="L300" s="105"/>
      <c r="M300" s="105"/>
      <c r="N300" s="58"/>
      <c r="O300" s="36"/>
    </row>
    <row r="301" spans="1:15" x14ac:dyDescent="0.35">
      <c r="A301" s="36"/>
      <c r="B301" s="36"/>
      <c r="C301" s="36"/>
      <c r="D301" s="36"/>
      <c r="E301" s="36"/>
      <c r="F301" s="92" t="s">
        <v>216</v>
      </c>
      <c r="G301" s="92" t="s">
        <v>195</v>
      </c>
      <c r="H301" s="24" t="s">
        <v>53</v>
      </c>
      <c r="I301" s="105"/>
      <c r="J301" s="105"/>
      <c r="K301" s="105"/>
      <c r="L301" s="105"/>
      <c r="M301" s="105"/>
      <c r="N301" s="58"/>
      <c r="O301" s="36"/>
    </row>
    <row r="302" spans="1:15" x14ac:dyDescent="0.35">
      <c r="A302" s="36"/>
      <c r="B302" s="36"/>
      <c r="C302" s="36"/>
      <c r="D302" s="36"/>
      <c r="E302" s="36"/>
      <c r="F302" s="92" t="s">
        <v>217</v>
      </c>
      <c r="G302" s="92" t="s">
        <v>195</v>
      </c>
      <c r="H302" s="24" t="s">
        <v>53</v>
      </c>
      <c r="I302" s="105"/>
      <c r="J302" s="105"/>
      <c r="K302" s="105"/>
      <c r="L302" s="105"/>
      <c r="M302" s="105"/>
      <c r="N302" s="58"/>
      <c r="O302" s="36"/>
    </row>
    <row r="303" spans="1:15" x14ac:dyDescent="0.35">
      <c r="A303" s="36"/>
      <c r="B303" s="36"/>
      <c r="C303" s="36"/>
      <c r="D303" s="36"/>
      <c r="E303" s="36"/>
      <c r="F303" s="92" t="s">
        <v>218</v>
      </c>
      <c r="G303" s="92" t="s">
        <v>195</v>
      </c>
      <c r="H303" s="24" t="s">
        <v>53</v>
      </c>
      <c r="I303" s="105"/>
      <c r="J303" s="105"/>
      <c r="K303" s="105"/>
      <c r="L303" s="105"/>
      <c r="M303" s="105"/>
      <c r="N303" s="58"/>
      <c r="O303" s="36"/>
    </row>
    <row r="304" spans="1:15" x14ac:dyDescent="0.35">
      <c r="A304" s="36"/>
      <c r="B304" s="36"/>
      <c r="C304" s="36"/>
      <c r="D304" s="36"/>
      <c r="E304" s="36"/>
      <c r="F304" s="92" t="s">
        <v>219</v>
      </c>
      <c r="G304" s="92" t="s">
        <v>195</v>
      </c>
      <c r="H304" s="24" t="s">
        <v>53</v>
      </c>
      <c r="I304" s="105"/>
      <c r="J304" s="105"/>
      <c r="K304" s="105"/>
      <c r="L304" s="105"/>
      <c r="M304" s="105"/>
      <c r="N304" s="58"/>
      <c r="O304" s="36"/>
    </row>
    <row r="305" spans="1:15" x14ac:dyDescent="0.35">
      <c r="A305" s="36"/>
      <c r="B305" s="36"/>
      <c r="C305" s="36"/>
      <c r="D305" s="36"/>
      <c r="E305" s="36"/>
      <c r="F305" s="92" t="s">
        <v>220</v>
      </c>
      <c r="G305" s="92" t="s">
        <v>195</v>
      </c>
      <c r="H305" s="24" t="s">
        <v>53</v>
      </c>
      <c r="I305" s="105"/>
      <c r="J305" s="105"/>
      <c r="K305" s="105"/>
      <c r="L305" s="105"/>
      <c r="M305" s="105"/>
      <c r="N305" s="58"/>
      <c r="O305" s="36"/>
    </row>
    <row r="306" spans="1:15" x14ac:dyDescent="0.35">
      <c r="A306" s="36"/>
      <c r="B306" s="36"/>
      <c r="C306" s="36"/>
      <c r="D306" s="36"/>
      <c r="E306" s="36"/>
      <c r="F306" s="92" t="s">
        <v>221</v>
      </c>
      <c r="G306" s="92" t="s">
        <v>195</v>
      </c>
      <c r="H306" s="24" t="s">
        <v>53</v>
      </c>
      <c r="I306" s="105"/>
      <c r="J306" s="105"/>
      <c r="K306" s="105"/>
      <c r="L306" s="105"/>
      <c r="M306" s="105"/>
      <c r="N306" s="58"/>
      <c r="O306" s="36"/>
    </row>
    <row r="307" spans="1:15" x14ac:dyDescent="0.35">
      <c r="A307" s="36"/>
      <c r="B307" s="36"/>
      <c r="C307" s="36"/>
      <c r="D307" s="36"/>
      <c r="E307" s="36"/>
      <c r="F307" s="92" t="s">
        <v>222</v>
      </c>
      <c r="G307" s="92" t="s">
        <v>195</v>
      </c>
      <c r="H307" s="24" t="s">
        <v>53</v>
      </c>
      <c r="I307" s="105"/>
      <c r="J307" s="105"/>
      <c r="K307" s="105"/>
      <c r="L307" s="105"/>
      <c r="M307" s="105"/>
      <c r="N307" s="58"/>
      <c r="O307" s="36"/>
    </row>
    <row r="308" spans="1:15" x14ac:dyDescent="0.35">
      <c r="A308" s="36"/>
      <c r="B308" s="36"/>
      <c r="C308" s="36"/>
      <c r="D308" s="36"/>
      <c r="E308" s="36"/>
      <c r="F308" s="92" t="s">
        <v>223</v>
      </c>
      <c r="G308" s="92" t="s">
        <v>195</v>
      </c>
      <c r="H308" s="24" t="s">
        <v>53</v>
      </c>
      <c r="I308" s="105"/>
      <c r="J308" s="105"/>
      <c r="K308" s="105"/>
      <c r="L308" s="105"/>
      <c r="M308" s="105"/>
      <c r="N308" s="58"/>
      <c r="O308" s="36"/>
    </row>
    <row r="309" spans="1:15" x14ac:dyDescent="0.35">
      <c r="A309" s="36"/>
      <c r="B309" s="36"/>
      <c r="C309" s="36"/>
      <c r="D309" s="36"/>
      <c r="E309" s="36"/>
      <c r="F309" s="92" t="s">
        <v>224</v>
      </c>
      <c r="G309" s="92" t="s">
        <v>195</v>
      </c>
      <c r="H309" s="24" t="s">
        <v>53</v>
      </c>
      <c r="I309" s="105"/>
      <c r="J309" s="105"/>
      <c r="K309" s="105"/>
      <c r="L309" s="105"/>
      <c r="M309" s="105"/>
      <c r="N309" s="58"/>
      <c r="O309" s="36"/>
    </row>
    <row r="310" spans="1:15" x14ac:dyDescent="0.35">
      <c r="A310" s="36"/>
      <c r="B310" s="36"/>
      <c r="C310" s="36"/>
      <c r="D310" s="36"/>
      <c r="E310" s="36"/>
      <c r="F310" s="92" t="s">
        <v>225</v>
      </c>
      <c r="G310" s="92" t="s">
        <v>195</v>
      </c>
      <c r="H310" s="24" t="s">
        <v>53</v>
      </c>
      <c r="I310" s="105"/>
      <c r="J310" s="105"/>
      <c r="K310" s="105"/>
      <c r="L310" s="105"/>
      <c r="M310" s="105"/>
      <c r="N310" s="58"/>
      <c r="O310" s="36"/>
    </row>
    <row r="311" spans="1:15" x14ac:dyDescent="0.35">
      <c r="A311" s="36"/>
      <c r="B311" s="36"/>
      <c r="C311" s="36"/>
      <c r="D311" s="36"/>
      <c r="E311" s="36"/>
      <c r="F311" s="92" t="s">
        <v>226</v>
      </c>
      <c r="G311" s="92" t="s">
        <v>195</v>
      </c>
      <c r="H311" s="24" t="s">
        <v>295</v>
      </c>
      <c r="I311" s="105"/>
      <c r="J311" s="105"/>
      <c r="K311" s="105"/>
      <c r="L311" s="105"/>
      <c r="M311" s="105"/>
      <c r="N311" s="58"/>
      <c r="O311" s="36"/>
    </row>
    <row r="312" spans="1:15" x14ac:dyDescent="0.35">
      <c r="A312" s="36"/>
      <c r="B312" s="36"/>
      <c r="C312" s="36"/>
      <c r="D312" s="36"/>
      <c r="E312" s="36"/>
      <c r="F312" s="92" t="s">
        <v>227</v>
      </c>
      <c r="G312" s="92" t="s">
        <v>195</v>
      </c>
      <c r="H312" s="24" t="s">
        <v>295</v>
      </c>
      <c r="I312" s="105"/>
      <c r="J312" s="105"/>
      <c r="K312" s="105"/>
      <c r="L312" s="105"/>
      <c r="M312" s="105"/>
      <c r="N312" s="58"/>
      <c r="O312" s="36"/>
    </row>
    <row r="313" spans="1:15" x14ac:dyDescent="0.35">
      <c r="A313" s="36"/>
      <c r="B313" s="36"/>
      <c r="C313" s="36"/>
      <c r="D313" s="36"/>
      <c r="E313" s="36"/>
      <c r="F313" s="92" t="s">
        <v>228</v>
      </c>
      <c r="G313" s="92" t="s">
        <v>195</v>
      </c>
      <c r="H313" s="24" t="s">
        <v>53</v>
      </c>
      <c r="I313" s="105"/>
      <c r="J313" s="105"/>
      <c r="K313" s="105"/>
      <c r="L313" s="105"/>
      <c r="M313" s="105"/>
      <c r="N313" s="58"/>
      <c r="O313" s="36"/>
    </row>
    <row r="314" spans="1:15" x14ac:dyDescent="0.35">
      <c r="A314" s="36"/>
      <c r="B314" s="36"/>
      <c r="C314" s="36"/>
      <c r="D314" s="36"/>
      <c r="E314" s="36"/>
      <c r="F314" s="92" t="s">
        <v>229</v>
      </c>
      <c r="G314" s="92" t="s">
        <v>195</v>
      </c>
      <c r="H314" s="24" t="s">
        <v>53</v>
      </c>
      <c r="I314" s="105"/>
      <c r="J314" s="105"/>
      <c r="K314" s="105"/>
      <c r="L314" s="105"/>
      <c r="M314" s="105"/>
      <c r="N314" s="58"/>
      <c r="O314" s="36"/>
    </row>
    <row r="315" spans="1:15" x14ac:dyDescent="0.35">
      <c r="A315" s="36"/>
      <c r="B315" s="36"/>
      <c r="C315" s="36"/>
      <c r="D315" s="36"/>
      <c r="E315" s="36"/>
      <c r="F315" s="92" t="s">
        <v>230</v>
      </c>
      <c r="G315" s="92" t="s">
        <v>195</v>
      </c>
      <c r="H315" s="24" t="s">
        <v>53</v>
      </c>
      <c r="I315" s="105"/>
      <c r="J315" s="105"/>
      <c r="K315" s="105"/>
      <c r="L315" s="105"/>
      <c r="M315" s="105"/>
      <c r="N315" s="58"/>
      <c r="O315" s="36"/>
    </row>
    <row r="316" spans="1:15" x14ac:dyDescent="0.35">
      <c r="A316" s="36"/>
      <c r="B316" s="36"/>
      <c r="C316" s="36"/>
      <c r="D316" s="36"/>
      <c r="E316" s="36"/>
      <c r="F316" s="92" t="s">
        <v>231</v>
      </c>
      <c r="G316" s="92" t="s">
        <v>195</v>
      </c>
      <c r="H316" s="24" t="s">
        <v>53</v>
      </c>
      <c r="I316" s="105"/>
      <c r="J316" s="105"/>
      <c r="K316" s="105"/>
      <c r="L316" s="105"/>
      <c r="M316" s="105"/>
      <c r="N316" s="58"/>
      <c r="O316" s="36"/>
    </row>
    <row r="317" spans="1:15" x14ac:dyDescent="0.35">
      <c r="A317" s="36"/>
      <c r="B317" s="36"/>
      <c r="C317" s="36"/>
      <c r="D317" s="36"/>
      <c r="E317" s="36"/>
      <c r="F317" s="92" t="s">
        <v>232</v>
      </c>
      <c r="G317" s="92" t="s">
        <v>195</v>
      </c>
      <c r="H317" s="24" t="s">
        <v>53</v>
      </c>
      <c r="I317" s="105"/>
      <c r="J317" s="105"/>
      <c r="K317" s="105"/>
      <c r="L317" s="105"/>
      <c r="M317" s="105"/>
      <c r="N317" s="58"/>
      <c r="O317" s="36"/>
    </row>
    <row r="318" spans="1:15" x14ac:dyDescent="0.35">
      <c r="A318" s="36"/>
      <c r="B318" s="36"/>
      <c r="C318" s="36"/>
      <c r="D318" s="36"/>
      <c r="E318" s="36"/>
      <c r="F318" s="92" t="s">
        <v>233</v>
      </c>
      <c r="G318" s="92" t="s">
        <v>195</v>
      </c>
      <c r="H318" s="24" t="s">
        <v>295</v>
      </c>
      <c r="I318" s="105"/>
      <c r="J318" s="105"/>
      <c r="K318" s="105"/>
      <c r="L318" s="105"/>
      <c r="M318" s="105"/>
      <c r="N318" s="58"/>
      <c r="O318" s="36"/>
    </row>
    <row r="319" spans="1:15" x14ac:dyDescent="0.35">
      <c r="A319" s="36"/>
      <c r="B319" s="36"/>
      <c r="C319" s="36"/>
      <c r="D319" s="36"/>
      <c r="E319" s="36"/>
      <c r="F319" s="92" t="s">
        <v>234</v>
      </c>
      <c r="G319" s="92" t="s">
        <v>195</v>
      </c>
      <c r="H319" s="24" t="s">
        <v>295</v>
      </c>
      <c r="I319" s="105"/>
      <c r="J319" s="105"/>
      <c r="K319" s="105"/>
      <c r="L319" s="105"/>
      <c r="M319" s="105"/>
      <c r="N319" s="58"/>
      <c r="O319" s="36"/>
    </row>
    <row r="320" spans="1:15" x14ac:dyDescent="0.35">
      <c r="A320" s="36"/>
      <c r="B320" s="36"/>
      <c r="C320" s="36"/>
      <c r="D320" s="36"/>
      <c r="E320" s="36"/>
      <c r="F320" s="92" t="s">
        <v>235</v>
      </c>
      <c r="G320" s="92" t="s">
        <v>195</v>
      </c>
      <c r="H320" s="24" t="s">
        <v>53</v>
      </c>
      <c r="I320" s="105"/>
      <c r="J320" s="105"/>
      <c r="K320" s="105"/>
      <c r="L320" s="105"/>
      <c r="M320" s="105"/>
      <c r="N320" s="58"/>
      <c r="O320" s="36"/>
    </row>
    <row r="321" spans="1:15" x14ac:dyDescent="0.35">
      <c r="A321" s="36"/>
      <c r="B321" s="36"/>
      <c r="C321" s="36"/>
      <c r="D321" s="36"/>
      <c r="E321" s="36"/>
      <c r="F321" s="92" t="s">
        <v>236</v>
      </c>
      <c r="G321" s="92" t="s">
        <v>195</v>
      </c>
      <c r="H321" s="24" t="s">
        <v>53</v>
      </c>
      <c r="I321" s="105"/>
      <c r="J321" s="105"/>
      <c r="K321" s="105"/>
      <c r="L321" s="105"/>
      <c r="M321" s="105"/>
      <c r="N321" s="58"/>
      <c r="O321" s="36"/>
    </row>
    <row r="322" spans="1:15" x14ac:dyDescent="0.35">
      <c r="A322" s="36"/>
      <c r="B322" s="36"/>
      <c r="C322" s="36"/>
      <c r="D322" s="36"/>
      <c r="E322" s="36"/>
      <c r="F322" s="92" t="s">
        <v>237</v>
      </c>
      <c r="G322" s="92" t="s">
        <v>195</v>
      </c>
      <c r="H322" s="24" t="s">
        <v>53</v>
      </c>
      <c r="I322" s="105"/>
      <c r="J322" s="105"/>
      <c r="K322" s="105"/>
      <c r="L322" s="105"/>
      <c r="M322" s="105"/>
      <c r="N322" s="58"/>
      <c r="O322" s="36"/>
    </row>
    <row r="323" spans="1:15" x14ac:dyDescent="0.35">
      <c r="A323" s="36"/>
      <c r="B323" s="36"/>
      <c r="C323" s="36"/>
      <c r="D323" s="36"/>
      <c r="E323" s="36"/>
      <c r="F323" s="92" t="s">
        <v>238</v>
      </c>
      <c r="G323" s="92" t="s">
        <v>195</v>
      </c>
      <c r="H323" s="24" t="s">
        <v>53</v>
      </c>
      <c r="I323" s="105"/>
      <c r="J323" s="105"/>
      <c r="K323" s="105"/>
      <c r="L323" s="105"/>
      <c r="M323" s="105"/>
      <c r="N323" s="58"/>
      <c r="O323" s="36"/>
    </row>
    <row r="324" spans="1:15" x14ac:dyDescent="0.35">
      <c r="A324" s="36"/>
      <c r="B324" s="36"/>
      <c r="C324" s="36"/>
      <c r="D324" s="36"/>
      <c r="E324" s="36"/>
      <c r="F324" s="92" t="s">
        <v>239</v>
      </c>
      <c r="G324" s="92" t="s">
        <v>195</v>
      </c>
      <c r="H324" s="24" t="s">
        <v>53</v>
      </c>
      <c r="I324" s="105"/>
      <c r="J324" s="105"/>
      <c r="K324" s="105"/>
      <c r="L324" s="105"/>
      <c r="M324" s="105"/>
      <c r="N324" s="58"/>
      <c r="O324" s="36"/>
    </row>
    <row r="325" spans="1:15" x14ac:dyDescent="0.35">
      <c r="A325" s="36"/>
      <c r="B325" s="36"/>
      <c r="C325" s="36"/>
      <c r="D325" s="36"/>
      <c r="E325" s="36"/>
      <c r="F325" s="92" t="s">
        <v>240</v>
      </c>
      <c r="G325" s="92" t="s">
        <v>195</v>
      </c>
      <c r="H325" s="24" t="s">
        <v>53</v>
      </c>
      <c r="I325" s="105"/>
      <c r="J325" s="105"/>
      <c r="K325" s="105"/>
      <c r="L325" s="105"/>
      <c r="M325" s="105"/>
      <c r="N325" s="58"/>
      <c r="O325" s="36"/>
    </row>
    <row r="326" spans="1:15" x14ac:dyDescent="0.35">
      <c r="A326" s="36"/>
      <c r="B326" s="36"/>
      <c r="C326" s="36"/>
      <c r="D326" s="36"/>
      <c r="E326" s="36"/>
      <c r="F326" s="92" t="s">
        <v>241</v>
      </c>
      <c r="G326" s="92" t="s">
        <v>195</v>
      </c>
      <c r="H326" s="24" t="s">
        <v>53</v>
      </c>
      <c r="I326" s="105"/>
      <c r="J326" s="105"/>
      <c r="K326" s="105"/>
      <c r="L326" s="105"/>
      <c r="M326" s="105"/>
      <c r="N326" s="58"/>
      <c r="O326" s="36"/>
    </row>
    <row r="327" spans="1:15" x14ac:dyDescent="0.35">
      <c r="A327" s="36"/>
      <c r="B327" s="36"/>
      <c r="C327" s="36"/>
      <c r="D327" s="36"/>
      <c r="E327" s="36"/>
      <c r="F327" s="92" t="s">
        <v>242</v>
      </c>
      <c r="G327" s="92" t="s">
        <v>195</v>
      </c>
      <c r="H327" s="24" t="s">
        <v>53</v>
      </c>
      <c r="I327" s="105"/>
      <c r="J327" s="105"/>
      <c r="K327" s="105"/>
      <c r="L327" s="105"/>
      <c r="M327" s="105"/>
      <c r="N327" s="58"/>
      <c r="O327" s="36"/>
    </row>
    <row r="328" spans="1:15" x14ac:dyDescent="0.35">
      <c r="A328" s="36"/>
      <c r="B328" s="36"/>
      <c r="C328" s="36"/>
      <c r="D328" s="36"/>
      <c r="E328" s="36"/>
      <c r="F328" s="92" t="s">
        <v>243</v>
      </c>
      <c r="G328" s="92" t="s">
        <v>195</v>
      </c>
      <c r="H328" s="24" t="s">
        <v>53</v>
      </c>
      <c r="I328" s="105"/>
      <c r="J328" s="105"/>
      <c r="K328" s="105"/>
      <c r="L328" s="105"/>
      <c r="M328" s="105"/>
      <c r="N328" s="58"/>
      <c r="O328" s="36"/>
    </row>
    <row r="329" spans="1:15" x14ac:dyDescent="0.35">
      <c r="A329" s="36"/>
      <c r="B329" s="36"/>
      <c r="C329" s="36"/>
      <c r="D329" s="36"/>
      <c r="E329" s="36"/>
      <c r="F329" s="92" t="s">
        <v>244</v>
      </c>
      <c r="G329" s="92" t="s">
        <v>195</v>
      </c>
      <c r="H329" s="24" t="s">
        <v>293</v>
      </c>
      <c r="I329" s="105"/>
      <c r="J329" s="105"/>
      <c r="K329" s="105"/>
      <c r="L329" s="105"/>
      <c r="M329" s="105"/>
      <c r="N329" s="58"/>
      <c r="O329" s="36"/>
    </row>
    <row r="330" spans="1:15" x14ac:dyDescent="0.35">
      <c r="A330" s="36"/>
      <c r="B330" s="36"/>
      <c r="C330" s="36"/>
      <c r="D330" s="36"/>
      <c r="E330" s="36"/>
      <c r="F330" s="92" t="s">
        <v>245</v>
      </c>
      <c r="G330" s="92" t="s">
        <v>195</v>
      </c>
      <c r="H330" s="24" t="s">
        <v>293</v>
      </c>
      <c r="I330" s="105"/>
      <c r="J330" s="105"/>
      <c r="K330" s="105"/>
      <c r="L330" s="105"/>
      <c r="M330" s="105"/>
      <c r="N330" s="58"/>
      <c r="O330" s="36"/>
    </row>
    <row r="331" spans="1:15" x14ac:dyDescent="0.35">
      <c r="A331" s="36"/>
      <c r="B331" s="36"/>
      <c r="C331" s="36"/>
      <c r="D331" s="36"/>
      <c r="E331" s="36"/>
      <c r="F331" s="92" t="s">
        <v>246</v>
      </c>
      <c r="G331" s="92" t="s">
        <v>195</v>
      </c>
      <c r="H331" s="24" t="s">
        <v>293</v>
      </c>
      <c r="I331" s="105"/>
      <c r="J331" s="105"/>
      <c r="K331" s="105"/>
      <c r="L331" s="105"/>
      <c r="M331" s="105"/>
      <c r="N331" s="58"/>
      <c r="O331" s="36"/>
    </row>
    <row r="332" spans="1:15" x14ac:dyDescent="0.35">
      <c r="A332" s="36"/>
      <c r="B332" s="36"/>
      <c r="C332" s="36"/>
      <c r="D332" s="36"/>
      <c r="E332" s="36"/>
      <c r="F332" s="92" t="s">
        <v>247</v>
      </c>
      <c r="G332" s="92" t="s">
        <v>195</v>
      </c>
      <c r="H332" s="24" t="s">
        <v>293</v>
      </c>
      <c r="I332" s="105"/>
      <c r="J332" s="105"/>
      <c r="K332" s="105"/>
      <c r="L332" s="105"/>
      <c r="M332" s="105"/>
      <c r="N332" s="58"/>
      <c r="O332" s="36"/>
    </row>
    <row r="333" spans="1:15" x14ac:dyDescent="0.35">
      <c r="A333" s="36"/>
      <c r="B333" s="36"/>
      <c r="C333" s="36"/>
      <c r="D333" s="36"/>
      <c r="E333" s="36"/>
      <c r="F333" s="92" t="s">
        <v>248</v>
      </c>
      <c r="G333" s="92" t="s">
        <v>195</v>
      </c>
      <c r="H333" s="24" t="s">
        <v>293</v>
      </c>
      <c r="I333" s="105"/>
      <c r="J333" s="105"/>
      <c r="K333" s="105"/>
      <c r="L333" s="105"/>
      <c r="M333" s="105"/>
      <c r="N333" s="58"/>
      <c r="O333" s="36"/>
    </row>
    <row r="334" spans="1:15" x14ac:dyDescent="0.35">
      <c r="A334" s="36"/>
      <c r="B334" s="36"/>
      <c r="C334" s="36"/>
      <c r="D334" s="36"/>
      <c r="E334" s="36"/>
      <c r="F334" s="92" t="s">
        <v>249</v>
      </c>
      <c r="G334" s="92" t="s">
        <v>195</v>
      </c>
      <c r="H334" s="24" t="s">
        <v>293</v>
      </c>
      <c r="I334" s="105"/>
      <c r="J334" s="105"/>
      <c r="K334" s="105"/>
      <c r="L334" s="105"/>
      <c r="M334" s="105"/>
      <c r="N334" s="58"/>
      <c r="O334" s="36"/>
    </row>
    <row r="335" spans="1:15" x14ac:dyDescent="0.35">
      <c r="A335" s="36"/>
      <c r="B335" s="36"/>
      <c r="C335" s="36"/>
      <c r="D335" s="36"/>
      <c r="E335" s="36"/>
      <c r="F335" s="92" t="s">
        <v>250</v>
      </c>
      <c r="G335" s="92" t="s">
        <v>195</v>
      </c>
      <c r="H335" s="24" t="s">
        <v>293</v>
      </c>
      <c r="I335" s="105"/>
      <c r="J335" s="105"/>
      <c r="K335" s="105"/>
      <c r="L335" s="105"/>
      <c r="M335" s="105"/>
      <c r="N335" s="58"/>
      <c r="O335" s="36"/>
    </row>
    <row r="336" spans="1:15" x14ac:dyDescent="0.35">
      <c r="A336" s="36"/>
      <c r="B336" s="36"/>
      <c r="C336" s="36"/>
      <c r="D336" s="36"/>
      <c r="E336" s="36"/>
      <c r="F336" s="92" t="s">
        <v>251</v>
      </c>
      <c r="G336" s="92" t="s">
        <v>195</v>
      </c>
      <c r="H336" s="24" t="s">
        <v>293</v>
      </c>
      <c r="I336" s="105"/>
      <c r="J336" s="105"/>
      <c r="K336" s="105"/>
      <c r="L336" s="105"/>
      <c r="M336" s="105"/>
      <c r="N336" s="58"/>
      <c r="O336" s="36"/>
    </row>
    <row r="337" spans="1:15" x14ac:dyDescent="0.35">
      <c r="A337" s="36"/>
      <c r="B337" s="36"/>
      <c r="C337" s="36"/>
      <c r="D337" s="36"/>
      <c r="E337" s="36"/>
      <c r="F337" s="92" t="s">
        <v>252</v>
      </c>
      <c r="G337" s="92" t="s">
        <v>195</v>
      </c>
      <c r="H337" s="24" t="s">
        <v>293</v>
      </c>
      <c r="I337" s="105"/>
      <c r="J337" s="105"/>
      <c r="K337" s="105"/>
      <c r="L337" s="105"/>
      <c r="M337" s="105"/>
      <c r="N337" s="58"/>
      <c r="O337" s="36"/>
    </row>
    <row r="338" spans="1:15" x14ac:dyDescent="0.35">
      <c r="A338" s="36"/>
      <c r="B338" s="36"/>
      <c r="C338" s="36"/>
      <c r="D338" s="36"/>
      <c r="E338" s="36"/>
      <c r="F338" s="92" t="s">
        <v>253</v>
      </c>
      <c r="G338" s="92" t="s">
        <v>195</v>
      </c>
      <c r="H338" s="24" t="s">
        <v>293</v>
      </c>
      <c r="I338" s="105"/>
      <c r="J338" s="105"/>
      <c r="K338" s="105"/>
      <c r="L338" s="105"/>
      <c r="M338" s="105"/>
      <c r="N338" s="58"/>
      <c r="O338" s="36"/>
    </row>
    <row r="339" spans="1:15" x14ac:dyDescent="0.35">
      <c r="A339" s="36"/>
      <c r="B339" s="36"/>
      <c r="C339" s="36"/>
      <c r="D339" s="36"/>
      <c r="E339" s="36"/>
      <c r="F339" s="92" t="s">
        <v>254</v>
      </c>
      <c r="G339" s="92" t="s">
        <v>195</v>
      </c>
      <c r="H339" s="24" t="s">
        <v>293</v>
      </c>
      <c r="I339" s="105"/>
      <c r="J339" s="105"/>
      <c r="K339" s="105"/>
      <c r="L339" s="105"/>
      <c r="M339" s="105"/>
      <c r="N339" s="58"/>
      <c r="O339" s="36"/>
    </row>
    <row r="340" spans="1:15" x14ac:dyDescent="0.35">
      <c r="A340" s="36"/>
      <c r="B340" s="36"/>
      <c r="C340" s="36"/>
      <c r="D340" s="36"/>
      <c r="E340" s="36"/>
      <c r="F340" s="92" t="s">
        <v>255</v>
      </c>
      <c r="G340" s="92" t="s">
        <v>195</v>
      </c>
      <c r="H340" s="24" t="s">
        <v>293</v>
      </c>
      <c r="I340" s="105"/>
      <c r="J340" s="105"/>
      <c r="K340" s="105"/>
      <c r="L340" s="105"/>
      <c r="M340" s="105"/>
      <c r="N340" s="58"/>
      <c r="O340" s="36"/>
    </row>
    <row r="341" spans="1:15" x14ac:dyDescent="0.35">
      <c r="A341" s="36"/>
      <c r="B341" s="36"/>
      <c r="C341" s="36"/>
      <c r="D341" s="36"/>
      <c r="E341" s="36"/>
      <c r="F341" s="92" t="s">
        <v>256</v>
      </c>
      <c r="G341" s="92" t="s">
        <v>195</v>
      </c>
      <c r="H341" s="24" t="s">
        <v>293</v>
      </c>
      <c r="I341" s="105"/>
      <c r="J341" s="105"/>
      <c r="K341" s="105"/>
      <c r="L341" s="105"/>
      <c r="M341" s="105"/>
      <c r="N341" s="58"/>
      <c r="O341" s="36"/>
    </row>
    <row r="342" spans="1:15" x14ac:dyDescent="0.35">
      <c r="A342" s="36"/>
      <c r="B342" s="36"/>
      <c r="C342" s="36"/>
      <c r="D342" s="36"/>
      <c r="E342" s="36"/>
      <c r="F342" s="92" t="s">
        <v>257</v>
      </c>
      <c r="G342" s="92" t="s">
        <v>195</v>
      </c>
      <c r="H342" s="24" t="s">
        <v>293</v>
      </c>
      <c r="I342" s="105"/>
      <c r="J342" s="105"/>
      <c r="K342" s="105"/>
      <c r="L342" s="105"/>
      <c r="M342" s="105"/>
      <c r="N342" s="58"/>
      <c r="O342" s="36"/>
    </row>
    <row r="343" spans="1:15" x14ac:dyDescent="0.35">
      <c r="A343" s="36"/>
      <c r="B343" s="36"/>
      <c r="C343" s="36"/>
      <c r="D343" s="36"/>
      <c r="E343" s="36"/>
      <c r="F343" s="92" t="s">
        <v>258</v>
      </c>
      <c r="G343" s="92" t="s">
        <v>195</v>
      </c>
      <c r="H343" s="24" t="s">
        <v>293</v>
      </c>
      <c r="I343" s="105"/>
      <c r="J343" s="105"/>
      <c r="K343" s="105"/>
      <c r="L343" s="105"/>
      <c r="M343" s="105"/>
      <c r="N343" s="58"/>
      <c r="O343" s="36"/>
    </row>
    <row r="344" spans="1:15" x14ac:dyDescent="0.35">
      <c r="A344" s="36"/>
      <c r="B344" s="36"/>
      <c r="C344" s="36"/>
      <c r="D344" s="36"/>
      <c r="E344" s="36"/>
      <c r="F344" s="92" t="s">
        <v>259</v>
      </c>
      <c r="G344" s="92" t="s">
        <v>195</v>
      </c>
      <c r="H344" s="24" t="s">
        <v>294</v>
      </c>
      <c r="I344" s="105"/>
      <c r="J344" s="105"/>
      <c r="K344" s="105"/>
      <c r="L344" s="105"/>
      <c r="M344" s="105"/>
      <c r="N344" s="58"/>
      <c r="O344" s="36"/>
    </row>
    <row r="345" spans="1:15" x14ac:dyDescent="0.35">
      <c r="A345" s="36"/>
      <c r="B345" s="36"/>
      <c r="C345" s="36"/>
      <c r="D345" s="36"/>
      <c r="E345" s="36"/>
      <c r="F345" s="92" t="s">
        <v>260</v>
      </c>
      <c r="G345" s="92" t="s">
        <v>195</v>
      </c>
      <c r="H345" s="24" t="s">
        <v>294</v>
      </c>
      <c r="I345" s="105"/>
      <c r="J345" s="105"/>
      <c r="K345" s="105"/>
      <c r="L345" s="105"/>
      <c r="M345" s="105"/>
      <c r="N345" s="58"/>
      <c r="O345" s="36"/>
    </row>
    <row r="346" spans="1:15" x14ac:dyDescent="0.35">
      <c r="A346" s="36"/>
      <c r="B346" s="36"/>
      <c r="C346" s="36"/>
      <c r="D346" s="36"/>
      <c r="E346" s="36"/>
      <c r="F346" s="92" t="s">
        <v>261</v>
      </c>
      <c r="G346" s="92" t="s">
        <v>195</v>
      </c>
      <c r="H346" s="24" t="s">
        <v>294</v>
      </c>
      <c r="I346" s="105"/>
      <c r="J346" s="105"/>
      <c r="K346" s="105"/>
      <c r="L346" s="105"/>
      <c r="M346" s="105"/>
      <c r="N346" s="58"/>
      <c r="O346" s="36"/>
    </row>
    <row r="347" spans="1:15" x14ac:dyDescent="0.35">
      <c r="A347" s="36"/>
      <c r="B347" s="36"/>
      <c r="C347" s="36"/>
      <c r="D347" s="36"/>
      <c r="E347" s="36"/>
      <c r="F347" s="92" t="s">
        <v>262</v>
      </c>
      <c r="G347" s="92" t="s">
        <v>195</v>
      </c>
      <c r="H347" s="24" t="s">
        <v>294</v>
      </c>
      <c r="I347" s="105"/>
      <c r="J347" s="105"/>
      <c r="K347" s="105"/>
      <c r="L347" s="105"/>
      <c r="M347" s="105"/>
      <c r="N347" s="58"/>
      <c r="O347" s="36"/>
    </row>
    <row r="348" spans="1:15" x14ac:dyDescent="0.35">
      <c r="A348" s="36"/>
      <c r="B348" s="36"/>
      <c r="C348" s="36"/>
      <c r="D348" s="36"/>
      <c r="E348" s="36"/>
      <c r="F348" s="92" t="s">
        <v>263</v>
      </c>
      <c r="G348" s="92" t="s">
        <v>195</v>
      </c>
      <c r="H348" s="24" t="s">
        <v>294</v>
      </c>
      <c r="I348" s="105"/>
      <c r="J348" s="105"/>
      <c r="K348" s="105"/>
      <c r="L348" s="105"/>
      <c r="M348" s="105"/>
      <c r="N348" s="58"/>
      <c r="O348" s="36"/>
    </row>
    <row r="349" spans="1:15" x14ac:dyDescent="0.35">
      <c r="A349" s="36"/>
      <c r="B349" s="36"/>
      <c r="C349" s="36"/>
      <c r="D349" s="36"/>
      <c r="E349" s="36"/>
      <c r="F349" s="92" t="s">
        <v>264</v>
      </c>
      <c r="G349" s="92" t="s">
        <v>195</v>
      </c>
      <c r="H349" s="24" t="s">
        <v>295</v>
      </c>
      <c r="I349" s="105"/>
      <c r="J349" s="105"/>
      <c r="K349" s="105"/>
      <c r="L349" s="105"/>
      <c r="M349" s="105"/>
      <c r="N349" s="58"/>
      <c r="O349" s="36"/>
    </row>
    <row r="350" spans="1:15" x14ac:dyDescent="0.35">
      <c r="A350" s="36"/>
      <c r="B350" s="36"/>
      <c r="C350" s="36"/>
      <c r="D350" s="36"/>
      <c r="E350" s="36"/>
      <c r="F350" s="92" t="s">
        <v>265</v>
      </c>
      <c r="G350" s="92" t="s">
        <v>195</v>
      </c>
      <c r="H350" s="24" t="s">
        <v>294</v>
      </c>
      <c r="I350" s="105"/>
      <c r="J350" s="105"/>
      <c r="K350" s="105"/>
      <c r="L350" s="105"/>
      <c r="M350" s="105"/>
      <c r="N350" s="58"/>
      <c r="O350" s="36"/>
    </row>
    <row r="351" spans="1:15" x14ac:dyDescent="0.35">
      <c r="A351" s="36"/>
      <c r="B351" s="36"/>
      <c r="C351" s="36"/>
      <c r="D351" s="36"/>
      <c r="E351" s="36"/>
      <c r="F351" s="92" t="s">
        <v>266</v>
      </c>
      <c r="G351" s="92" t="s">
        <v>195</v>
      </c>
      <c r="H351" s="24" t="s">
        <v>295</v>
      </c>
      <c r="I351" s="105"/>
      <c r="J351" s="105"/>
      <c r="K351" s="105"/>
      <c r="L351" s="105"/>
      <c r="M351" s="105"/>
      <c r="N351" s="58"/>
      <c r="O351" s="36"/>
    </row>
    <row r="352" spans="1:15" x14ac:dyDescent="0.35">
      <c r="A352" s="36"/>
      <c r="B352" s="36"/>
      <c r="C352" s="36"/>
      <c r="D352" s="36"/>
      <c r="E352" s="36"/>
      <c r="F352" s="92" t="s">
        <v>267</v>
      </c>
      <c r="G352" s="92" t="s">
        <v>195</v>
      </c>
      <c r="H352" s="24" t="s">
        <v>295</v>
      </c>
      <c r="I352" s="105"/>
      <c r="J352" s="105"/>
      <c r="K352" s="105"/>
      <c r="L352" s="105"/>
      <c r="M352" s="105"/>
      <c r="N352" s="58"/>
      <c r="O352" s="36"/>
    </row>
    <row r="353" spans="1:15" x14ac:dyDescent="0.35">
      <c r="A353" s="36"/>
      <c r="B353" s="36"/>
      <c r="C353" s="36"/>
      <c r="D353" s="36"/>
      <c r="E353" s="36"/>
      <c r="F353" s="92" t="s">
        <v>268</v>
      </c>
      <c r="G353" s="92" t="s">
        <v>195</v>
      </c>
      <c r="H353" s="24" t="s">
        <v>295</v>
      </c>
      <c r="I353" s="105"/>
      <c r="J353" s="105"/>
      <c r="K353" s="105"/>
      <c r="L353" s="105"/>
      <c r="M353" s="105"/>
      <c r="N353" s="58"/>
      <c r="O353" s="36"/>
    </row>
    <row r="354" spans="1:15" x14ac:dyDescent="0.35">
      <c r="A354" s="36"/>
      <c r="B354" s="36"/>
      <c r="C354" s="36"/>
      <c r="D354" s="36"/>
      <c r="E354" s="36"/>
      <c r="F354" s="92" t="s">
        <v>269</v>
      </c>
      <c r="G354" s="92" t="s">
        <v>195</v>
      </c>
      <c r="H354" s="24" t="s">
        <v>295</v>
      </c>
      <c r="I354" s="105"/>
      <c r="J354" s="105"/>
      <c r="K354" s="105"/>
      <c r="L354" s="105"/>
      <c r="M354" s="105"/>
      <c r="N354" s="58"/>
      <c r="O354" s="36"/>
    </row>
    <row r="355" spans="1:15" x14ac:dyDescent="0.35">
      <c r="A355" s="36"/>
      <c r="B355" s="36"/>
      <c r="C355" s="36"/>
      <c r="D355" s="36"/>
      <c r="E355" s="36"/>
      <c r="F355" s="92" t="s">
        <v>270</v>
      </c>
      <c r="G355" s="92" t="s">
        <v>195</v>
      </c>
      <c r="H355" s="24" t="s">
        <v>295</v>
      </c>
      <c r="I355" s="105"/>
      <c r="J355" s="105"/>
      <c r="K355" s="105"/>
      <c r="L355" s="105"/>
      <c r="M355" s="105"/>
      <c r="N355" s="58"/>
      <c r="O355" s="36"/>
    </row>
    <row r="356" spans="1:15" x14ac:dyDescent="0.35">
      <c r="A356" s="36"/>
      <c r="B356" s="36"/>
      <c r="C356" s="36"/>
      <c r="D356" s="36"/>
      <c r="E356" s="36"/>
      <c r="F356" s="92" t="s">
        <v>271</v>
      </c>
      <c r="G356" s="92" t="s">
        <v>195</v>
      </c>
      <c r="H356" s="24" t="s">
        <v>295</v>
      </c>
      <c r="I356" s="105"/>
      <c r="J356" s="105"/>
      <c r="K356" s="105"/>
      <c r="L356" s="105"/>
      <c r="M356" s="105"/>
      <c r="N356" s="58"/>
      <c r="O356" s="36"/>
    </row>
    <row r="357" spans="1:15" x14ac:dyDescent="0.35">
      <c r="A357" s="36"/>
      <c r="B357" s="36"/>
      <c r="C357" s="36"/>
      <c r="D357" s="36"/>
      <c r="E357" s="36"/>
      <c r="F357" s="92" t="s">
        <v>272</v>
      </c>
      <c r="G357" s="92" t="s">
        <v>195</v>
      </c>
      <c r="H357" s="24" t="s">
        <v>296</v>
      </c>
      <c r="I357" s="105"/>
      <c r="J357" s="105"/>
      <c r="K357" s="105"/>
      <c r="L357" s="105"/>
      <c r="M357" s="105"/>
      <c r="N357" s="58"/>
      <c r="O357" s="36"/>
    </row>
    <row r="358" spans="1:15" x14ac:dyDescent="0.35">
      <c r="A358" s="36"/>
      <c r="B358" s="36"/>
      <c r="C358" s="36"/>
      <c r="D358" s="36"/>
      <c r="E358" s="36"/>
      <c r="F358" s="92" t="s">
        <v>273</v>
      </c>
      <c r="G358" s="92" t="s">
        <v>195</v>
      </c>
      <c r="H358" s="24" t="s">
        <v>296</v>
      </c>
      <c r="I358" s="105"/>
      <c r="J358" s="105"/>
      <c r="K358" s="105"/>
      <c r="L358" s="105"/>
      <c r="M358" s="105"/>
      <c r="N358" s="58"/>
      <c r="O358" s="36"/>
    </row>
    <row r="359" spans="1:15" x14ac:dyDescent="0.35">
      <c r="A359" s="36"/>
      <c r="B359" s="36"/>
      <c r="C359" s="36"/>
      <c r="D359" s="36"/>
      <c r="E359" s="36"/>
      <c r="F359" s="92" t="s">
        <v>274</v>
      </c>
      <c r="G359" s="92" t="s">
        <v>195</v>
      </c>
      <c r="H359" s="24" t="s">
        <v>296</v>
      </c>
      <c r="I359" s="105"/>
      <c r="J359" s="105"/>
      <c r="K359" s="105"/>
      <c r="L359" s="105"/>
      <c r="M359" s="105"/>
      <c r="N359" s="58"/>
      <c r="O359" s="36"/>
    </row>
    <row r="360" spans="1:15" x14ac:dyDescent="0.35">
      <c r="A360" s="36"/>
      <c r="B360" s="36"/>
      <c r="C360" s="36"/>
      <c r="D360" s="36"/>
      <c r="E360" s="36"/>
      <c r="F360" s="92" t="s">
        <v>275</v>
      </c>
      <c r="G360" s="92" t="s">
        <v>195</v>
      </c>
      <c r="H360" s="24" t="s">
        <v>296</v>
      </c>
      <c r="I360" s="105"/>
      <c r="J360" s="105"/>
      <c r="K360" s="105"/>
      <c r="L360" s="105"/>
      <c r="M360" s="105"/>
      <c r="N360" s="58"/>
      <c r="O360" s="36"/>
    </row>
    <row r="361" spans="1:15" x14ac:dyDescent="0.35">
      <c r="A361" s="36"/>
      <c r="B361" s="36"/>
      <c r="C361" s="36"/>
      <c r="D361" s="36"/>
      <c r="E361" s="36"/>
      <c r="F361" s="92" t="s">
        <v>276</v>
      </c>
      <c r="G361" s="92" t="s">
        <v>195</v>
      </c>
      <c r="H361" s="24" t="s">
        <v>296</v>
      </c>
      <c r="I361" s="105"/>
      <c r="J361" s="105"/>
      <c r="K361" s="105"/>
      <c r="L361" s="105"/>
      <c r="M361" s="105"/>
      <c r="N361" s="58"/>
      <c r="O361" s="36"/>
    </row>
    <row r="362" spans="1:15" x14ac:dyDescent="0.35">
      <c r="A362" s="36"/>
      <c r="B362" s="36"/>
      <c r="C362" s="36"/>
      <c r="D362" s="36"/>
      <c r="E362" s="36"/>
      <c r="F362" s="92" t="s">
        <v>277</v>
      </c>
      <c r="G362" s="92" t="s">
        <v>195</v>
      </c>
      <c r="H362" s="24" t="s">
        <v>296</v>
      </c>
      <c r="I362" s="105"/>
      <c r="J362" s="105"/>
      <c r="K362" s="105"/>
      <c r="L362" s="105"/>
      <c r="M362" s="105"/>
      <c r="N362" s="58"/>
      <c r="O362" s="36"/>
    </row>
    <row r="363" spans="1:15" x14ac:dyDescent="0.35">
      <c r="A363" s="36"/>
      <c r="B363" s="36"/>
      <c r="C363" s="36"/>
      <c r="D363" s="36"/>
      <c r="E363" s="36"/>
      <c r="F363" s="92" t="s">
        <v>278</v>
      </c>
      <c r="G363" s="92" t="s">
        <v>195</v>
      </c>
      <c r="H363" s="24" t="s">
        <v>296</v>
      </c>
      <c r="I363" s="105"/>
      <c r="J363" s="105"/>
      <c r="K363" s="105"/>
      <c r="L363" s="105"/>
      <c r="M363" s="105"/>
      <c r="N363" s="58"/>
      <c r="O363" s="36"/>
    </row>
    <row r="364" spans="1:15" x14ac:dyDescent="0.35">
      <c r="A364" s="36"/>
      <c r="B364" s="36"/>
      <c r="C364" s="36"/>
      <c r="D364" s="36"/>
      <c r="E364" s="36"/>
      <c r="F364" s="92" t="s">
        <v>279</v>
      </c>
      <c r="G364" s="92" t="s">
        <v>195</v>
      </c>
      <c r="H364" s="24" t="s">
        <v>296</v>
      </c>
      <c r="I364" s="105"/>
      <c r="J364" s="105"/>
      <c r="K364" s="105"/>
      <c r="L364" s="105"/>
      <c r="M364" s="105"/>
      <c r="N364" s="58"/>
      <c r="O364" s="36"/>
    </row>
    <row r="365" spans="1:15" x14ac:dyDescent="0.35">
      <c r="A365" s="36"/>
      <c r="B365" s="36"/>
      <c r="C365" s="36"/>
      <c r="D365" s="36"/>
      <c r="E365" s="36"/>
      <c r="F365" s="92" t="s">
        <v>280</v>
      </c>
      <c r="G365" s="92" t="s">
        <v>195</v>
      </c>
      <c r="H365" s="24" t="s">
        <v>296</v>
      </c>
      <c r="I365" s="105"/>
      <c r="J365" s="105"/>
      <c r="K365" s="105"/>
      <c r="L365" s="105"/>
      <c r="M365" s="105"/>
      <c r="N365" s="58"/>
      <c r="O365" s="36"/>
    </row>
    <row r="366" spans="1:15" x14ac:dyDescent="0.35">
      <c r="A366" s="36"/>
      <c r="B366" s="36"/>
      <c r="C366" s="36"/>
      <c r="D366" s="36"/>
      <c r="E366" s="36"/>
      <c r="F366" s="92" t="s">
        <v>281</v>
      </c>
      <c r="G366" s="92" t="s">
        <v>195</v>
      </c>
      <c r="H366" s="24" t="s">
        <v>296</v>
      </c>
      <c r="I366" s="105"/>
      <c r="J366" s="105"/>
      <c r="K366" s="105"/>
      <c r="L366" s="105"/>
      <c r="M366" s="105"/>
      <c r="N366" s="58"/>
      <c r="O366" s="36"/>
    </row>
    <row r="367" spans="1:15" x14ac:dyDescent="0.35">
      <c r="A367" s="36"/>
      <c r="B367" s="36"/>
      <c r="C367" s="36"/>
      <c r="D367" s="36"/>
      <c r="E367" s="36"/>
      <c r="F367" s="92" t="s">
        <v>282</v>
      </c>
      <c r="G367" s="92" t="s">
        <v>195</v>
      </c>
      <c r="H367" s="24" t="s">
        <v>296</v>
      </c>
      <c r="I367" s="105"/>
      <c r="J367" s="105"/>
      <c r="K367" s="105"/>
      <c r="L367" s="105"/>
      <c r="M367" s="105"/>
      <c r="N367" s="58"/>
      <c r="O367" s="36"/>
    </row>
    <row r="368" spans="1:15" x14ac:dyDescent="0.35">
      <c r="A368" s="36"/>
      <c r="B368" s="36"/>
      <c r="C368" s="36"/>
      <c r="D368" s="36"/>
      <c r="E368" s="36"/>
      <c r="F368" s="92" t="s">
        <v>283</v>
      </c>
      <c r="G368" s="92" t="s">
        <v>195</v>
      </c>
      <c r="H368" s="24" t="s">
        <v>294</v>
      </c>
      <c r="I368" s="105"/>
      <c r="J368" s="105"/>
      <c r="K368" s="105"/>
      <c r="L368" s="105"/>
      <c r="M368" s="105"/>
      <c r="N368" s="58"/>
      <c r="O368" s="36"/>
    </row>
    <row r="369" spans="1:15" x14ac:dyDescent="0.35">
      <c r="A369" s="36"/>
      <c r="B369" s="36"/>
      <c r="C369" s="36"/>
      <c r="D369" s="36"/>
      <c r="E369" s="36"/>
      <c r="F369" s="92" t="s">
        <v>284</v>
      </c>
      <c r="G369" s="92" t="s">
        <v>195</v>
      </c>
      <c r="H369" s="24" t="s">
        <v>294</v>
      </c>
      <c r="I369" s="105"/>
      <c r="J369" s="105"/>
      <c r="K369" s="105"/>
      <c r="L369" s="105"/>
      <c r="M369" s="105"/>
      <c r="N369" s="58"/>
      <c r="O369" s="36"/>
    </row>
    <row r="370" spans="1:15" x14ac:dyDescent="0.35">
      <c r="A370" s="36"/>
      <c r="B370" s="36"/>
      <c r="C370" s="36"/>
      <c r="D370" s="36"/>
      <c r="E370" s="36"/>
      <c r="F370" s="92" t="s">
        <v>285</v>
      </c>
      <c r="G370" s="92" t="s">
        <v>195</v>
      </c>
      <c r="H370" s="24" t="s">
        <v>295</v>
      </c>
      <c r="I370" s="105"/>
      <c r="J370" s="105"/>
      <c r="K370" s="105"/>
      <c r="L370" s="105"/>
      <c r="M370" s="105"/>
      <c r="N370" s="58"/>
      <c r="O370" s="36"/>
    </row>
    <row r="371" spans="1:15" x14ac:dyDescent="0.35">
      <c r="A371" s="36"/>
      <c r="B371" s="36"/>
      <c r="C371" s="36"/>
      <c r="D371" s="36"/>
      <c r="E371" s="36"/>
      <c r="F371" s="92" t="s">
        <v>286</v>
      </c>
      <c r="G371" s="92" t="s">
        <v>195</v>
      </c>
      <c r="H371" s="24" t="s">
        <v>295</v>
      </c>
      <c r="I371" s="105"/>
      <c r="J371" s="105"/>
      <c r="K371" s="105"/>
      <c r="L371" s="105"/>
      <c r="M371" s="105"/>
      <c r="N371" s="58"/>
      <c r="O371" s="36"/>
    </row>
    <row r="372" spans="1:15" x14ac:dyDescent="0.35">
      <c r="A372" s="36"/>
      <c r="B372" s="36"/>
      <c r="C372" s="36"/>
      <c r="D372" s="36"/>
      <c r="E372" s="36"/>
      <c r="F372" s="92" t="s">
        <v>287</v>
      </c>
      <c r="G372" s="92" t="s">
        <v>195</v>
      </c>
      <c r="H372" s="24" t="s">
        <v>53</v>
      </c>
      <c r="I372" s="105"/>
      <c r="J372" s="105"/>
      <c r="K372" s="105"/>
      <c r="L372" s="105"/>
      <c r="M372" s="105"/>
      <c r="N372" s="58"/>
      <c r="O372" s="36"/>
    </row>
    <row r="373" spans="1:15" x14ac:dyDescent="0.35">
      <c r="A373" s="36"/>
      <c r="B373" s="36"/>
      <c r="C373" s="36"/>
      <c r="D373" s="36"/>
      <c r="E373" s="36"/>
      <c r="F373" s="94" t="s">
        <v>288</v>
      </c>
      <c r="G373" s="94" t="s">
        <v>195</v>
      </c>
      <c r="H373" s="25" t="s">
        <v>53</v>
      </c>
      <c r="I373" s="105"/>
      <c r="J373" s="105"/>
      <c r="K373" s="105"/>
      <c r="L373" s="105"/>
      <c r="M373" s="105"/>
      <c r="N373" s="58"/>
      <c r="O373" s="36"/>
    </row>
    <row r="374" spans="1:15" x14ac:dyDescent="0.35">
      <c r="A374" s="36"/>
      <c r="B374" s="36"/>
      <c r="C374" s="36"/>
      <c r="D374" s="36"/>
      <c r="E374" s="36"/>
      <c r="F374" s="36"/>
      <c r="G374" s="36"/>
      <c r="H374" s="58"/>
      <c r="I374" s="58"/>
      <c r="J374" s="58"/>
      <c r="K374" s="58"/>
      <c r="L374" s="58"/>
      <c r="M374" s="58"/>
      <c r="N374" s="58"/>
      <c r="O374" s="36"/>
    </row>
    <row r="375" spans="1:15" x14ac:dyDescent="0.35">
      <c r="A375" s="36"/>
      <c r="B375" s="36"/>
      <c r="C375" s="87" t="s">
        <v>299</v>
      </c>
      <c r="D375" s="87"/>
      <c r="E375" s="87"/>
      <c r="F375" s="87"/>
      <c r="G375" s="87"/>
      <c r="H375" s="88"/>
      <c r="I375" s="88"/>
      <c r="J375" s="88"/>
      <c r="K375" s="88"/>
      <c r="L375" s="88"/>
      <c r="M375" s="88"/>
      <c r="N375" s="88"/>
      <c r="O375" s="87"/>
    </row>
    <row r="376" spans="1:15" x14ac:dyDescent="0.35">
      <c r="A376" s="36"/>
      <c r="B376" s="36"/>
      <c r="C376" s="86"/>
      <c r="D376" s="86"/>
      <c r="E376" s="36"/>
      <c r="F376" s="36"/>
      <c r="G376" s="36"/>
      <c r="H376" s="58"/>
      <c r="I376" s="58"/>
      <c r="J376" s="58"/>
      <c r="K376" s="58"/>
      <c r="L376" s="58"/>
      <c r="M376" s="58"/>
      <c r="N376" s="58"/>
      <c r="O376" s="36"/>
    </row>
    <row r="377" spans="1:15" x14ac:dyDescent="0.35">
      <c r="A377" s="36"/>
      <c r="B377" s="36"/>
      <c r="C377" s="86"/>
      <c r="D377" s="86" t="s">
        <v>300</v>
      </c>
      <c r="E377" s="36"/>
      <c r="F377" s="36"/>
      <c r="G377" s="36"/>
      <c r="H377" s="58"/>
      <c r="I377" s="58"/>
      <c r="J377" s="58"/>
      <c r="K377" s="58"/>
      <c r="L377" s="58"/>
      <c r="M377" s="58"/>
      <c r="N377" s="58"/>
      <c r="O377" s="36"/>
    </row>
    <row r="378" spans="1:15" x14ac:dyDescent="0.35">
      <c r="A378" s="36"/>
      <c r="B378" s="36"/>
      <c r="C378" s="86"/>
      <c r="D378" s="86"/>
      <c r="E378" s="36"/>
      <c r="F378" s="36"/>
      <c r="G378" s="36"/>
      <c r="H378" s="58"/>
      <c r="I378" s="58"/>
      <c r="J378" s="58"/>
      <c r="K378" s="58"/>
      <c r="L378" s="58"/>
      <c r="M378" s="58"/>
      <c r="N378" s="58"/>
      <c r="O378" s="36"/>
    </row>
    <row r="379" spans="1:15" x14ac:dyDescent="0.35">
      <c r="A379" s="98"/>
      <c r="B379" s="36"/>
      <c r="C379" s="36"/>
      <c r="D379" s="86"/>
      <c r="E379" s="89" t="s">
        <v>301</v>
      </c>
      <c r="F379" s="36"/>
      <c r="G379" s="36"/>
      <c r="H379" s="58"/>
      <c r="I379" s="103" t="s">
        <v>120</v>
      </c>
      <c r="J379" s="103"/>
      <c r="K379" s="103"/>
      <c r="L379" s="103"/>
      <c r="M379" s="103"/>
      <c r="N379" s="103"/>
      <c r="O379" s="92" t="s">
        <v>302</v>
      </c>
    </row>
    <row r="380" spans="1:15" x14ac:dyDescent="0.35">
      <c r="A380" s="36"/>
      <c r="B380" s="36"/>
      <c r="C380" s="36"/>
      <c r="D380" s="36"/>
      <c r="E380" s="36"/>
      <c r="F380" s="90" t="s">
        <v>201</v>
      </c>
      <c r="G380" s="90" t="s">
        <v>113</v>
      </c>
      <c r="H380" s="31">
        <v>0.25</v>
      </c>
      <c r="I380" s="105"/>
      <c r="J380" s="105"/>
      <c r="K380" s="105"/>
      <c r="L380" s="105"/>
      <c r="M380" s="105"/>
      <c r="N380" s="58"/>
      <c r="O380" s="36"/>
    </row>
    <row r="381" spans="1:15" x14ac:dyDescent="0.35">
      <c r="A381" s="36"/>
      <c r="B381" s="36"/>
      <c r="C381" s="36"/>
      <c r="D381" s="36"/>
      <c r="E381" s="36"/>
      <c r="F381" s="92" t="s">
        <v>199</v>
      </c>
      <c r="G381" s="92" t="s">
        <v>113</v>
      </c>
      <c r="H381" s="24">
        <v>0.5</v>
      </c>
      <c r="I381" s="105"/>
      <c r="J381" s="105"/>
      <c r="K381" s="105"/>
      <c r="L381" s="105"/>
      <c r="M381" s="105"/>
      <c r="N381" s="58"/>
      <c r="O381" s="36"/>
    </row>
    <row r="382" spans="1:15" x14ac:dyDescent="0.35">
      <c r="A382" s="36"/>
      <c r="B382" s="36"/>
      <c r="C382" s="36"/>
      <c r="D382" s="36"/>
      <c r="E382" s="36"/>
      <c r="F382" s="94" t="s">
        <v>303</v>
      </c>
      <c r="G382" s="94" t="s">
        <v>113</v>
      </c>
      <c r="H382" s="25">
        <v>1</v>
      </c>
      <c r="I382" s="105"/>
      <c r="J382" s="105"/>
      <c r="K382" s="105"/>
      <c r="L382" s="105"/>
      <c r="M382" s="105"/>
      <c r="N382" s="58"/>
      <c r="O382" s="36"/>
    </row>
    <row r="383" spans="1:15" x14ac:dyDescent="0.35">
      <c r="A383" s="36"/>
      <c r="B383" s="36"/>
      <c r="C383" s="36"/>
      <c r="D383" s="36"/>
      <c r="E383" s="36"/>
      <c r="F383" s="36"/>
      <c r="G383" s="36"/>
      <c r="H383" s="58"/>
      <c r="I383" s="58"/>
      <c r="J383" s="58"/>
      <c r="K383" s="58"/>
      <c r="L383" s="58"/>
      <c r="M383" s="58"/>
      <c r="N383" s="58"/>
      <c r="O383" s="36"/>
    </row>
    <row r="384" spans="1:15" x14ac:dyDescent="0.35">
      <c r="A384" s="36"/>
      <c r="B384" s="36"/>
      <c r="C384" s="87" t="s">
        <v>304</v>
      </c>
      <c r="D384" s="87"/>
      <c r="E384" s="87"/>
      <c r="F384" s="87"/>
      <c r="G384" s="87"/>
      <c r="H384" s="88"/>
      <c r="I384" s="88"/>
      <c r="J384" s="88"/>
      <c r="K384" s="88"/>
      <c r="L384" s="88"/>
      <c r="M384" s="88"/>
      <c r="N384" s="88"/>
      <c r="O384" s="87"/>
    </row>
    <row r="385" spans="1:15" x14ac:dyDescent="0.35">
      <c r="A385" s="36"/>
      <c r="B385" s="36"/>
      <c r="C385" s="86"/>
      <c r="D385" s="86"/>
      <c r="E385" s="36"/>
      <c r="F385" s="36"/>
      <c r="G385" s="36"/>
      <c r="H385" s="58"/>
      <c r="I385" s="58"/>
      <c r="J385" s="58"/>
      <c r="K385" s="58"/>
      <c r="L385" s="58"/>
      <c r="M385" s="58"/>
      <c r="N385" s="58"/>
      <c r="O385" s="36"/>
    </row>
    <row r="386" spans="1:15" x14ac:dyDescent="0.35">
      <c r="A386" s="36"/>
      <c r="B386" s="36"/>
      <c r="C386" s="86"/>
      <c r="D386" s="86" t="s">
        <v>305</v>
      </c>
      <c r="E386" s="36"/>
      <c r="F386" s="36"/>
      <c r="G386" s="36"/>
      <c r="H386" s="58"/>
      <c r="I386" s="58"/>
      <c r="J386" s="58"/>
      <c r="K386" s="58"/>
      <c r="L386" s="58"/>
      <c r="M386" s="58"/>
      <c r="N386" s="58"/>
      <c r="O386" s="36"/>
    </row>
    <row r="387" spans="1:15" x14ac:dyDescent="0.35">
      <c r="A387" s="36"/>
      <c r="B387" s="36"/>
      <c r="C387" s="86"/>
      <c r="D387" s="86"/>
      <c r="E387" s="36"/>
      <c r="F387" s="36"/>
      <c r="G387" s="36"/>
      <c r="H387" s="58"/>
      <c r="I387" s="58"/>
      <c r="J387" s="58"/>
      <c r="K387" s="58"/>
      <c r="L387" s="58"/>
      <c r="M387" s="58"/>
      <c r="N387" s="58"/>
      <c r="O387" s="36"/>
    </row>
    <row r="388" spans="1:15" x14ac:dyDescent="0.35">
      <c r="A388" s="98"/>
      <c r="B388" s="36"/>
      <c r="C388" s="36"/>
      <c r="D388" s="86"/>
      <c r="E388" s="89" t="s">
        <v>306</v>
      </c>
      <c r="F388" s="36"/>
      <c r="G388" s="36"/>
      <c r="H388" s="58"/>
      <c r="I388" s="103" t="s">
        <v>120</v>
      </c>
      <c r="J388" s="103"/>
      <c r="K388" s="103"/>
      <c r="L388" s="103"/>
      <c r="M388" s="103"/>
      <c r="N388" s="103"/>
      <c r="O388" s="92" t="s">
        <v>302</v>
      </c>
    </row>
    <row r="389" spans="1:15" x14ac:dyDescent="0.35">
      <c r="A389" s="36"/>
      <c r="B389" s="36"/>
      <c r="C389" s="36"/>
      <c r="D389" s="36"/>
      <c r="E389" s="36"/>
      <c r="F389" s="90" t="s">
        <v>201</v>
      </c>
      <c r="G389" s="90" t="s">
        <v>113</v>
      </c>
      <c r="H389" s="31">
        <v>0.25</v>
      </c>
      <c r="I389" s="105"/>
      <c r="J389" s="105"/>
      <c r="K389" s="105"/>
      <c r="L389" s="105"/>
      <c r="M389" s="105"/>
      <c r="N389" s="58"/>
      <c r="O389" s="36"/>
    </row>
    <row r="390" spans="1:15" x14ac:dyDescent="0.35">
      <c r="A390" s="36"/>
      <c r="B390" s="36"/>
      <c r="C390" s="36"/>
      <c r="D390" s="36"/>
      <c r="E390" s="36"/>
      <c r="F390" s="92" t="s">
        <v>199</v>
      </c>
      <c r="G390" s="92" t="s">
        <v>113</v>
      </c>
      <c r="H390" s="24">
        <v>0.5</v>
      </c>
      <c r="I390" s="105"/>
      <c r="J390" s="105"/>
      <c r="K390" s="105"/>
      <c r="L390" s="105"/>
      <c r="M390" s="105"/>
      <c r="N390" s="58"/>
      <c r="O390" s="36"/>
    </row>
    <row r="391" spans="1:15" x14ac:dyDescent="0.35">
      <c r="A391" s="36"/>
      <c r="B391" s="36"/>
      <c r="C391" s="36"/>
      <c r="D391" s="36"/>
      <c r="E391" s="36"/>
      <c r="F391" s="94" t="s">
        <v>303</v>
      </c>
      <c r="G391" s="94" t="s">
        <v>113</v>
      </c>
      <c r="H391" s="108"/>
      <c r="I391" s="105"/>
      <c r="J391" s="105"/>
      <c r="K391" s="105"/>
      <c r="L391" s="105"/>
      <c r="M391" s="105"/>
      <c r="N391" s="58"/>
      <c r="O391" s="36"/>
    </row>
    <row r="392" spans="1:15" x14ac:dyDescent="0.35">
      <c r="A392" s="36"/>
      <c r="B392" s="36"/>
      <c r="C392" s="36"/>
      <c r="D392" s="36"/>
      <c r="E392" s="36"/>
      <c r="F392" s="36"/>
      <c r="G392" s="36"/>
      <c r="H392" s="58"/>
      <c r="I392" s="58"/>
      <c r="J392" s="58"/>
      <c r="K392" s="58"/>
      <c r="L392" s="58"/>
      <c r="M392" s="58"/>
      <c r="N392" s="58"/>
      <c r="O392" s="36"/>
    </row>
    <row r="393" spans="1:15" x14ac:dyDescent="0.35">
      <c r="A393" s="36"/>
      <c r="B393" s="36"/>
      <c r="C393" s="87" t="s">
        <v>307</v>
      </c>
      <c r="D393" s="87"/>
      <c r="E393" s="87"/>
      <c r="F393" s="87"/>
      <c r="G393" s="87"/>
      <c r="H393" s="88"/>
      <c r="I393" s="88"/>
      <c r="J393" s="88"/>
      <c r="K393" s="88"/>
      <c r="L393" s="88"/>
      <c r="M393" s="88"/>
      <c r="N393" s="88"/>
      <c r="O393" s="87"/>
    </row>
    <row r="394" spans="1:15" x14ac:dyDescent="0.35">
      <c r="A394" s="36"/>
      <c r="B394" s="36"/>
      <c r="C394" s="86"/>
      <c r="D394" s="86"/>
      <c r="E394" s="36"/>
      <c r="F394" s="36"/>
      <c r="G394" s="36"/>
      <c r="H394" s="58"/>
      <c r="I394" s="58"/>
      <c r="J394" s="58"/>
      <c r="K394" s="58"/>
      <c r="L394" s="58"/>
      <c r="M394" s="58"/>
      <c r="N394" s="58"/>
      <c r="O394" s="36"/>
    </row>
    <row r="395" spans="1:15" x14ac:dyDescent="0.35">
      <c r="A395" s="36"/>
      <c r="B395" s="36"/>
      <c r="C395" s="36"/>
      <c r="D395" s="86" t="s">
        <v>308</v>
      </c>
      <c r="E395" s="36"/>
      <c r="F395" s="36"/>
      <c r="G395" s="36"/>
      <c r="H395" s="58"/>
      <c r="I395" s="58"/>
      <c r="J395" s="58"/>
      <c r="K395" s="58"/>
      <c r="L395" s="58"/>
      <c r="M395" s="58"/>
      <c r="N395" s="58"/>
      <c r="O395" s="36"/>
    </row>
    <row r="396" spans="1:15" x14ac:dyDescent="0.35">
      <c r="A396" s="36"/>
      <c r="B396" s="36"/>
      <c r="C396" s="36"/>
      <c r="D396" s="86" t="s">
        <v>309</v>
      </c>
      <c r="E396" s="36"/>
      <c r="F396" s="36"/>
      <c r="G396" s="36"/>
      <c r="H396" s="58"/>
      <c r="I396" s="58"/>
      <c r="J396" s="58"/>
      <c r="K396" s="58"/>
      <c r="L396" s="58"/>
      <c r="M396" s="58"/>
      <c r="N396" s="58"/>
      <c r="O396" s="36"/>
    </row>
    <row r="397" spans="1:15" x14ac:dyDescent="0.35">
      <c r="A397" s="36"/>
      <c r="B397" s="36"/>
      <c r="C397" s="36"/>
      <c r="D397" s="86"/>
      <c r="E397" s="36"/>
      <c r="F397" s="36"/>
      <c r="G397" s="36"/>
      <c r="H397" s="58"/>
      <c r="I397" s="58"/>
      <c r="J397" s="58"/>
      <c r="K397" s="58"/>
      <c r="L397" s="58"/>
      <c r="M397" s="58"/>
      <c r="N397" s="58"/>
      <c r="O397" s="36"/>
    </row>
    <row r="398" spans="1:15" ht="29" x14ac:dyDescent="0.35">
      <c r="A398" s="98"/>
      <c r="B398" s="36"/>
      <c r="C398" s="36"/>
      <c r="D398" s="86"/>
      <c r="E398" s="89" t="s">
        <v>310</v>
      </c>
      <c r="F398" s="36"/>
      <c r="G398" s="36"/>
      <c r="H398" s="58"/>
      <c r="I398" s="103" t="s">
        <v>120</v>
      </c>
      <c r="J398" s="81" t="s">
        <v>311</v>
      </c>
      <c r="K398" s="81" t="s">
        <v>312</v>
      </c>
      <c r="L398" s="81" t="s">
        <v>313</v>
      </c>
      <c r="M398" s="81" t="s">
        <v>314</v>
      </c>
      <c r="N398" s="58"/>
      <c r="O398" s="92" t="s">
        <v>121</v>
      </c>
    </row>
    <row r="399" spans="1:15" x14ac:dyDescent="0.35">
      <c r="A399" s="36"/>
      <c r="B399" s="36"/>
      <c r="C399" s="36"/>
      <c r="D399" s="36"/>
      <c r="E399" s="36"/>
      <c r="F399" s="90" t="s">
        <v>296</v>
      </c>
      <c r="G399" s="90" t="s">
        <v>190</v>
      </c>
      <c r="H399" s="109"/>
      <c r="I399" s="109"/>
      <c r="J399" s="28">
        <v>1</v>
      </c>
      <c r="K399" s="28">
        <v>1</v>
      </c>
      <c r="L399" s="28">
        <v>1</v>
      </c>
      <c r="M399" s="28">
        <v>1</v>
      </c>
      <c r="N399" s="58"/>
      <c r="O399" s="36"/>
    </row>
    <row r="400" spans="1:15" x14ac:dyDescent="0.35">
      <c r="A400" s="36"/>
      <c r="B400" s="36"/>
      <c r="C400" s="36"/>
      <c r="D400" s="36"/>
      <c r="E400" s="36"/>
      <c r="F400" s="92" t="s">
        <v>294</v>
      </c>
      <c r="G400" s="92" t="s">
        <v>190</v>
      </c>
      <c r="H400" s="107"/>
      <c r="I400" s="107"/>
      <c r="J400" s="30">
        <v>1</v>
      </c>
      <c r="K400" s="30">
        <v>1</v>
      </c>
      <c r="L400" s="30">
        <v>1</v>
      </c>
      <c r="M400" s="30">
        <v>1</v>
      </c>
      <c r="N400" s="58"/>
      <c r="O400" s="36"/>
    </row>
    <row r="401" spans="1:15" x14ac:dyDescent="0.35">
      <c r="A401" s="36"/>
      <c r="B401" s="36"/>
      <c r="C401" s="36"/>
      <c r="D401" s="36"/>
      <c r="E401" s="36"/>
      <c r="F401" s="92" t="s">
        <v>293</v>
      </c>
      <c r="G401" s="92" t="s">
        <v>190</v>
      </c>
      <c r="H401" s="107"/>
      <c r="I401" s="107"/>
      <c r="J401" s="30">
        <v>1</v>
      </c>
      <c r="K401" s="30">
        <v>1</v>
      </c>
      <c r="L401" s="30">
        <v>1</v>
      </c>
      <c r="M401" s="30">
        <v>1</v>
      </c>
      <c r="N401" s="58"/>
      <c r="O401" s="36"/>
    </row>
    <row r="402" spans="1:15" x14ac:dyDescent="0.35">
      <c r="A402" s="36"/>
      <c r="B402" s="36"/>
      <c r="C402" s="36"/>
      <c r="D402" s="36"/>
      <c r="E402" s="36"/>
      <c r="F402" s="92" t="s">
        <v>295</v>
      </c>
      <c r="G402" s="92" t="s">
        <v>190</v>
      </c>
      <c r="H402" s="107"/>
      <c r="I402" s="107"/>
      <c r="J402" s="30">
        <v>1</v>
      </c>
      <c r="K402" s="30">
        <v>1</v>
      </c>
      <c r="L402" s="30">
        <v>1</v>
      </c>
      <c r="M402" s="30">
        <v>1</v>
      </c>
      <c r="N402" s="58"/>
      <c r="O402" s="36"/>
    </row>
    <row r="403" spans="1:15" x14ac:dyDescent="0.35">
      <c r="A403" s="36"/>
      <c r="B403" s="36"/>
      <c r="C403" s="36"/>
      <c r="D403" s="36"/>
      <c r="E403" s="36"/>
      <c r="F403" s="92" t="s">
        <v>199</v>
      </c>
      <c r="G403" s="92" t="s">
        <v>190</v>
      </c>
      <c r="H403" s="107"/>
      <c r="I403" s="107"/>
      <c r="J403" s="30">
        <v>1</v>
      </c>
      <c r="K403" s="30">
        <v>1</v>
      </c>
      <c r="L403" s="30">
        <v>1</v>
      </c>
      <c r="M403" s="110"/>
      <c r="N403" s="58"/>
      <c r="O403" s="36"/>
    </row>
    <row r="404" spans="1:15" x14ac:dyDescent="0.35">
      <c r="A404" s="36"/>
      <c r="B404" s="36"/>
      <c r="C404" s="36"/>
      <c r="D404" s="36"/>
      <c r="E404" s="36"/>
      <c r="F404" s="92" t="s">
        <v>198</v>
      </c>
      <c r="G404" s="92" t="s">
        <v>190</v>
      </c>
      <c r="H404" s="107"/>
      <c r="I404" s="107"/>
      <c r="J404" s="30">
        <v>1</v>
      </c>
      <c r="K404" s="30">
        <v>1</v>
      </c>
      <c r="L404" s="110"/>
      <c r="M404" s="110"/>
      <c r="N404" s="58"/>
      <c r="O404" s="36"/>
    </row>
    <row r="405" spans="1:15" x14ac:dyDescent="0.35">
      <c r="A405" s="36"/>
      <c r="B405" s="36"/>
      <c r="C405" s="36"/>
      <c r="D405" s="36"/>
      <c r="E405" s="36"/>
      <c r="F405" s="94" t="s">
        <v>303</v>
      </c>
      <c r="G405" s="94" t="s">
        <v>190</v>
      </c>
      <c r="H405" s="111"/>
      <c r="I405" s="111"/>
      <c r="J405" s="29">
        <v>1</v>
      </c>
      <c r="K405" s="183"/>
      <c r="L405" s="183"/>
      <c r="M405" s="183"/>
      <c r="N405" s="58"/>
      <c r="O405" s="36"/>
    </row>
    <row r="406" spans="1:15" x14ac:dyDescent="0.35">
      <c r="A406" s="36"/>
      <c r="B406" s="36"/>
      <c r="C406" s="36"/>
      <c r="D406" s="36"/>
      <c r="E406" s="36"/>
      <c r="F406" s="36"/>
      <c r="G406" s="36"/>
      <c r="H406" s="58"/>
      <c r="I406" s="58"/>
      <c r="J406" s="58"/>
      <c r="K406" s="58"/>
      <c r="L406" s="58"/>
      <c r="M406" s="58"/>
      <c r="N406" s="58"/>
      <c r="O406" s="36"/>
    </row>
    <row r="407" spans="1:15" x14ac:dyDescent="0.35">
      <c r="A407" s="36"/>
      <c r="B407" s="36"/>
      <c r="C407" s="36"/>
      <c r="D407" s="36"/>
      <c r="E407" s="36"/>
      <c r="F407" s="36"/>
      <c r="G407" s="36"/>
      <c r="H407" s="58"/>
      <c r="I407" s="58"/>
      <c r="J407" s="58"/>
      <c r="K407" s="58"/>
      <c r="L407" s="58"/>
      <c r="M407" s="58"/>
      <c r="N407" s="58"/>
      <c r="O407" s="36"/>
    </row>
    <row r="408" spans="1:15" x14ac:dyDescent="0.35">
      <c r="A408" s="36"/>
      <c r="B408" s="36"/>
      <c r="C408" s="173" t="s">
        <v>315</v>
      </c>
      <c r="D408" s="173"/>
      <c r="E408" s="173"/>
      <c r="F408" s="173"/>
      <c r="G408" s="173"/>
      <c r="H408" s="173"/>
      <c r="I408" s="173"/>
      <c r="J408" s="173"/>
      <c r="K408" s="173"/>
      <c r="L408" s="173"/>
      <c r="M408" s="173"/>
      <c r="N408" s="173"/>
      <c r="O408" s="173"/>
    </row>
    <row r="409" spans="1:15" x14ac:dyDescent="0.35">
      <c r="A409" s="36"/>
      <c r="B409" s="36"/>
      <c r="I409" s="58"/>
      <c r="J409" s="58"/>
      <c r="K409" s="58"/>
      <c r="L409" s="58"/>
      <c r="M409" s="58"/>
      <c r="N409" s="58"/>
      <c r="O409" s="36"/>
    </row>
    <row r="410" spans="1:15" x14ac:dyDescent="0.35">
      <c r="A410" s="36"/>
      <c r="B410" s="36"/>
      <c r="E410" t="s">
        <v>316</v>
      </c>
      <c r="G410" t="s">
        <v>317</v>
      </c>
      <c r="H410" s="174">
        <v>3</v>
      </c>
      <c r="I410" s="58"/>
      <c r="J410" s="58"/>
      <c r="K410" s="58"/>
      <c r="L410" s="58"/>
      <c r="M410" s="58"/>
      <c r="N410" s="58"/>
      <c r="O410" s="36"/>
    </row>
    <row r="411" spans="1:15" x14ac:dyDescent="0.35">
      <c r="A411" s="36"/>
      <c r="B411" s="36"/>
      <c r="C411" s="36"/>
      <c r="D411" s="36"/>
      <c r="E411" s="36"/>
      <c r="F411" s="36"/>
      <c r="G411" s="36"/>
      <c r="H411" s="58"/>
      <c r="I411" s="58"/>
      <c r="J411" s="58"/>
      <c r="K411" s="58"/>
      <c r="L411" s="58"/>
      <c r="M411" s="58"/>
      <c r="N411" s="58"/>
      <c r="O411" s="36"/>
    </row>
    <row r="412" spans="1:15" x14ac:dyDescent="0.35">
      <c r="A412" s="36"/>
      <c r="B412" s="84" t="s">
        <v>87</v>
      </c>
      <c r="C412" s="84"/>
      <c r="D412" s="84"/>
      <c r="E412" s="84"/>
      <c r="F412" s="84"/>
      <c r="G412" s="84"/>
      <c r="H412" s="85"/>
      <c r="I412" s="85"/>
      <c r="J412" s="85"/>
      <c r="K412" s="85"/>
      <c r="L412" s="85"/>
      <c r="M412" s="85"/>
      <c r="N412" s="85"/>
      <c r="O412" s="84"/>
    </row>
  </sheetData>
  <sheetProtection sheet="1" formatCells="0" formatColumns="0" formatRows="0" sort="0" autoFilter="0"/>
  <dataConsolidate/>
  <conditionalFormatting sqref="Q4:XFD4">
    <cfRule type="expression" dxfId="45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8 H51" xr:uid="{00000000-0002-0000-0500-000000000000}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90:H274" xr:uid="{00000000-0002-0000-0500-000001000000}">
      <formula1>$H$183:$H$187</formula1>
    </dataValidation>
    <dataValidation type="decimal" operator="greaterThan" allowBlank="1" showInputMessage="1" showErrorMessage="1" sqref="H17" xr:uid="{00000000-0002-0000-0500-000002000000}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2:H176" xr:uid="{00000000-0002-0000-0500-000003000000}">
      <formula1>$H$138:$H$139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9:H373" xr:uid="{00000000-0002-0000-0500-000004000000}">
      <formula1>$H$282:$H$286</formula1>
    </dataValidation>
  </dataValidations>
  <hyperlinks>
    <hyperlink ref="B5" location="'Model map'!A1" display="Click here to return to model map" xr:uid="{21B388C7-6D7E-40BF-A0B8-35EF6607755F}"/>
    <hyperlink ref="B5:H5" location="'Model map'!A4" tooltip="Click to return to model map" display="'Model map'!A4" xr:uid="{6F816715-7089-4E50-9C49-16727C5522F0}"/>
    <hyperlink ref="B5:F5" location="'Model map'!A4" tooltip="Click to return to model map" display="'Model map'!A4" xr:uid="{E583C903-08EF-452A-AD51-A53CFC617E22}"/>
    <hyperlink ref="A1" location="Index!A1" display="Index!A1" xr:uid="{E42344E6-1E1A-40D5-A879-B2C016E10855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5" tint="0.59999389629810485"/>
  </sheetPr>
  <dimension ref="A1:P414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13" width="20.7265625" customWidth="1"/>
    <col min="14" max="14" width="2.7265625" customWidth="1"/>
    <col min="15" max="15" width="40.7265625" customWidth="1"/>
    <col min="16" max="16" width="2.7265625" customWidth="1"/>
    <col min="17" max="16384" width="9.1796875" hidden="1"/>
  </cols>
  <sheetData>
    <row r="1" spans="1:16" x14ac:dyDescent="0.35">
      <c r="A1" s="74" t="str">
        <f ca="1">MID(CELL("filename",A1),FIND("]",CELL("filename",A1))+1,255)</f>
        <v>DNO inputs</v>
      </c>
      <c r="B1" s="74"/>
      <c r="C1" s="74"/>
      <c r="D1" s="74"/>
      <c r="E1" s="74"/>
      <c r="F1" s="74"/>
      <c r="G1" s="74"/>
      <c r="H1" s="75"/>
      <c r="I1" s="75"/>
      <c r="J1" s="75"/>
      <c r="K1" s="75"/>
      <c r="L1" s="75"/>
      <c r="M1" s="75"/>
      <c r="N1" s="75"/>
      <c r="O1" s="74"/>
      <c r="P1" s="2"/>
    </row>
    <row r="2" spans="1:16" x14ac:dyDescent="0.35">
      <c r="A2" s="74" t="str">
        <f>Cover!D21&amp;" - "&amp;Cover!D23</f>
        <v>Southern Electric Power Distribution - Final</v>
      </c>
      <c r="B2" s="74"/>
      <c r="C2" s="74"/>
      <c r="D2" s="74"/>
      <c r="E2" s="74"/>
      <c r="F2" s="74"/>
      <c r="G2" s="74"/>
      <c r="H2" s="75"/>
      <c r="I2" s="75"/>
      <c r="J2" s="75"/>
      <c r="K2" s="75"/>
      <c r="L2" s="75"/>
      <c r="M2" s="75"/>
      <c r="N2" s="75"/>
      <c r="O2" s="74"/>
      <c r="P2" s="2"/>
    </row>
    <row r="3" spans="1:16" x14ac:dyDescent="0.35">
      <c r="A3" s="76" t="str">
        <f>Cover!D2&amp;" - "&amp;Cover!D8&amp;" v"&amp;Cover!D10&amp;" - "&amp;Cover!D19</f>
        <v>PCDM charging model - Release for charge setting v5 - 2024/25</v>
      </c>
      <c r="B3" s="77"/>
      <c r="C3" s="77"/>
      <c r="D3" s="77"/>
      <c r="E3" s="77"/>
      <c r="F3" s="77"/>
      <c r="G3" s="77"/>
      <c r="H3" s="78"/>
      <c r="I3" s="78"/>
      <c r="J3" s="78"/>
      <c r="K3" s="78"/>
      <c r="L3" s="78"/>
      <c r="M3" s="78"/>
      <c r="N3" s="78"/>
      <c r="O3" s="77"/>
      <c r="P3" s="3"/>
    </row>
    <row r="4" spans="1:16" x14ac:dyDescent="0.35">
      <c r="A4" s="36"/>
      <c r="B4" s="36"/>
      <c r="C4" s="36"/>
      <c r="D4" s="36"/>
      <c r="E4" s="36"/>
      <c r="F4" s="36"/>
      <c r="G4" s="36"/>
      <c r="H4" s="58"/>
      <c r="I4" s="58"/>
      <c r="J4" s="58"/>
      <c r="K4" s="58"/>
      <c r="L4" s="58"/>
      <c r="M4" s="58"/>
      <c r="N4" s="58"/>
      <c r="O4" s="36"/>
    </row>
    <row r="5" spans="1:16" x14ac:dyDescent="0.35">
      <c r="A5" s="36"/>
      <c r="B5" s="79" t="s">
        <v>104</v>
      </c>
      <c r="C5" s="42"/>
      <c r="D5" s="42"/>
      <c r="E5" s="42"/>
      <c r="F5" s="42"/>
      <c r="G5" s="80" t="s">
        <v>105</v>
      </c>
      <c r="H5" s="100" t="s">
        <v>106</v>
      </c>
      <c r="I5" s="58"/>
      <c r="J5" s="82"/>
      <c r="K5" s="82"/>
      <c r="L5" s="82"/>
      <c r="M5" s="82"/>
      <c r="N5" s="58"/>
      <c r="O5" s="80" t="s">
        <v>107</v>
      </c>
    </row>
    <row r="6" spans="1:16" x14ac:dyDescent="0.35">
      <c r="A6" s="36"/>
      <c r="B6" s="36"/>
      <c r="C6" s="36"/>
      <c r="D6" s="36"/>
      <c r="E6" s="36"/>
      <c r="F6" s="36"/>
      <c r="G6" s="36"/>
      <c r="H6" s="58"/>
      <c r="I6" s="58"/>
      <c r="J6" s="58"/>
      <c r="K6" s="58"/>
      <c r="L6" s="58"/>
      <c r="M6" s="58"/>
      <c r="N6" s="58"/>
      <c r="O6" s="36"/>
    </row>
    <row r="7" spans="1:16" x14ac:dyDescent="0.35">
      <c r="A7" s="36"/>
      <c r="B7" s="84" t="s">
        <v>13</v>
      </c>
      <c r="C7" s="84"/>
      <c r="D7" s="84"/>
      <c r="E7" s="84"/>
      <c r="F7" s="84"/>
      <c r="G7" s="84"/>
      <c r="H7" s="85"/>
      <c r="I7" s="85"/>
      <c r="J7" s="85"/>
      <c r="K7" s="85"/>
      <c r="L7" s="85"/>
      <c r="M7" s="85"/>
      <c r="N7" s="85"/>
      <c r="O7" s="84"/>
    </row>
    <row r="8" spans="1:16" x14ac:dyDescent="0.35">
      <c r="A8" s="36"/>
      <c r="B8" s="36"/>
      <c r="C8" s="36"/>
      <c r="D8" s="36"/>
      <c r="E8" s="36"/>
      <c r="F8" s="36"/>
      <c r="G8" s="36"/>
      <c r="H8" s="58"/>
      <c r="I8" s="58"/>
      <c r="J8" s="58"/>
      <c r="K8" s="58"/>
      <c r="L8" s="58"/>
      <c r="M8" s="58"/>
      <c r="N8" s="58"/>
      <c r="O8" s="36"/>
    </row>
    <row r="9" spans="1:16" x14ac:dyDescent="0.35">
      <c r="A9" s="36"/>
      <c r="B9" s="36"/>
      <c r="C9" s="86" t="s">
        <v>318</v>
      </c>
      <c r="D9" s="86"/>
      <c r="E9" s="36"/>
      <c r="F9" s="36"/>
      <c r="G9" s="36"/>
      <c r="H9" s="58"/>
      <c r="I9" s="58"/>
      <c r="J9" s="58"/>
      <c r="K9" s="58"/>
      <c r="L9" s="58"/>
      <c r="M9" s="58"/>
      <c r="N9" s="58"/>
      <c r="O9" s="36"/>
    </row>
    <row r="10" spans="1:16" x14ac:dyDescent="0.35">
      <c r="A10" s="36"/>
      <c r="B10" s="36"/>
      <c r="C10" s="86"/>
      <c r="D10" s="86"/>
      <c r="E10" s="36"/>
      <c r="F10" s="36"/>
      <c r="G10" s="36"/>
      <c r="H10" s="58"/>
      <c r="I10" s="58"/>
      <c r="J10" s="58"/>
      <c r="K10" s="58"/>
      <c r="L10" s="58"/>
      <c r="M10" s="58"/>
      <c r="N10" s="58"/>
      <c r="O10" s="36"/>
    </row>
    <row r="11" spans="1:16" x14ac:dyDescent="0.35">
      <c r="A11" s="36"/>
      <c r="B11" s="84" t="s">
        <v>319</v>
      </c>
      <c r="C11" s="84"/>
      <c r="D11" s="84"/>
      <c r="E11" s="84"/>
      <c r="F11" s="84"/>
      <c r="G11" s="84"/>
      <c r="H11" s="85"/>
      <c r="I11" s="85"/>
      <c r="J11" s="85"/>
      <c r="K11" s="85"/>
      <c r="L11" s="85"/>
      <c r="M11" s="85"/>
      <c r="N11" s="85"/>
      <c r="O11" s="84"/>
    </row>
    <row r="12" spans="1:16" x14ac:dyDescent="0.35">
      <c r="A12" s="36"/>
      <c r="B12" s="36"/>
      <c r="C12" s="36"/>
      <c r="D12" s="36"/>
      <c r="E12" s="36"/>
      <c r="F12" s="36"/>
      <c r="G12" s="36"/>
      <c r="H12" s="58"/>
      <c r="I12" s="58"/>
      <c r="J12" s="58"/>
      <c r="K12" s="58"/>
      <c r="L12" s="58"/>
      <c r="M12" s="58"/>
      <c r="N12" s="58"/>
      <c r="O12" s="36"/>
    </row>
    <row r="13" spans="1:16" x14ac:dyDescent="0.35">
      <c r="A13" s="36"/>
      <c r="B13" s="36"/>
      <c r="C13" s="86" t="s">
        <v>320</v>
      </c>
      <c r="D13" s="86"/>
      <c r="E13" s="36"/>
      <c r="F13" s="36"/>
      <c r="G13" s="36"/>
      <c r="H13" s="58"/>
      <c r="I13" s="58"/>
      <c r="J13" s="58"/>
      <c r="K13" s="58"/>
      <c r="L13" s="58"/>
      <c r="M13" s="58"/>
      <c r="N13" s="58"/>
      <c r="O13" s="36"/>
    </row>
    <row r="14" spans="1:16" x14ac:dyDescent="0.35">
      <c r="A14" s="36"/>
      <c r="B14" s="36"/>
      <c r="C14" s="86"/>
      <c r="D14" s="86"/>
      <c r="E14" s="36"/>
      <c r="F14" s="36"/>
      <c r="G14" s="36"/>
      <c r="H14" s="58"/>
      <c r="I14" s="58"/>
      <c r="J14" s="58"/>
      <c r="K14" s="58"/>
      <c r="L14" s="58"/>
      <c r="M14" s="58"/>
      <c r="N14" s="58"/>
      <c r="O14" s="36"/>
    </row>
    <row r="15" spans="1:16" x14ac:dyDescent="0.35">
      <c r="A15" s="36"/>
      <c r="B15" s="36"/>
      <c r="C15" s="87" t="s">
        <v>321</v>
      </c>
      <c r="D15" s="87"/>
      <c r="E15" s="87"/>
      <c r="F15" s="87"/>
      <c r="G15" s="87"/>
      <c r="H15" s="88"/>
      <c r="I15" s="88"/>
      <c r="J15" s="88"/>
      <c r="K15" s="88"/>
      <c r="L15" s="88"/>
      <c r="M15" s="88"/>
      <c r="N15" s="88"/>
      <c r="O15" s="87"/>
    </row>
    <row r="16" spans="1:16" x14ac:dyDescent="0.35">
      <c r="A16" s="36"/>
      <c r="B16" s="36"/>
      <c r="C16" s="86"/>
      <c r="D16" s="86"/>
      <c r="E16" s="36"/>
      <c r="F16" s="36"/>
      <c r="G16" s="36"/>
      <c r="H16" s="58"/>
      <c r="I16" s="58"/>
      <c r="J16" s="58"/>
      <c r="K16" s="58"/>
      <c r="L16" s="58"/>
      <c r="M16" s="58"/>
      <c r="N16" s="58"/>
      <c r="O16" s="36"/>
    </row>
    <row r="17" spans="1:15" x14ac:dyDescent="0.35">
      <c r="A17" s="36"/>
      <c r="B17" s="36"/>
      <c r="C17" s="36"/>
      <c r="D17" s="86" t="s">
        <v>322</v>
      </c>
      <c r="E17" s="36"/>
      <c r="F17" s="36"/>
      <c r="G17" s="36"/>
      <c r="H17" s="58"/>
      <c r="I17" s="58"/>
      <c r="J17" s="58"/>
      <c r="K17" s="58"/>
      <c r="L17" s="58"/>
      <c r="M17" s="58"/>
      <c r="N17" s="58"/>
      <c r="O17" s="36"/>
    </row>
    <row r="18" spans="1:15" x14ac:dyDescent="0.35">
      <c r="A18" s="36"/>
      <c r="B18" s="36"/>
      <c r="C18" s="36"/>
      <c r="D18" s="86"/>
      <c r="E18" s="36"/>
      <c r="F18" s="36"/>
      <c r="G18" s="36"/>
      <c r="H18" s="58"/>
      <c r="I18" s="58"/>
      <c r="J18" s="58"/>
      <c r="K18" s="58"/>
      <c r="L18" s="58"/>
      <c r="M18" s="58"/>
      <c r="N18" s="58"/>
      <c r="O18" s="36"/>
    </row>
    <row r="19" spans="1:15" x14ac:dyDescent="0.35">
      <c r="A19" s="98"/>
      <c r="B19" s="36"/>
      <c r="C19" s="36"/>
      <c r="D19" s="36"/>
      <c r="E19" s="92" t="s">
        <v>323</v>
      </c>
      <c r="F19" s="36"/>
      <c r="G19" s="92" t="s">
        <v>119</v>
      </c>
      <c r="H19" s="32">
        <v>0.11040335738923947</v>
      </c>
      <c r="I19" s="102" t="s">
        <v>120</v>
      </c>
      <c r="J19" s="106"/>
      <c r="K19" s="106"/>
      <c r="L19" s="106"/>
      <c r="M19" s="106"/>
      <c r="N19" s="58"/>
      <c r="O19" s="92" t="s">
        <v>324</v>
      </c>
    </row>
    <row r="20" spans="1:15" x14ac:dyDescent="0.35">
      <c r="A20" s="36"/>
      <c r="B20" s="36"/>
      <c r="C20" s="36"/>
      <c r="D20" s="36"/>
      <c r="E20" s="86"/>
      <c r="F20" s="36"/>
      <c r="G20" s="36"/>
      <c r="H20" s="58"/>
      <c r="I20" s="58"/>
      <c r="J20" s="58"/>
      <c r="K20" s="58"/>
      <c r="L20" s="58"/>
      <c r="M20" s="58"/>
      <c r="N20" s="58"/>
      <c r="O20" s="36"/>
    </row>
    <row r="21" spans="1:15" x14ac:dyDescent="0.35">
      <c r="A21" s="36"/>
      <c r="B21" s="36"/>
      <c r="C21" s="87" t="s">
        <v>325</v>
      </c>
      <c r="D21" s="87"/>
      <c r="E21" s="87"/>
      <c r="F21" s="87"/>
      <c r="G21" s="87"/>
      <c r="H21" s="88"/>
      <c r="I21" s="88"/>
      <c r="J21" s="88"/>
      <c r="K21" s="88"/>
      <c r="L21" s="88"/>
      <c r="M21" s="88"/>
      <c r="N21" s="88"/>
      <c r="O21" s="87"/>
    </row>
    <row r="22" spans="1:15" x14ac:dyDescent="0.35">
      <c r="A22" s="36"/>
      <c r="B22" s="36"/>
      <c r="C22" s="86"/>
      <c r="D22" s="86"/>
      <c r="E22" s="36"/>
      <c r="F22" s="36"/>
      <c r="G22" s="36"/>
      <c r="H22" s="58"/>
      <c r="I22" s="58"/>
      <c r="J22" s="58"/>
      <c r="K22" s="58"/>
      <c r="L22" s="58"/>
      <c r="M22" s="58"/>
      <c r="N22" s="58"/>
      <c r="O22" s="36"/>
    </row>
    <row r="23" spans="1:15" x14ac:dyDescent="0.35">
      <c r="A23" s="36"/>
      <c r="B23" s="36"/>
      <c r="C23" s="36"/>
      <c r="D23" s="86" t="s">
        <v>326</v>
      </c>
      <c r="E23" s="36"/>
      <c r="F23" s="36"/>
      <c r="G23" s="36"/>
      <c r="H23" s="58"/>
      <c r="I23" s="58"/>
      <c r="J23" s="58"/>
      <c r="K23" s="58"/>
      <c r="L23" s="58"/>
      <c r="M23" s="58"/>
      <c r="N23" s="58"/>
      <c r="O23" s="36"/>
    </row>
    <row r="24" spans="1:15" x14ac:dyDescent="0.35">
      <c r="A24" s="36"/>
      <c r="B24" s="36"/>
      <c r="C24" s="36"/>
      <c r="D24" s="86" t="s">
        <v>327</v>
      </c>
      <c r="E24" s="36"/>
      <c r="F24" s="36"/>
      <c r="G24" s="36"/>
      <c r="H24" s="58"/>
      <c r="I24" s="58"/>
      <c r="J24" s="58"/>
      <c r="K24" s="58"/>
      <c r="L24" s="58"/>
      <c r="M24" s="58"/>
      <c r="N24" s="58"/>
      <c r="O24" s="36"/>
    </row>
    <row r="25" spans="1:15" x14ac:dyDescent="0.35">
      <c r="A25" s="36"/>
      <c r="B25" s="36"/>
      <c r="C25" s="36"/>
      <c r="D25" s="86"/>
      <c r="E25" s="36"/>
      <c r="F25" s="36"/>
      <c r="G25" s="36"/>
      <c r="H25" s="58"/>
      <c r="I25" s="58"/>
      <c r="J25" s="58"/>
      <c r="K25" s="58"/>
      <c r="L25" s="58"/>
      <c r="M25" s="58"/>
      <c r="N25" s="58"/>
      <c r="O25" s="36"/>
    </row>
    <row r="26" spans="1:15" x14ac:dyDescent="0.35">
      <c r="A26" s="98"/>
      <c r="B26" s="36"/>
      <c r="C26" s="36"/>
      <c r="D26" s="36"/>
      <c r="E26" s="92" t="s">
        <v>328</v>
      </c>
      <c r="F26" s="36"/>
      <c r="G26" s="92" t="s">
        <v>119</v>
      </c>
      <c r="H26" s="32">
        <v>0.88845608931048481</v>
      </c>
      <c r="I26" s="102" t="s">
        <v>120</v>
      </c>
      <c r="J26" s="106"/>
      <c r="K26" s="106"/>
      <c r="L26" s="106"/>
      <c r="M26" s="106"/>
      <c r="N26" s="58"/>
      <c r="O26" s="92" t="s">
        <v>329</v>
      </c>
    </row>
    <row r="27" spans="1:15" x14ac:dyDescent="0.35">
      <c r="A27" s="36"/>
      <c r="B27" s="36"/>
      <c r="C27" s="36"/>
      <c r="D27" s="36"/>
      <c r="E27" s="86"/>
      <c r="F27" s="36"/>
      <c r="G27" s="36"/>
      <c r="H27" s="58"/>
      <c r="I27" s="58"/>
      <c r="J27" s="58"/>
      <c r="K27" s="58"/>
      <c r="L27" s="58"/>
      <c r="M27" s="58"/>
      <c r="N27" s="58"/>
      <c r="O27" s="36"/>
    </row>
    <row r="28" spans="1:15" x14ac:dyDescent="0.35">
      <c r="A28" s="36"/>
      <c r="B28" s="84" t="s">
        <v>330</v>
      </c>
      <c r="C28" s="84"/>
      <c r="D28" s="84"/>
      <c r="E28" s="84"/>
      <c r="F28" s="84"/>
      <c r="G28" s="84"/>
      <c r="H28" s="85"/>
      <c r="I28" s="85"/>
      <c r="J28" s="85"/>
      <c r="K28" s="85"/>
      <c r="L28" s="85"/>
      <c r="M28" s="85"/>
      <c r="N28" s="85"/>
      <c r="O28" s="84"/>
    </row>
    <row r="29" spans="1:15" x14ac:dyDescent="0.35">
      <c r="A29" s="36"/>
      <c r="B29" s="36"/>
      <c r="C29" s="36"/>
      <c r="D29" s="36"/>
      <c r="E29" s="36"/>
      <c r="F29" s="36"/>
      <c r="G29" s="36"/>
      <c r="H29" s="58"/>
      <c r="I29" s="58"/>
      <c r="J29" s="58"/>
      <c r="K29" s="58"/>
      <c r="L29" s="58"/>
      <c r="M29" s="58"/>
      <c r="N29" s="58"/>
      <c r="O29" s="36"/>
    </row>
    <row r="30" spans="1:15" x14ac:dyDescent="0.35">
      <c r="A30" s="36"/>
      <c r="B30" s="36"/>
      <c r="C30" s="86" t="s">
        <v>331</v>
      </c>
      <c r="D30" s="86"/>
      <c r="E30" s="36"/>
      <c r="F30" s="36"/>
      <c r="G30" s="36"/>
      <c r="H30" s="58"/>
      <c r="I30" s="58"/>
      <c r="J30" s="58"/>
      <c r="K30" s="58"/>
      <c r="L30" s="58"/>
      <c r="M30" s="58"/>
      <c r="N30" s="58"/>
      <c r="O30" s="36"/>
    </row>
    <row r="31" spans="1:15" x14ac:dyDescent="0.35">
      <c r="A31" s="36"/>
      <c r="B31" s="36"/>
      <c r="C31" s="86"/>
      <c r="D31" s="86"/>
      <c r="E31" s="36"/>
      <c r="F31" s="36"/>
      <c r="G31" s="36"/>
      <c r="H31" s="58"/>
      <c r="I31" s="58"/>
      <c r="J31" s="58"/>
      <c r="K31" s="58"/>
      <c r="L31" s="58"/>
      <c r="M31" s="58"/>
      <c r="N31" s="58"/>
      <c r="O31" s="36"/>
    </row>
    <row r="32" spans="1:15" x14ac:dyDescent="0.35">
      <c r="A32" s="36"/>
      <c r="B32" s="36"/>
      <c r="C32" s="87" t="s">
        <v>332</v>
      </c>
      <c r="D32" s="87"/>
      <c r="E32" s="87"/>
      <c r="F32" s="87"/>
      <c r="G32" s="87"/>
      <c r="H32" s="88"/>
      <c r="I32" s="88"/>
      <c r="J32" s="88"/>
      <c r="K32" s="88"/>
      <c r="L32" s="88"/>
      <c r="M32" s="88"/>
      <c r="N32" s="88"/>
      <c r="O32" s="87"/>
    </row>
    <row r="33" spans="1:15" x14ac:dyDescent="0.35">
      <c r="A33" s="36"/>
      <c r="B33" s="36"/>
      <c r="C33" s="86"/>
      <c r="D33" s="86"/>
      <c r="E33" s="36"/>
      <c r="F33" s="36"/>
      <c r="G33" s="36"/>
      <c r="H33" s="58"/>
      <c r="I33" s="58"/>
      <c r="J33" s="58"/>
      <c r="K33" s="58"/>
      <c r="L33" s="58"/>
      <c r="M33" s="58"/>
      <c r="N33" s="58"/>
      <c r="O33" s="36"/>
    </row>
    <row r="34" spans="1:15" x14ac:dyDescent="0.35">
      <c r="A34" s="36"/>
      <c r="B34" s="36"/>
      <c r="C34" s="36"/>
      <c r="D34" s="86" t="s">
        <v>333</v>
      </c>
      <c r="E34" s="36"/>
      <c r="F34" s="36"/>
      <c r="G34" s="36"/>
      <c r="H34" s="58"/>
      <c r="I34" s="58"/>
      <c r="J34" s="58"/>
      <c r="K34" s="58"/>
      <c r="L34" s="58"/>
      <c r="M34" s="58"/>
      <c r="N34" s="58"/>
      <c r="O34" s="36"/>
    </row>
    <row r="35" spans="1:15" x14ac:dyDescent="0.35">
      <c r="A35" s="36"/>
      <c r="B35" s="36"/>
      <c r="C35" s="36"/>
      <c r="D35" s="86" t="s">
        <v>334</v>
      </c>
      <c r="E35" s="36"/>
      <c r="F35" s="36"/>
      <c r="G35" s="36"/>
      <c r="H35" s="58"/>
      <c r="I35" s="58"/>
      <c r="J35" s="58"/>
      <c r="K35" s="58"/>
      <c r="L35" s="58"/>
      <c r="M35" s="58"/>
      <c r="N35" s="58"/>
      <c r="O35" s="36"/>
    </row>
    <row r="36" spans="1:15" x14ac:dyDescent="0.35">
      <c r="A36" s="36"/>
      <c r="B36" s="36"/>
      <c r="C36" s="36"/>
      <c r="D36" s="86"/>
      <c r="E36" s="36"/>
      <c r="F36" s="36"/>
      <c r="G36" s="36"/>
      <c r="H36" s="58"/>
      <c r="I36" s="58"/>
      <c r="J36" s="58"/>
      <c r="K36" s="58"/>
      <c r="L36" s="58"/>
      <c r="M36" s="58"/>
      <c r="N36" s="58"/>
      <c r="O36" s="36"/>
    </row>
    <row r="37" spans="1:15" x14ac:dyDescent="0.35">
      <c r="A37" s="98"/>
      <c r="B37" s="36"/>
      <c r="C37" s="36"/>
      <c r="D37" s="86"/>
      <c r="E37" s="89" t="s">
        <v>335</v>
      </c>
      <c r="F37" s="36"/>
      <c r="G37" s="36"/>
      <c r="H37" s="58"/>
      <c r="I37" s="103" t="s">
        <v>120</v>
      </c>
      <c r="J37" s="58"/>
      <c r="K37" s="58"/>
      <c r="L37" s="58"/>
      <c r="M37" s="58"/>
      <c r="N37" s="58"/>
      <c r="O37" s="92" t="s">
        <v>336</v>
      </c>
    </row>
    <row r="38" spans="1:15" x14ac:dyDescent="0.35">
      <c r="A38" s="36"/>
      <c r="B38" s="36"/>
      <c r="C38" s="36"/>
      <c r="D38" s="36"/>
      <c r="E38" s="86"/>
      <c r="F38" s="90" t="s">
        <v>296</v>
      </c>
      <c r="G38" s="90" t="s">
        <v>337</v>
      </c>
      <c r="H38" s="33">
        <v>942489173.62997806</v>
      </c>
      <c r="I38" s="101"/>
      <c r="J38" s="101"/>
      <c r="K38" s="101"/>
      <c r="L38" s="101"/>
      <c r="M38" s="101"/>
      <c r="N38" s="58"/>
      <c r="O38" s="36"/>
    </row>
    <row r="39" spans="1:15" x14ac:dyDescent="0.35">
      <c r="A39" s="36"/>
      <c r="B39" s="36"/>
      <c r="C39" s="36"/>
      <c r="D39" s="36"/>
      <c r="E39" s="36"/>
      <c r="F39" s="92" t="s">
        <v>294</v>
      </c>
      <c r="G39" s="92" t="s">
        <v>337</v>
      </c>
      <c r="H39" s="34">
        <v>243867060.92481834</v>
      </c>
      <c r="I39" s="101"/>
      <c r="J39" s="101"/>
      <c r="K39" s="101"/>
      <c r="L39" s="101"/>
      <c r="M39" s="101"/>
      <c r="N39" s="58"/>
      <c r="O39" s="36"/>
    </row>
    <row r="40" spans="1:15" x14ac:dyDescent="0.35">
      <c r="A40" s="36"/>
      <c r="B40" s="36"/>
      <c r="C40" s="36"/>
      <c r="D40" s="36"/>
      <c r="E40" s="36"/>
      <c r="F40" s="92" t="s">
        <v>293</v>
      </c>
      <c r="G40" s="92" t="s">
        <v>337</v>
      </c>
      <c r="H40" s="34">
        <v>700027122.42113173</v>
      </c>
      <c r="I40" s="101"/>
      <c r="J40" s="101"/>
      <c r="K40" s="101"/>
      <c r="L40" s="101"/>
      <c r="M40" s="101"/>
      <c r="N40" s="58"/>
      <c r="O40" s="36"/>
    </row>
    <row r="41" spans="1:15" x14ac:dyDescent="0.35">
      <c r="A41" s="36"/>
      <c r="B41" s="36"/>
      <c r="C41" s="36"/>
      <c r="D41" s="36"/>
      <c r="E41" s="36"/>
      <c r="F41" s="92" t="s">
        <v>295</v>
      </c>
      <c r="G41" s="92" t="s">
        <v>337</v>
      </c>
      <c r="H41" s="34">
        <v>602585139.72818041</v>
      </c>
      <c r="I41" s="101"/>
      <c r="J41" s="101"/>
      <c r="K41" s="101"/>
      <c r="L41" s="101"/>
      <c r="M41" s="101"/>
      <c r="N41" s="58"/>
      <c r="O41" s="36"/>
    </row>
    <row r="42" spans="1:15" x14ac:dyDescent="0.35">
      <c r="A42" s="36"/>
      <c r="B42" s="36"/>
      <c r="C42" s="36"/>
      <c r="D42" s="36"/>
      <c r="E42" s="36"/>
      <c r="F42" s="94" t="s">
        <v>338</v>
      </c>
      <c r="G42" s="94" t="s">
        <v>337</v>
      </c>
      <c r="H42" s="35">
        <v>0</v>
      </c>
      <c r="I42" s="101"/>
      <c r="J42" s="101"/>
      <c r="K42" s="101"/>
      <c r="L42" s="101"/>
      <c r="M42" s="101"/>
      <c r="N42" s="58"/>
      <c r="O42" s="36"/>
    </row>
    <row r="43" spans="1:15" x14ac:dyDescent="0.35">
      <c r="A43" s="36"/>
      <c r="B43" s="36"/>
      <c r="C43" s="36"/>
      <c r="D43" s="36"/>
      <c r="E43" s="36"/>
      <c r="F43" s="36"/>
      <c r="G43" s="36"/>
      <c r="H43" s="58"/>
      <c r="I43" s="58"/>
      <c r="J43" s="58"/>
      <c r="K43" s="58"/>
      <c r="L43" s="58"/>
      <c r="M43" s="58"/>
      <c r="N43" s="58"/>
      <c r="O43" s="36"/>
    </row>
    <row r="44" spans="1:15" x14ac:dyDescent="0.35">
      <c r="A44" s="175"/>
      <c r="B44" s="36"/>
      <c r="C44" s="87" t="s">
        <v>339</v>
      </c>
      <c r="D44" s="87"/>
      <c r="E44" s="87"/>
      <c r="F44" s="87"/>
      <c r="G44" s="87"/>
      <c r="H44" s="88"/>
      <c r="I44" s="88"/>
      <c r="J44" s="88"/>
      <c r="K44" s="88"/>
      <c r="L44" s="88"/>
      <c r="M44" s="88"/>
      <c r="N44" s="88"/>
      <c r="O44" s="87"/>
    </row>
    <row r="45" spans="1:15" x14ac:dyDescent="0.35">
      <c r="A45" s="175"/>
      <c r="B45" s="36"/>
      <c r="C45" s="86"/>
      <c r="D45" s="86"/>
      <c r="E45" s="36"/>
      <c r="F45" s="36"/>
      <c r="G45" s="36"/>
      <c r="H45" s="58"/>
      <c r="I45" s="58"/>
      <c r="J45" s="58"/>
      <c r="K45" s="58"/>
      <c r="L45" s="58"/>
      <c r="M45" s="58"/>
      <c r="N45" s="58"/>
      <c r="O45" s="36"/>
    </row>
    <row r="46" spans="1:15" x14ac:dyDescent="0.35">
      <c r="A46" s="175"/>
      <c r="B46" s="36"/>
      <c r="C46" s="36"/>
      <c r="D46" s="86" t="s">
        <v>340</v>
      </c>
      <c r="E46" s="36"/>
      <c r="F46" s="36"/>
      <c r="G46" s="36"/>
      <c r="H46" s="58"/>
      <c r="I46" s="58"/>
      <c r="J46" s="58"/>
      <c r="K46" s="58"/>
      <c r="L46" s="58"/>
      <c r="M46" s="58"/>
      <c r="N46" s="58"/>
      <c r="O46" s="36"/>
    </row>
    <row r="47" spans="1:15" x14ac:dyDescent="0.35">
      <c r="A47" s="175"/>
      <c r="B47" s="36"/>
      <c r="C47" s="36"/>
      <c r="D47" s="86" t="s">
        <v>341</v>
      </c>
      <c r="E47" s="36"/>
      <c r="F47" s="36"/>
      <c r="G47" s="36"/>
      <c r="H47" s="58"/>
      <c r="I47" s="58"/>
      <c r="J47" s="58"/>
      <c r="K47" s="58"/>
      <c r="L47" s="58"/>
      <c r="M47" s="58"/>
      <c r="N47" s="58"/>
      <c r="O47" s="36"/>
    </row>
    <row r="48" spans="1:15" x14ac:dyDescent="0.35">
      <c r="A48" s="175"/>
      <c r="B48" s="36"/>
      <c r="C48" s="36"/>
      <c r="D48" s="86"/>
      <c r="E48" s="36"/>
      <c r="F48" s="36"/>
      <c r="G48" s="36"/>
      <c r="H48" s="58"/>
      <c r="I48" s="58"/>
      <c r="J48" s="58"/>
      <c r="K48" s="58"/>
      <c r="L48" s="58"/>
      <c r="M48" s="58"/>
      <c r="N48" s="58"/>
      <c r="O48" s="36"/>
    </row>
    <row r="49" spans="1:15" x14ac:dyDescent="0.35">
      <c r="A49" s="176"/>
      <c r="B49" s="36"/>
      <c r="C49" s="36"/>
      <c r="D49" s="36"/>
      <c r="E49" s="92" t="s">
        <v>180</v>
      </c>
      <c r="F49" s="36"/>
      <c r="G49" s="92" t="s">
        <v>337</v>
      </c>
      <c r="H49" s="34">
        <v>8205460.0480434187</v>
      </c>
      <c r="I49" s="112" t="s">
        <v>120</v>
      </c>
      <c r="J49" s="101"/>
      <c r="K49" s="101"/>
      <c r="L49" s="101"/>
      <c r="M49" s="101"/>
      <c r="N49" s="58"/>
      <c r="O49" s="113" t="s">
        <v>342</v>
      </c>
    </row>
    <row r="50" spans="1:15" x14ac:dyDescent="0.35">
      <c r="A50" s="175"/>
      <c r="B50" s="36"/>
      <c r="C50" s="36"/>
      <c r="D50" s="36"/>
      <c r="E50" s="86"/>
      <c r="F50" s="36"/>
      <c r="G50" s="36"/>
      <c r="H50" s="58"/>
      <c r="I50" s="58"/>
      <c r="J50" s="58"/>
      <c r="K50" s="58"/>
      <c r="L50" s="58"/>
      <c r="M50" s="58"/>
      <c r="N50" s="58"/>
      <c r="O50" s="36"/>
    </row>
    <row r="51" spans="1:15" x14ac:dyDescent="0.35">
      <c r="A51" s="36"/>
      <c r="B51" s="36"/>
      <c r="C51" s="87" t="s">
        <v>343</v>
      </c>
      <c r="D51" s="87"/>
      <c r="E51" s="87"/>
      <c r="F51" s="87"/>
      <c r="G51" s="87"/>
      <c r="H51" s="88"/>
      <c r="I51" s="88"/>
      <c r="J51" s="88"/>
      <c r="K51" s="88"/>
      <c r="L51" s="88"/>
      <c r="M51" s="88"/>
      <c r="N51" s="88"/>
      <c r="O51" s="87"/>
    </row>
    <row r="52" spans="1:15" x14ac:dyDescent="0.35">
      <c r="A52" s="36"/>
      <c r="B52" s="36"/>
      <c r="C52" s="86"/>
      <c r="D52" s="86"/>
      <c r="E52" s="36"/>
      <c r="F52" s="36"/>
      <c r="G52" s="36"/>
      <c r="H52" s="58"/>
      <c r="I52" s="58"/>
      <c r="J52" s="58"/>
      <c r="K52" s="58"/>
      <c r="L52" s="58"/>
      <c r="M52" s="58"/>
      <c r="N52" s="58"/>
      <c r="O52" s="36"/>
    </row>
    <row r="53" spans="1:15" x14ac:dyDescent="0.35">
      <c r="A53" s="36"/>
      <c r="B53" s="36"/>
      <c r="C53" s="36"/>
      <c r="D53" s="86" t="s">
        <v>344</v>
      </c>
      <c r="E53" s="36"/>
      <c r="F53" s="36"/>
      <c r="G53" s="36"/>
      <c r="H53" s="58"/>
      <c r="I53" s="58"/>
      <c r="J53" s="58"/>
      <c r="K53" s="58"/>
      <c r="L53" s="58"/>
      <c r="M53" s="58"/>
      <c r="N53" s="58"/>
      <c r="O53" s="36"/>
    </row>
    <row r="54" spans="1:15" x14ac:dyDescent="0.35">
      <c r="A54" s="36"/>
      <c r="B54" s="36"/>
      <c r="C54" s="36"/>
      <c r="D54" s="86" t="s">
        <v>345</v>
      </c>
      <c r="E54" s="36"/>
      <c r="F54" s="36"/>
      <c r="G54" s="36"/>
      <c r="H54" s="58"/>
      <c r="I54" s="58"/>
      <c r="J54" s="58"/>
      <c r="K54" s="58"/>
      <c r="L54" s="58"/>
      <c r="M54" s="58"/>
      <c r="N54" s="58"/>
      <c r="O54" s="36"/>
    </row>
    <row r="55" spans="1:15" x14ac:dyDescent="0.35">
      <c r="A55" s="36"/>
      <c r="B55" s="36"/>
      <c r="C55" s="36"/>
      <c r="D55" s="86"/>
      <c r="E55" s="36"/>
      <c r="F55" s="36"/>
      <c r="G55" s="36"/>
      <c r="H55" s="58"/>
      <c r="I55" s="58"/>
      <c r="J55" s="58"/>
      <c r="K55" s="58"/>
      <c r="L55" s="58"/>
      <c r="M55" s="58"/>
      <c r="N55" s="58"/>
      <c r="O55" s="36"/>
    </row>
    <row r="56" spans="1:15" x14ac:dyDescent="0.35">
      <c r="A56" s="98"/>
      <c r="B56" s="36"/>
      <c r="C56" s="36"/>
      <c r="D56" s="36"/>
      <c r="E56" s="92" t="s">
        <v>346</v>
      </c>
      <c r="F56" s="36"/>
      <c r="G56" s="92" t="s">
        <v>337</v>
      </c>
      <c r="H56" s="34">
        <v>542784641.25174761</v>
      </c>
      <c r="I56" s="112" t="s">
        <v>120</v>
      </c>
      <c r="J56" s="101"/>
      <c r="K56" s="101"/>
      <c r="L56" s="101"/>
      <c r="M56" s="101"/>
      <c r="N56" s="58"/>
      <c r="O56" s="113" t="s">
        <v>347</v>
      </c>
    </row>
    <row r="57" spans="1:15" x14ac:dyDescent="0.35">
      <c r="A57" s="36"/>
      <c r="B57" s="36"/>
      <c r="C57" s="36"/>
      <c r="D57" s="36"/>
      <c r="E57" s="86"/>
      <c r="F57" s="36"/>
      <c r="G57" s="36"/>
      <c r="H57" s="58"/>
      <c r="I57" s="58"/>
      <c r="J57" s="58"/>
      <c r="K57" s="58"/>
      <c r="L57" s="58"/>
      <c r="M57" s="58"/>
      <c r="N57" s="58"/>
      <c r="O57" s="36"/>
    </row>
    <row r="58" spans="1:15" x14ac:dyDescent="0.35">
      <c r="A58" s="36"/>
      <c r="B58" s="84" t="s">
        <v>348</v>
      </c>
      <c r="C58" s="84"/>
      <c r="D58" s="84"/>
      <c r="E58" s="84"/>
      <c r="F58" s="84"/>
      <c r="G58" s="84"/>
      <c r="H58" s="85"/>
      <c r="I58" s="85"/>
      <c r="J58" s="85"/>
      <c r="K58" s="85"/>
      <c r="L58" s="85"/>
      <c r="M58" s="85"/>
      <c r="N58" s="85"/>
      <c r="O58" s="84"/>
    </row>
    <row r="59" spans="1:15" x14ac:dyDescent="0.35">
      <c r="A59" s="36"/>
      <c r="B59" s="36"/>
      <c r="C59" s="36"/>
      <c r="D59" s="36"/>
      <c r="E59" s="36"/>
      <c r="F59" s="36"/>
      <c r="G59" s="36"/>
      <c r="H59" s="58"/>
      <c r="I59" s="58"/>
      <c r="J59" s="58"/>
      <c r="K59" s="58"/>
      <c r="L59" s="58"/>
      <c r="M59" s="58"/>
      <c r="N59" s="58"/>
      <c r="O59" s="36"/>
    </row>
    <row r="60" spans="1:15" x14ac:dyDescent="0.35">
      <c r="A60" s="36"/>
      <c r="B60" s="36"/>
      <c r="C60" s="86" t="s">
        <v>349</v>
      </c>
      <c r="D60" s="86"/>
      <c r="E60" s="36"/>
      <c r="F60" s="36"/>
      <c r="G60" s="36"/>
      <c r="H60" s="58"/>
      <c r="I60" s="58"/>
      <c r="J60" s="58"/>
      <c r="K60" s="58"/>
      <c r="L60" s="58"/>
      <c r="M60" s="58"/>
      <c r="N60" s="58"/>
      <c r="O60" s="36"/>
    </row>
    <row r="61" spans="1:15" x14ac:dyDescent="0.35">
      <c r="A61" s="36"/>
      <c r="B61" s="36"/>
      <c r="C61" s="86"/>
      <c r="D61" s="86"/>
      <c r="E61" s="36"/>
      <c r="F61" s="36"/>
      <c r="G61" s="36"/>
      <c r="H61" s="58"/>
      <c r="I61" s="58"/>
      <c r="J61" s="58"/>
      <c r="K61" s="58"/>
      <c r="L61" s="58"/>
      <c r="M61" s="58"/>
      <c r="N61" s="58"/>
      <c r="O61" s="36"/>
    </row>
    <row r="62" spans="1:15" x14ac:dyDescent="0.35">
      <c r="A62" s="36"/>
      <c r="B62" s="36"/>
      <c r="C62" s="87" t="s">
        <v>350</v>
      </c>
      <c r="D62" s="87"/>
      <c r="E62" s="87"/>
      <c r="F62" s="87"/>
      <c r="G62" s="87"/>
      <c r="H62" s="88"/>
      <c r="I62" s="88"/>
      <c r="J62" s="88"/>
      <c r="K62" s="88"/>
      <c r="L62" s="88"/>
      <c r="M62" s="88"/>
      <c r="N62" s="88"/>
      <c r="O62" s="87"/>
    </row>
    <row r="63" spans="1:15" x14ac:dyDescent="0.35">
      <c r="A63" s="36"/>
      <c r="B63" s="36"/>
      <c r="C63" s="86"/>
      <c r="D63" s="86"/>
      <c r="E63" s="36"/>
      <c r="F63" s="36"/>
      <c r="G63" s="36"/>
      <c r="H63" s="58"/>
      <c r="I63" s="58"/>
      <c r="J63" s="58"/>
      <c r="K63" s="58"/>
      <c r="L63" s="58"/>
      <c r="M63" s="58"/>
      <c r="N63" s="58"/>
      <c r="O63" s="36"/>
    </row>
    <row r="64" spans="1:15" x14ac:dyDescent="0.35">
      <c r="A64" s="36"/>
      <c r="B64" s="36"/>
      <c r="C64" s="36"/>
      <c r="D64" s="86" t="s">
        <v>351</v>
      </c>
      <c r="E64" s="36"/>
      <c r="F64" s="36"/>
      <c r="G64" s="36"/>
      <c r="H64" s="58"/>
      <c r="I64" s="58"/>
      <c r="J64" s="58"/>
      <c r="K64" s="58"/>
      <c r="L64" s="58"/>
      <c r="M64" s="58"/>
      <c r="N64" s="58"/>
      <c r="O64" s="36"/>
    </row>
    <row r="65" spans="1:15" x14ac:dyDescent="0.35">
      <c r="A65" s="36"/>
      <c r="B65" s="36"/>
      <c r="C65" s="36"/>
      <c r="D65" s="86"/>
      <c r="E65" s="36"/>
      <c r="F65" s="36"/>
      <c r="G65" s="36"/>
      <c r="H65" s="58"/>
      <c r="I65" s="58"/>
      <c r="J65" s="58"/>
      <c r="K65" s="58"/>
      <c r="L65" s="58"/>
      <c r="M65" s="58"/>
      <c r="N65" s="58"/>
      <c r="O65" s="36"/>
    </row>
    <row r="66" spans="1:15" x14ac:dyDescent="0.35">
      <c r="A66" s="98"/>
      <c r="B66" s="36"/>
      <c r="C66" s="36"/>
      <c r="D66" s="36"/>
      <c r="E66" s="92" t="s">
        <v>352</v>
      </c>
      <c r="F66" s="36"/>
      <c r="G66" s="92" t="s">
        <v>113</v>
      </c>
      <c r="H66" s="34">
        <v>208.59200000000001</v>
      </c>
      <c r="I66" s="102" t="s">
        <v>120</v>
      </c>
      <c r="J66" s="106"/>
      <c r="K66" s="106"/>
      <c r="L66" s="106"/>
      <c r="M66" s="106"/>
      <c r="N66" s="58"/>
      <c r="O66" s="113" t="s">
        <v>342</v>
      </c>
    </row>
    <row r="67" spans="1:15" x14ac:dyDescent="0.35">
      <c r="A67" s="36"/>
      <c r="B67" s="36"/>
      <c r="C67" s="36"/>
      <c r="D67" s="36"/>
      <c r="E67" s="86"/>
      <c r="F67" s="36"/>
      <c r="G67" s="36"/>
      <c r="H67" s="58"/>
      <c r="I67" s="58"/>
      <c r="J67" s="58"/>
      <c r="K67" s="58"/>
      <c r="L67" s="58"/>
      <c r="M67" s="58"/>
      <c r="N67" s="58"/>
      <c r="O67" s="36"/>
    </row>
    <row r="68" spans="1:15" x14ac:dyDescent="0.35">
      <c r="A68" s="98"/>
      <c r="B68" s="36"/>
      <c r="C68" s="36"/>
      <c r="D68" s="36"/>
      <c r="E68" s="92" t="s">
        <v>353</v>
      </c>
      <c r="F68" s="36"/>
      <c r="G68" s="92" t="s">
        <v>113</v>
      </c>
      <c r="H68" s="34">
        <v>375.39601397083999</v>
      </c>
      <c r="I68" s="102" t="s">
        <v>120</v>
      </c>
      <c r="J68" s="106"/>
      <c r="K68" s="106"/>
      <c r="L68" s="106"/>
      <c r="M68" s="106"/>
      <c r="N68" s="58"/>
      <c r="O68" s="113" t="s">
        <v>342</v>
      </c>
    </row>
    <row r="69" spans="1:15" x14ac:dyDescent="0.35">
      <c r="A69" s="36"/>
      <c r="B69" s="36"/>
      <c r="C69" s="36"/>
      <c r="D69" s="36"/>
      <c r="E69" s="86"/>
      <c r="F69" s="36"/>
      <c r="G69" s="36"/>
      <c r="H69" s="58"/>
      <c r="I69" s="58"/>
      <c r="J69" s="58"/>
      <c r="K69" s="58"/>
      <c r="L69" s="58"/>
      <c r="M69" s="58"/>
      <c r="N69" s="58"/>
      <c r="O69" s="36"/>
    </row>
    <row r="70" spans="1:15" x14ac:dyDescent="0.35">
      <c r="A70" s="36"/>
      <c r="B70" s="84" t="s">
        <v>354</v>
      </c>
      <c r="C70" s="84"/>
      <c r="D70" s="84"/>
      <c r="E70" s="84"/>
      <c r="F70" s="84"/>
      <c r="G70" s="84"/>
      <c r="H70" s="85"/>
      <c r="I70" s="85"/>
      <c r="J70" s="85"/>
      <c r="K70" s="85"/>
      <c r="L70" s="85"/>
      <c r="M70" s="85"/>
      <c r="N70" s="85"/>
      <c r="O70" s="84"/>
    </row>
    <row r="71" spans="1:15" x14ac:dyDescent="0.35">
      <c r="A71" s="36"/>
      <c r="B71" s="36"/>
      <c r="C71" s="36"/>
      <c r="D71" s="36"/>
      <c r="E71" s="36"/>
      <c r="F71" s="36"/>
      <c r="G71" s="36"/>
      <c r="H71" s="58"/>
      <c r="I71" s="58"/>
      <c r="J71" s="58"/>
      <c r="K71" s="58"/>
      <c r="L71" s="58"/>
      <c r="M71" s="58"/>
      <c r="N71" s="58"/>
      <c r="O71" s="36"/>
    </row>
    <row r="72" spans="1:15" x14ac:dyDescent="0.35">
      <c r="A72" s="36"/>
      <c r="B72" s="36"/>
      <c r="C72" s="86" t="s">
        <v>355</v>
      </c>
      <c r="D72" s="86"/>
      <c r="E72" s="36"/>
      <c r="F72" s="36"/>
      <c r="G72" s="36"/>
      <c r="H72" s="58"/>
      <c r="I72" s="58"/>
      <c r="J72" s="58"/>
      <c r="K72" s="58"/>
      <c r="L72" s="58"/>
      <c r="M72" s="58"/>
      <c r="N72" s="58"/>
      <c r="O72" s="36"/>
    </row>
    <row r="73" spans="1:15" x14ac:dyDescent="0.35">
      <c r="A73" s="36"/>
      <c r="B73" s="36"/>
      <c r="C73" s="86"/>
      <c r="D73" s="86"/>
      <c r="E73" s="36"/>
      <c r="F73" s="36"/>
      <c r="G73" s="36"/>
      <c r="H73" s="58"/>
      <c r="I73" s="58"/>
      <c r="J73" s="58"/>
      <c r="K73" s="58"/>
      <c r="L73" s="58"/>
      <c r="M73" s="58"/>
      <c r="N73" s="58"/>
      <c r="O73" s="36"/>
    </row>
    <row r="74" spans="1:15" x14ac:dyDescent="0.35">
      <c r="A74" s="36"/>
      <c r="B74" s="36"/>
      <c r="C74" s="87" t="s">
        <v>356</v>
      </c>
      <c r="D74" s="87"/>
      <c r="E74" s="87"/>
      <c r="F74" s="87"/>
      <c r="G74" s="87"/>
      <c r="H74" s="88"/>
      <c r="I74" s="88"/>
      <c r="J74" s="88"/>
      <c r="K74" s="88"/>
      <c r="L74" s="88"/>
      <c r="M74" s="88"/>
      <c r="N74" s="88"/>
      <c r="O74" s="87"/>
    </row>
    <row r="75" spans="1:15" x14ac:dyDescent="0.35">
      <c r="A75" s="36"/>
      <c r="B75" s="36"/>
      <c r="C75" s="86"/>
      <c r="D75" s="86"/>
      <c r="E75" s="36"/>
      <c r="F75" s="36"/>
      <c r="G75" s="36"/>
      <c r="H75" s="58"/>
      <c r="I75" s="58"/>
      <c r="J75" s="58"/>
      <c r="K75" s="58"/>
      <c r="L75" s="58"/>
      <c r="M75" s="58"/>
      <c r="N75" s="58"/>
      <c r="O75" s="36"/>
    </row>
    <row r="76" spans="1:15" x14ac:dyDescent="0.35">
      <c r="A76" s="36"/>
      <c r="B76" s="36"/>
      <c r="C76" s="36"/>
      <c r="D76" s="86" t="s">
        <v>357</v>
      </c>
      <c r="E76" s="36"/>
      <c r="F76" s="36"/>
      <c r="G76" s="36"/>
      <c r="H76" s="58"/>
      <c r="I76" s="58"/>
      <c r="J76" s="58"/>
      <c r="K76" s="58"/>
      <c r="L76" s="58"/>
      <c r="M76" s="58"/>
      <c r="N76" s="58"/>
      <c r="O76" s="36"/>
    </row>
    <row r="77" spans="1:15" x14ac:dyDescent="0.35">
      <c r="A77" s="36"/>
      <c r="B77" s="36"/>
      <c r="C77" s="36"/>
      <c r="D77" s="86" t="s">
        <v>358</v>
      </c>
      <c r="E77" s="36"/>
      <c r="F77" s="36"/>
      <c r="G77" s="36"/>
      <c r="H77" s="58"/>
      <c r="I77" s="58"/>
      <c r="J77" s="58"/>
      <c r="K77" s="58"/>
      <c r="L77" s="58"/>
      <c r="M77" s="58"/>
      <c r="N77" s="58"/>
      <c r="O77" s="36"/>
    </row>
    <row r="78" spans="1:15" x14ac:dyDescent="0.35">
      <c r="A78" s="36"/>
      <c r="B78" s="36"/>
      <c r="C78" s="36"/>
      <c r="D78" s="86"/>
      <c r="E78" s="36"/>
      <c r="F78" s="36"/>
      <c r="G78" s="36"/>
      <c r="H78" s="58"/>
      <c r="I78" s="58"/>
      <c r="J78" s="58"/>
      <c r="K78" s="58"/>
      <c r="L78" s="58"/>
      <c r="M78" s="58"/>
      <c r="N78" s="58"/>
      <c r="O78" s="36"/>
    </row>
    <row r="79" spans="1:15" x14ac:dyDescent="0.35">
      <c r="A79" s="92"/>
      <c r="B79" s="36"/>
      <c r="C79" s="36"/>
      <c r="D79" s="86"/>
      <c r="E79" s="89" t="s">
        <v>359</v>
      </c>
      <c r="F79" s="36"/>
      <c r="G79" s="36"/>
      <c r="H79" s="58"/>
      <c r="I79" s="103" t="s">
        <v>120</v>
      </c>
      <c r="J79" s="58"/>
      <c r="K79" s="58"/>
      <c r="L79" s="58"/>
      <c r="M79" s="58"/>
      <c r="N79" s="58"/>
      <c r="O79" s="92" t="s">
        <v>360</v>
      </c>
    </row>
    <row r="80" spans="1:15" x14ac:dyDescent="0.35">
      <c r="A80" s="36"/>
      <c r="B80" s="36"/>
      <c r="C80" s="36"/>
      <c r="D80" s="36"/>
      <c r="E80" s="86"/>
      <c r="F80" s="90" t="s">
        <v>361</v>
      </c>
      <c r="G80" s="90" t="s">
        <v>362</v>
      </c>
      <c r="H80" s="33">
        <v>8193</v>
      </c>
      <c r="I80" s="101"/>
      <c r="J80" s="101"/>
      <c r="K80" s="101"/>
      <c r="L80" s="101"/>
      <c r="M80" s="101"/>
      <c r="N80" s="58"/>
      <c r="O80" s="36"/>
    </row>
    <row r="81" spans="1:15" x14ac:dyDescent="0.35">
      <c r="A81" s="36"/>
      <c r="B81" s="36"/>
      <c r="C81" s="36"/>
      <c r="D81" s="36"/>
      <c r="E81" s="36"/>
      <c r="F81" s="92" t="s">
        <v>363</v>
      </c>
      <c r="G81" s="92" t="s">
        <v>362</v>
      </c>
      <c r="H81" s="34">
        <v>287818</v>
      </c>
      <c r="I81" s="101"/>
      <c r="J81" s="101"/>
      <c r="K81" s="101"/>
      <c r="L81" s="101"/>
      <c r="M81" s="101"/>
      <c r="N81" s="58"/>
      <c r="O81" s="36"/>
    </row>
    <row r="82" spans="1:15" x14ac:dyDescent="0.35">
      <c r="A82" s="36"/>
      <c r="B82" s="36"/>
      <c r="C82" s="36"/>
      <c r="D82" s="36"/>
      <c r="E82" s="36"/>
      <c r="F82" s="92" t="s">
        <v>206</v>
      </c>
      <c r="G82" s="92" t="s">
        <v>362</v>
      </c>
      <c r="H82" s="34">
        <v>216917</v>
      </c>
      <c r="I82" s="101"/>
      <c r="J82" s="101"/>
      <c r="K82" s="101"/>
      <c r="L82" s="101"/>
      <c r="M82" s="101"/>
      <c r="N82" s="58"/>
      <c r="O82" s="36"/>
    </row>
    <row r="83" spans="1:15" x14ac:dyDescent="0.35">
      <c r="A83" s="36"/>
      <c r="B83" s="36"/>
      <c r="C83" s="36"/>
      <c r="D83" s="36"/>
      <c r="E83" s="36"/>
      <c r="F83" s="92" t="s">
        <v>364</v>
      </c>
      <c r="G83" s="92" t="s">
        <v>362</v>
      </c>
      <c r="H83" s="34">
        <v>5049</v>
      </c>
      <c r="I83" s="101"/>
      <c r="J83" s="101"/>
      <c r="K83" s="101"/>
      <c r="L83" s="101"/>
      <c r="M83" s="101"/>
      <c r="N83" s="58"/>
      <c r="O83" s="36"/>
    </row>
    <row r="84" spans="1:15" x14ac:dyDescent="0.35">
      <c r="A84" s="36"/>
      <c r="B84" s="36"/>
      <c r="C84" s="36"/>
      <c r="D84" s="36"/>
      <c r="E84" s="36"/>
      <c r="F84" s="92" t="s">
        <v>365</v>
      </c>
      <c r="G84" s="92" t="s">
        <v>362</v>
      </c>
      <c r="H84" s="34">
        <v>5499</v>
      </c>
      <c r="I84" s="101"/>
      <c r="J84" s="101"/>
      <c r="K84" s="101"/>
      <c r="L84" s="101"/>
      <c r="M84" s="101"/>
      <c r="N84" s="58"/>
      <c r="O84" s="36"/>
    </row>
    <row r="85" spans="1:15" x14ac:dyDescent="0.35">
      <c r="A85" s="36"/>
      <c r="B85" s="36"/>
      <c r="C85" s="36"/>
      <c r="D85" s="36"/>
      <c r="E85" s="36"/>
      <c r="F85" s="92" t="s">
        <v>366</v>
      </c>
      <c r="G85" s="92" t="s">
        <v>362</v>
      </c>
      <c r="H85" s="34">
        <v>18486</v>
      </c>
      <c r="I85" s="101"/>
      <c r="J85" s="101"/>
      <c r="K85" s="101"/>
      <c r="L85" s="101"/>
      <c r="M85" s="101"/>
      <c r="N85" s="58"/>
      <c r="O85" s="36"/>
    </row>
    <row r="86" spans="1:15" x14ac:dyDescent="0.35">
      <c r="A86" s="36"/>
      <c r="B86" s="36"/>
      <c r="C86" s="36"/>
      <c r="D86" s="36"/>
      <c r="E86" s="36"/>
      <c r="F86" s="92" t="s">
        <v>367</v>
      </c>
      <c r="G86" s="92" t="s">
        <v>362</v>
      </c>
      <c r="H86" s="34">
        <v>2637830</v>
      </c>
      <c r="I86" s="101"/>
      <c r="J86" s="101"/>
      <c r="K86" s="101"/>
      <c r="L86" s="101"/>
      <c r="M86" s="101"/>
      <c r="N86" s="58"/>
      <c r="O86" s="36"/>
    </row>
    <row r="87" spans="1:15" x14ac:dyDescent="0.35">
      <c r="A87" s="36"/>
      <c r="B87" s="36"/>
      <c r="C87" s="36"/>
      <c r="D87" s="36"/>
      <c r="E87" s="36"/>
      <c r="F87" s="92" t="s">
        <v>368</v>
      </c>
      <c r="G87" s="92" t="s">
        <v>362</v>
      </c>
      <c r="H87" s="34">
        <v>0</v>
      </c>
      <c r="I87" s="101"/>
      <c r="J87" s="101"/>
      <c r="K87" s="101"/>
      <c r="L87" s="101"/>
      <c r="M87" s="101"/>
      <c r="N87" s="58"/>
      <c r="O87" s="36"/>
    </row>
    <row r="88" spans="1:15" x14ac:dyDescent="0.35">
      <c r="A88" s="36"/>
      <c r="B88" s="36"/>
      <c r="C88" s="36"/>
      <c r="D88" s="36"/>
      <c r="E88" s="36"/>
      <c r="F88" s="92" t="s">
        <v>369</v>
      </c>
      <c r="G88" s="92" t="s">
        <v>362</v>
      </c>
      <c r="H88" s="34">
        <v>30843</v>
      </c>
      <c r="I88" s="101"/>
      <c r="J88" s="101"/>
      <c r="K88" s="101"/>
      <c r="L88" s="101"/>
      <c r="M88" s="101"/>
      <c r="N88" s="58"/>
      <c r="O88" s="36"/>
    </row>
    <row r="89" spans="1:15" x14ac:dyDescent="0.35">
      <c r="A89" s="36"/>
      <c r="B89" s="36"/>
      <c r="C89" s="36"/>
      <c r="D89" s="36"/>
      <c r="E89" s="36"/>
      <c r="F89" s="92" t="s">
        <v>370</v>
      </c>
      <c r="G89" s="92" t="s">
        <v>362</v>
      </c>
      <c r="H89" s="34">
        <v>0</v>
      </c>
      <c r="I89" s="101"/>
      <c r="J89" s="101"/>
      <c r="K89" s="101"/>
      <c r="L89" s="101"/>
      <c r="M89" s="101"/>
      <c r="N89" s="58"/>
      <c r="O89" s="36"/>
    </row>
    <row r="90" spans="1:15" x14ac:dyDescent="0.35">
      <c r="A90" s="36"/>
      <c r="B90" s="36"/>
      <c r="C90" s="36"/>
      <c r="D90" s="36"/>
      <c r="E90" s="36"/>
      <c r="F90" s="92" t="s">
        <v>371</v>
      </c>
      <c r="G90" s="92" t="s">
        <v>362</v>
      </c>
      <c r="H90" s="34">
        <v>32013</v>
      </c>
      <c r="I90" s="101"/>
      <c r="J90" s="101"/>
      <c r="K90" s="101"/>
      <c r="L90" s="101"/>
      <c r="M90" s="101"/>
      <c r="N90" s="58"/>
      <c r="O90" s="36"/>
    </row>
    <row r="91" spans="1:15" x14ac:dyDescent="0.35">
      <c r="A91" s="36"/>
      <c r="B91" s="36"/>
      <c r="C91" s="36"/>
      <c r="D91" s="36"/>
      <c r="E91" s="36"/>
      <c r="F91" s="92" t="s">
        <v>372</v>
      </c>
      <c r="G91" s="92" t="s">
        <v>362</v>
      </c>
      <c r="H91" s="34">
        <v>29588</v>
      </c>
      <c r="I91" s="101"/>
      <c r="J91" s="101"/>
      <c r="K91" s="101"/>
      <c r="L91" s="101"/>
      <c r="M91" s="101"/>
      <c r="N91" s="58"/>
      <c r="O91" s="36"/>
    </row>
    <row r="92" spans="1:15" x14ac:dyDescent="0.35">
      <c r="A92" s="36"/>
      <c r="B92" s="36"/>
      <c r="C92" s="36"/>
      <c r="D92" s="36"/>
      <c r="E92" s="36"/>
      <c r="F92" s="92" t="s">
        <v>373</v>
      </c>
      <c r="G92" s="92" t="s">
        <v>362</v>
      </c>
      <c r="H92" s="34">
        <v>0</v>
      </c>
      <c r="I92" s="101"/>
      <c r="J92" s="101"/>
      <c r="K92" s="101"/>
      <c r="L92" s="101"/>
      <c r="M92" s="101"/>
      <c r="N92" s="58"/>
      <c r="O92" s="36"/>
    </row>
    <row r="93" spans="1:15" x14ac:dyDescent="0.35">
      <c r="A93" s="36"/>
      <c r="B93" s="36"/>
      <c r="C93" s="36"/>
      <c r="D93" s="36"/>
      <c r="E93" s="36"/>
      <c r="F93" s="92" t="s">
        <v>374</v>
      </c>
      <c r="G93" s="92" t="s">
        <v>362</v>
      </c>
      <c r="H93" s="34">
        <v>9616</v>
      </c>
      <c r="I93" s="101"/>
      <c r="J93" s="101"/>
      <c r="K93" s="101"/>
      <c r="L93" s="101"/>
      <c r="M93" s="101"/>
      <c r="N93" s="58"/>
      <c r="O93" s="36"/>
    </row>
    <row r="94" spans="1:15" x14ac:dyDescent="0.35">
      <c r="A94" s="36"/>
      <c r="B94" s="36"/>
      <c r="C94" s="36"/>
      <c r="D94" s="36"/>
      <c r="E94" s="36"/>
      <c r="F94" s="92" t="s">
        <v>375</v>
      </c>
      <c r="G94" s="92" t="s">
        <v>362</v>
      </c>
      <c r="H94" s="34">
        <v>3395</v>
      </c>
      <c r="I94" s="101"/>
      <c r="J94" s="101"/>
      <c r="K94" s="101"/>
      <c r="L94" s="101"/>
      <c r="M94" s="101"/>
      <c r="N94" s="58"/>
      <c r="O94" s="36"/>
    </row>
    <row r="95" spans="1:15" x14ac:dyDescent="0.35">
      <c r="A95" s="36"/>
      <c r="B95" s="36"/>
      <c r="C95" s="36"/>
      <c r="D95" s="36"/>
      <c r="E95" s="36"/>
      <c r="F95" s="92" t="s">
        <v>376</v>
      </c>
      <c r="G95" s="92" t="s">
        <v>362</v>
      </c>
      <c r="H95" s="34">
        <v>0</v>
      </c>
      <c r="I95" s="101"/>
      <c r="J95" s="101"/>
      <c r="K95" s="101"/>
      <c r="L95" s="101"/>
      <c r="M95" s="101"/>
      <c r="N95" s="58"/>
      <c r="O95" s="36"/>
    </row>
    <row r="96" spans="1:15" x14ac:dyDescent="0.35">
      <c r="A96" s="36"/>
      <c r="B96" s="36"/>
      <c r="C96" s="36"/>
      <c r="D96" s="36"/>
      <c r="E96" s="36"/>
      <c r="F96" s="92" t="s">
        <v>377</v>
      </c>
      <c r="G96" s="92" t="s">
        <v>362</v>
      </c>
      <c r="H96" s="34">
        <v>0</v>
      </c>
      <c r="I96" s="101"/>
      <c r="J96" s="101"/>
      <c r="K96" s="101"/>
      <c r="L96" s="101"/>
      <c r="M96" s="101"/>
      <c r="N96" s="58"/>
      <c r="O96" s="36"/>
    </row>
    <row r="97" spans="1:15" x14ac:dyDescent="0.35">
      <c r="A97" s="36"/>
      <c r="B97" s="36"/>
      <c r="C97" s="36"/>
      <c r="D97" s="36"/>
      <c r="E97" s="36"/>
      <c r="F97" s="92" t="s">
        <v>221</v>
      </c>
      <c r="G97" s="92" t="s">
        <v>362</v>
      </c>
      <c r="H97" s="34">
        <v>152816</v>
      </c>
      <c r="I97" s="101"/>
      <c r="J97" s="101"/>
      <c r="K97" s="101"/>
      <c r="L97" s="101"/>
      <c r="M97" s="101"/>
      <c r="N97" s="58"/>
      <c r="O97" s="36"/>
    </row>
    <row r="98" spans="1:15" x14ac:dyDescent="0.35">
      <c r="A98" s="36"/>
      <c r="B98" s="36"/>
      <c r="C98" s="36"/>
      <c r="D98" s="36"/>
      <c r="E98" s="36"/>
      <c r="F98" s="92" t="s">
        <v>222</v>
      </c>
      <c r="G98" s="92" t="s">
        <v>362</v>
      </c>
      <c r="H98" s="34">
        <v>0</v>
      </c>
      <c r="I98" s="101"/>
      <c r="J98" s="101"/>
      <c r="K98" s="101"/>
      <c r="L98" s="101"/>
      <c r="M98" s="101"/>
      <c r="N98" s="58"/>
      <c r="O98" s="36"/>
    </row>
    <row r="99" spans="1:15" x14ac:dyDescent="0.35">
      <c r="A99" s="36"/>
      <c r="B99" s="36"/>
      <c r="C99" s="36"/>
      <c r="D99" s="36"/>
      <c r="E99" s="36"/>
      <c r="F99" s="92" t="s">
        <v>378</v>
      </c>
      <c r="G99" s="92" t="s">
        <v>362</v>
      </c>
      <c r="H99" s="34">
        <v>16373</v>
      </c>
      <c r="I99" s="101"/>
      <c r="J99" s="101"/>
      <c r="K99" s="101"/>
      <c r="L99" s="101"/>
      <c r="M99" s="101"/>
      <c r="N99" s="58"/>
      <c r="O99" s="36"/>
    </row>
    <row r="100" spans="1:15" x14ac:dyDescent="0.35">
      <c r="A100" s="36"/>
      <c r="B100" s="36"/>
      <c r="C100" s="36"/>
      <c r="D100" s="36"/>
      <c r="E100" s="36"/>
      <c r="F100" s="92" t="s">
        <v>379</v>
      </c>
      <c r="G100" s="92" t="s">
        <v>362</v>
      </c>
      <c r="H100" s="34">
        <v>0</v>
      </c>
      <c r="I100" s="101"/>
      <c r="J100" s="101"/>
      <c r="K100" s="101"/>
      <c r="L100" s="101"/>
      <c r="M100" s="101"/>
      <c r="N100" s="58"/>
      <c r="O100" s="36"/>
    </row>
    <row r="101" spans="1:15" x14ac:dyDescent="0.35">
      <c r="A101" s="36"/>
      <c r="B101" s="36"/>
      <c r="C101" s="36"/>
      <c r="D101" s="36"/>
      <c r="E101" s="36"/>
      <c r="F101" s="92" t="s">
        <v>380</v>
      </c>
      <c r="G101" s="92" t="s">
        <v>362</v>
      </c>
      <c r="H101" s="34">
        <v>1</v>
      </c>
      <c r="I101" s="101"/>
      <c r="J101" s="101"/>
      <c r="K101" s="101"/>
      <c r="L101" s="101"/>
      <c r="M101" s="101"/>
      <c r="N101" s="58"/>
      <c r="O101" s="36"/>
    </row>
    <row r="102" spans="1:15" x14ac:dyDescent="0.35">
      <c r="A102" s="36"/>
      <c r="B102" s="36"/>
      <c r="C102" s="36"/>
      <c r="D102" s="36"/>
      <c r="E102" s="36"/>
      <c r="F102" s="92" t="s">
        <v>381</v>
      </c>
      <c r="G102" s="92" t="s">
        <v>362</v>
      </c>
      <c r="H102" s="34">
        <v>3531</v>
      </c>
      <c r="I102" s="101"/>
      <c r="J102" s="101"/>
      <c r="K102" s="101"/>
      <c r="L102" s="101"/>
      <c r="M102" s="101"/>
      <c r="N102" s="58"/>
      <c r="O102" s="36"/>
    </row>
    <row r="103" spans="1:15" x14ac:dyDescent="0.35">
      <c r="A103" s="36"/>
      <c r="B103" s="36"/>
      <c r="C103" s="36"/>
      <c r="D103" s="36"/>
      <c r="E103" s="36"/>
      <c r="F103" s="92" t="s">
        <v>382</v>
      </c>
      <c r="G103" s="92" t="s">
        <v>362</v>
      </c>
      <c r="H103" s="34">
        <v>6614</v>
      </c>
      <c r="I103" s="101"/>
      <c r="J103" s="101"/>
      <c r="K103" s="101"/>
      <c r="L103" s="101"/>
      <c r="M103" s="101"/>
      <c r="N103" s="58"/>
      <c r="O103" s="36"/>
    </row>
    <row r="104" spans="1:15" x14ac:dyDescent="0.35">
      <c r="A104" s="36"/>
      <c r="B104" s="36"/>
      <c r="C104" s="36"/>
      <c r="D104" s="36"/>
      <c r="E104" s="36"/>
      <c r="F104" s="92" t="s">
        <v>228</v>
      </c>
      <c r="G104" s="92" t="s">
        <v>362</v>
      </c>
      <c r="H104" s="34">
        <v>0</v>
      </c>
      <c r="I104" s="101"/>
      <c r="J104" s="101"/>
      <c r="K104" s="101"/>
      <c r="L104" s="101"/>
      <c r="M104" s="101"/>
      <c r="N104" s="58"/>
      <c r="O104" s="36"/>
    </row>
    <row r="105" spans="1:15" x14ac:dyDescent="0.35">
      <c r="A105" s="36"/>
      <c r="B105" s="36"/>
      <c r="C105" s="36"/>
      <c r="D105" s="36"/>
      <c r="E105" s="36"/>
      <c r="F105" s="92" t="s">
        <v>229</v>
      </c>
      <c r="G105" s="92" t="s">
        <v>362</v>
      </c>
      <c r="H105" s="34">
        <v>30984</v>
      </c>
      <c r="I105" s="101"/>
      <c r="J105" s="101"/>
      <c r="K105" s="101"/>
      <c r="L105" s="101"/>
      <c r="M105" s="101"/>
      <c r="N105" s="58"/>
      <c r="O105" s="36"/>
    </row>
    <row r="106" spans="1:15" x14ac:dyDescent="0.35">
      <c r="A106" s="36"/>
      <c r="B106" s="36"/>
      <c r="C106" s="36"/>
      <c r="D106" s="36"/>
      <c r="E106" s="36"/>
      <c r="F106" s="92" t="s">
        <v>230</v>
      </c>
      <c r="G106" s="92" t="s">
        <v>362</v>
      </c>
      <c r="H106" s="34">
        <v>15433</v>
      </c>
      <c r="I106" s="101"/>
      <c r="J106" s="101"/>
      <c r="K106" s="101"/>
      <c r="L106" s="101"/>
      <c r="M106" s="101"/>
      <c r="N106" s="58"/>
      <c r="O106" s="36"/>
    </row>
    <row r="107" spans="1:15" x14ac:dyDescent="0.35">
      <c r="A107" s="36"/>
      <c r="B107" s="36"/>
      <c r="C107" s="36"/>
      <c r="D107" s="36"/>
      <c r="E107" s="36"/>
      <c r="F107" s="92" t="s">
        <v>383</v>
      </c>
      <c r="G107" s="92" t="s">
        <v>362</v>
      </c>
      <c r="H107" s="34">
        <v>10521</v>
      </c>
      <c r="I107" s="101"/>
      <c r="J107" s="101"/>
      <c r="K107" s="101"/>
      <c r="L107" s="101"/>
      <c r="M107" s="101"/>
      <c r="N107" s="58"/>
      <c r="O107" s="36"/>
    </row>
    <row r="108" spans="1:15" x14ac:dyDescent="0.35">
      <c r="A108" s="36"/>
      <c r="B108" s="36"/>
      <c r="C108" s="36"/>
      <c r="D108" s="36"/>
      <c r="E108" s="36"/>
      <c r="F108" s="92" t="s">
        <v>384</v>
      </c>
      <c r="G108" s="92" t="s">
        <v>362</v>
      </c>
      <c r="H108" s="34">
        <v>0</v>
      </c>
      <c r="I108" s="101"/>
      <c r="J108" s="101"/>
      <c r="K108" s="101"/>
      <c r="L108" s="101"/>
      <c r="M108" s="101"/>
      <c r="N108" s="58"/>
      <c r="O108" s="36"/>
    </row>
    <row r="109" spans="1:15" x14ac:dyDescent="0.35">
      <c r="A109" s="36"/>
      <c r="B109" s="36"/>
      <c r="C109" s="36"/>
      <c r="D109" s="36"/>
      <c r="E109" s="36"/>
      <c r="F109" s="92" t="s">
        <v>385</v>
      </c>
      <c r="G109" s="92" t="s">
        <v>362</v>
      </c>
      <c r="H109" s="34">
        <v>0</v>
      </c>
      <c r="I109" s="101"/>
      <c r="J109" s="101"/>
      <c r="K109" s="101"/>
      <c r="L109" s="101"/>
      <c r="M109" s="101"/>
      <c r="N109" s="58"/>
      <c r="O109" s="36"/>
    </row>
    <row r="110" spans="1:15" x14ac:dyDescent="0.35">
      <c r="A110" s="36"/>
      <c r="B110" s="36"/>
      <c r="C110" s="36"/>
      <c r="D110" s="36"/>
      <c r="E110" s="36"/>
      <c r="F110" s="92" t="s">
        <v>386</v>
      </c>
      <c r="G110" s="92" t="s">
        <v>362</v>
      </c>
      <c r="H110" s="34">
        <v>0</v>
      </c>
      <c r="I110" s="101"/>
      <c r="J110" s="101"/>
      <c r="K110" s="101"/>
      <c r="L110" s="101"/>
      <c r="M110" s="101"/>
      <c r="N110" s="58"/>
      <c r="O110" s="36"/>
    </row>
    <row r="111" spans="1:15" x14ac:dyDescent="0.35">
      <c r="A111" s="36"/>
      <c r="B111" s="36"/>
      <c r="C111" s="36"/>
      <c r="D111" s="36"/>
      <c r="E111" s="36"/>
      <c r="F111" s="92" t="s">
        <v>387</v>
      </c>
      <c r="G111" s="92" t="s">
        <v>362</v>
      </c>
      <c r="H111" s="34">
        <v>0</v>
      </c>
      <c r="I111" s="101"/>
      <c r="J111" s="101"/>
      <c r="K111" s="101"/>
      <c r="L111" s="101"/>
      <c r="M111" s="101"/>
      <c r="N111" s="58"/>
      <c r="O111" s="36"/>
    </row>
    <row r="112" spans="1:15" x14ac:dyDescent="0.35">
      <c r="A112" s="36"/>
      <c r="B112" s="36"/>
      <c r="C112" s="36"/>
      <c r="D112" s="36"/>
      <c r="E112" s="36"/>
      <c r="F112" s="92" t="s">
        <v>388</v>
      </c>
      <c r="G112" s="92" t="s">
        <v>362</v>
      </c>
      <c r="H112" s="34">
        <v>0</v>
      </c>
      <c r="I112" s="101"/>
      <c r="J112" s="101"/>
      <c r="K112" s="101"/>
      <c r="L112" s="101"/>
      <c r="M112" s="101"/>
      <c r="N112" s="58"/>
      <c r="O112" s="36"/>
    </row>
    <row r="113" spans="1:15" x14ac:dyDescent="0.35">
      <c r="A113" s="36"/>
      <c r="B113" s="36"/>
      <c r="C113" s="36"/>
      <c r="D113" s="36"/>
      <c r="E113" s="36"/>
      <c r="F113" s="92" t="s">
        <v>237</v>
      </c>
      <c r="G113" s="92" t="s">
        <v>362</v>
      </c>
      <c r="H113" s="34">
        <v>0</v>
      </c>
      <c r="I113" s="101"/>
      <c r="J113" s="101"/>
      <c r="K113" s="101"/>
      <c r="L113" s="101"/>
      <c r="M113" s="101"/>
      <c r="N113" s="58"/>
      <c r="O113" s="36"/>
    </row>
    <row r="114" spans="1:15" x14ac:dyDescent="0.35">
      <c r="A114" s="36"/>
      <c r="B114" s="36"/>
      <c r="C114" s="36"/>
      <c r="D114" s="36"/>
      <c r="E114" s="36"/>
      <c r="F114" s="92" t="s">
        <v>389</v>
      </c>
      <c r="G114" s="92" t="s">
        <v>362</v>
      </c>
      <c r="H114" s="34">
        <v>0</v>
      </c>
      <c r="I114" s="101"/>
      <c r="J114" s="101"/>
      <c r="K114" s="101"/>
      <c r="L114" s="101"/>
      <c r="M114" s="101"/>
      <c r="N114" s="58"/>
      <c r="O114" s="36"/>
    </row>
    <row r="115" spans="1:15" x14ac:dyDescent="0.35">
      <c r="A115" s="36"/>
      <c r="B115" s="36"/>
      <c r="C115" s="36"/>
      <c r="D115" s="36"/>
      <c r="E115" s="36"/>
      <c r="F115" s="92" t="s">
        <v>390</v>
      </c>
      <c r="G115" s="92" t="s">
        <v>362</v>
      </c>
      <c r="H115" s="34">
        <v>0</v>
      </c>
      <c r="I115" s="101"/>
      <c r="J115" s="101"/>
      <c r="K115" s="101"/>
      <c r="L115" s="101"/>
      <c r="M115" s="101"/>
      <c r="N115" s="58"/>
      <c r="O115" s="36"/>
    </row>
    <row r="116" spans="1:15" x14ac:dyDescent="0.35">
      <c r="A116" s="36"/>
      <c r="B116" s="36"/>
      <c r="C116" s="36"/>
      <c r="D116" s="36"/>
      <c r="E116" s="36"/>
      <c r="F116" s="92" t="s">
        <v>391</v>
      </c>
      <c r="G116" s="92" t="s">
        <v>362</v>
      </c>
      <c r="H116" s="34">
        <v>26787</v>
      </c>
      <c r="I116" s="101"/>
      <c r="J116" s="101"/>
      <c r="K116" s="101"/>
      <c r="L116" s="101"/>
      <c r="M116" s="101"/>
      <c r="N116" s="58"/>
      <c r="O116" s="36"/>
    </row>
    <row r="117" spans="1:15" x14ac:dyDescent="0.35">
      <c r="A117" s="36"/>
      <c r="B117" s="36"/>
      <c r="C117" s="36"/>
      <c r="D117" s="36"/>
      <c r="E117" s="36"/>
      <c r="F117" s="92" t="s">
        <v>392</v>
      </c>
      <c r="G117" s="92" t="s">
        <v>362</v>
      </c>
      <c r="H117" s="34">
        <v>30843</v>
      </c>
      <c r="I117" s="101"/>
      <c r="J117" s="101"/>
      <c r="K117" s="101"/>
      <c r="L117" s="101"/>
      <c r="M117" s="101"/>
      <c r="N117" s="58"/>
      <c r="O117" s="36"/>
    </row>
    <row r="118" spans="1:15" x14ac:dyDescent="0.35">
      <c r="A118" s="36"/>
      <c r="B118" s="36"/>
      <c r="C118" s="36"/>
      <c r="D118" s="36"/>
      <c r="E118" s="36"/>
      <c r="F118" s="92" t="s">
        <v>393</v>
      </c>
      <c r="G118" s="92" t="s">
        <v>362</v>
      </c>
      <c r="H118" s="34">
        <v>0</v>
      </c>
      <c r="I118" s="101"/>
      <c r="J118" s="101"/>
      <c r="K118" s="101"/>
      <c r="L118" s="101"/>
      <c r="M118" s="101"/>
      <c r="N118" s="58"/>
      <c r="O118" s="36"/>
    </row>
    <row r="119" spans="1:15" x14ac:dyDescent="0.35">
      <c r="A119" s="36"/>
      <c r="B119" s="36"/>
      <c r="C119" s="36"/>
      <c r="D119" s="36"/>
      <c r="E119" s="36"/>
      <c r="F119" s="92" t="s">
        <v>394</v>
      </c>
      <c r="G119" s="92" t="s">
        <v>362</v>
      </c>
      <c r="H119" s="34">
        <v>0</v>
      </c>
      <c r="I119" s="101"/>
      <c r="J119" s="101"/>
      <c r="K119" s="101"/>
      <c r="L119" s="101"/>
      <c r="M119" s="101"/>
      <c r="N119" s="58"/>
      <c r="O119" s="36"/>
    </row>
    <row r="120" spans="1:15" x14ac:dyDescent="0.35">
      <c r="A120" s="36"/>
      <c r="B120" s="36"/>
      <c r="C120" s="36"/>
      <c r="D120" s="36"/>
      <c r="E120" s="36"/>
      <c r="F120" s="92" t="s">
        <v>395</v>
      </c>
      <c r="G120" s="92" t="s">
        <v>362</v>
      </c>
      <c r="H120" s="34">
        <v>3105</v>
      </c>
      <c r="I120" s="101"/>
      <c r="J120" s="101"/>
      <c r="K120" s="101"/>
      <c r="L120" s="101"/>
      <c r="M120" s="101"/>
      <c r="N120" s="58"/>
      <c r="O120" s="36"/>
    </row>
    <row r="121" spans="1:15" x14ac:dyDescent="0.35">
      <c r="A121" s="36"/>
      <c r="B121" s="36"/>
      <c r="C121" s="36"/>
      <c r="D121" s="36"/>
      <c r="E121" s="36"/>
      <c r="F121" s="92" t="s">
        <v>396</v>
      </c>
      <c r="G121" s="92" t="s">
        <v>362</v>
      </c>
      <c r="H121" s="34">
        <v>356</v>
      </c>
      <c r="I121" s="101"/>
      <c r="J121" s="101"/>
      <c r="K121" s="101"/>
      <c r="L121" s="101"/>
      <c r="M121" s="101"/>
      <c r="N121" s="58"/>
      <c r="O121" s="36"/>
    </row>
    <row r="122" spans="1:15" x14ac:dyDescent="0.35">
      <c r="A122" s="36"/>
      <c r="B122" s="36"/>
      <c r="C122" s="36"/>
      <c r="D122" s="36"/>
      <c r="E122" s="36"/>
      <c r="F122" s="92" t="s">
        <v>397</v>
      </c>
      <c r="G122" s="92" t="s">
        <v>362</v>
      </c>
      <c r="H122" s="34">
        <v>6</v>
      </c>
      <c r="I122" s="101"/>
      <c r="J122" s="101"/>
      <c r="K122" s="101"/>
      <c r="L122" s="101"/>
      <c r="M122" s="101"/>
      <c r="N122" s="58"/>
      <c r="O122" s="36"/>
    </row>
    <row r="123" spans="1:15" x14ac:dyDescent="0.35">
      <c r="A123" s="36"/>
      <c r="B123" s="36"/>
      <c r="C123" s="36"/>
      <c r="D123" s="36"/>
      <c r="E123" s="36"/>
      <c r="F123" s="92" t="s">
        <v>398</v>
      </c>
      <c r="G123" s="92" t="s">
        <v>362</v>
      </c>
      <c r="H123" s="34">
        <v>0</v>
      </c>
      <c r="I123" s="101"/>
      <c r="J123" s="101"/>
      <c r="K123" s="101"/>
      <c r="L123" s="101"/>
      <c r="M123" s="101"/>
      <c r="N123" s="58"/>
      <c r="O123" s="36"/>
    </row>
    <row r="124" spans="1:15" x14ac:dyDescent="0.35">
      <c r="A124" s="36"/>
      <c r="B124" s="36"/>
      <c r="C124" s="36"/>
      <c r="D124" s="36"/>
      <c r="E124" s="36"/>
      <c r="F124" s="92" t="s">
        <v>248</v>
      </c>
      <c r="G124" s="92" t="s">
        <v>362</v>
      </c>
      <c r="H124" s="34">
        <v>30974</v>
      </c>
      <c r="I124" s="101"/>
      <c r="J124" s="101"/>
      <c r="K124" s="101"/>
      <c r="L124" s="101"/>
      <c r="M124" s="101"/>
      <c r="N124" s="58"/>
      <c r="O124" s="36"/>
    </row>
    <row r="125" spans="1:15" x14ac:dyDescent="0.35">
      <c r="A125" s="36"/>
      <c r="B125" s="36"/>
      <c r="C125" s="36"/>
      <c r="D125" s="36"/>
      <c r="E125" s="36"/>
      <c r="F125" s="92" t="s">
        <v>249</v>
      </c>
      <c r="G125" s="92" t="s">
        <v>362</v>
      </c>
      <c r="H125" s="34">
        <v>3550</v>
      </c>
      <c r="I125" s="101"/>
      <c r="J125" s="101"/>
      <c r="K125" s="101"/>
      <c r="L125" s="101"/>
      <c r="M125" s="101"/>
      <c r="N125" s="58"/>
      <c r="O125" s="36"/>
    </row>
    <row r="126" spans="1:15" x14ac:dyDescent="0.35">
      <c r="A126" s="36"/>
      <c r="B126" s="36"/>
      <c r="C126" s="36"/>
      <c r="D126" s="36"/>
      <c r="E126" s="36"/>
      <c r="F126" s="92" t="s">
        <v>250</v>
      </c>
      <c r="G126" s="92" t="s">
        <v>362</v>
      </c>
      <c r="H126" s="34">
        <v>60</v>
      </c>
      <c r="I126" s="101"/>
      <c r="J126" s="101"/>
      <c r="K126" s="101"/>
      <c r="L126" s="101"/>
      <c r="M126" s="101"/>
      <c r="N126" s="58"/>
      <c r="O126" s="36"/>
    </row>
    <row r="127" spans="1:15" x14ac:dyDescent="0.35">
      <c r="A127" s="36"/>
      <c r="B127" s="36"/>
      <c r="C127" s="36"/>
      <c r="D127" s="36"/>
      <c r="E127" s="36"/>
      <c r="F127" s="92" t="s">
        <v>251</v>
      </c>
      <c r="G127" s="92" t="s">
        <v>362</v>
      </c>
      <c r="H127" s="34">
        <v>0</v>
      </c>
      <c r="I127" s="101"/>
      <c r="J127" s="101"/>
      <c r="K127" s="101"/>
      <c r="L127" s="101"/>
      <c r="M127" s="101"/>
      <c r="N127" s="58"/>
      <c r="O127" s="36"/>
    </row>
    <row r="128" spans="1:15" x14ac:dyDescent="0.35">
      <c r="A128" s="36"/>
      <c r="B128" s="36"/>
      <c r="C128" s="36"/>
      <c r="D128" s="36"/>
      <c r="E128" s="36"/>
      <c r="F128" s="92" t="s">
        <v>399</v>
      </c>
      <c r="G128" s="92" t="s">
        <v>362</v>
      </c>
      <c r="H128" s="34">
        <v>1630</v>
      </c>
      <c r="I128" s="101"/>
      <c r="J128" s="101"/>
      <c r="K128" s="101"/>
      <c r="L128" s="101"/>
      <c r="M128" s="101"/>
      <c r="N128" s="58"/>
      <c r="O128" s="36"/>
    </row>
    <row r="129" spans="1:15" x14ac:dyDescent="0.35">
      <c r="A129" s="36"/>
      <c r="B129" s="36"/>
      <c r="C129" s="36"/>
      <c r="D129" s="36"/>
      <c r="E129" s="36"/>
      <c r="F129" s="92" t="s">
        <v>400</v>
      </c>
      <c r="G129" s="92" t="s">
        <v>362</v>
      </c>
      <c r="H129" s="34">
        <v>646</v>
      </c>
      <c r="I129" s="101"/>
      <c r="J129" s="101"/>
      <c r="K129" s="101"/>
      <c r="L129" s="101"/>
      <c r="M129" s="101"/>
      <c r="N129" s="58"/>
      <c r="O129" s="36"/>
    </row>
    <row r="130" spans="1:15" x14ac:dyDescent="0.35">
      <c r="A130" s="36"/>
      <c r="B130" s="36"/>
      <c r="C130" s="36"/>
      <c r="D130" s="36"/>
      <c r="E130" s="36"/>
      <c r="F130" s="92" t="s">
        <v>401</v>
      </c>
      <c r="G130" s="92" t="s">
        <v>362</v>
      </c>
      <c r="H130" s="34">
        <v>0</v>
      </c>
      <c r="I130" s="101"/>
      <c r="J130" s="101"/>
      <c r="K130" s="101"/>
      <c r="L130" s="101"/>
      <c r="M130" s="101"/>
      <c r="N130" s="58"/>
      <c r="O130" s="36"/>
    </row>
    <row r="131" spans="1:15" x14ac:dyDescent="0.35">
      <c r="A131" s="36"/>
      <c r="B131" s="36"/>
      <c r="C131" s="36"/>
      <c r="D131" s="36"/>
      <c r="E131" s="36"/>
      <c r="F131" s="92" t="s">
        <v>402</v>
      </c>
      <c r="G131" s="92" t="s">
        <v>362</v>
      </c>
      <c r="H131" s="34">
        <v>76</v>
      </c>
      <c r="I131" s="101"/>
      <c r="J131" s="101"/>
      <c r="K131" s="101"/>
      <c r="L131" s="101"/>
      <c r="M131" s="101"/>
      <c r="N131" s="58"/>
      <c r="O131" s="36"/>
    </row>
    <row r="132" spans="1:15" x14ac:dyDescent="0.35">
      <c r="A132" s="36"/>
      <c r="B132" s="36"/>
      <c r="C132" s="36"/>
      <c r="D132" s="36"/>
      <c r="E132" s="36"/>
      <c r="F132" s="92" t="s">
        <v>403</v>
      </c>
      <c r="G132" s="92" t="s">
        <v>362</v>
      </c>
      <c r="H132" s="34">
        <v>62</v>
      </c>
      <c r="I132" s="101"/>
      <c r="J132" s="101"/>
      <c r="K132" s="101"/>
      <c r="L132" s="101"/>
      <c r="M132" s="101"/>
      <c r="N132" s="58"/>
      <c r="O132" s="36"/>
    </row>
    <row r="133" spans="1:15" x14ac:dyDescent="0.35">
      <c r="A133" s="36"/>
      <c r="B133" s="36"/>
      <c r="C133" s="36"/>
      <c r="D133" s="36"/>
      <c r="E133" s="36"/>
      <c r="F133" s="92" t="s">
        <v>404</v>
      </c>
      <c r="G133" s="92" t="s">
        <v>362</v>
      </c>
      <c r="H133" s="34">
        <v>51</v>
      </c>
      <c r="I133" s="101"/>
      <c r="J133" s="101"/>
      <c r="K133" s="101"/>
      <c r="L133" s="101"/>
      <c r="M133" s="101"/>
      <c r="N133" s="58"/>
      <c r="O133" s="36"/>
    </row>
    <row r="134" spans="1:15" x14ac:dyDescent="0.35">
      <c r="A134" s="36"/>
      <c r="B134" s="36"/>
      <c r="C134" s="36"/>
      <c r="D134" s="36"/>
      <c r="E134" s="36"/>
      <c r="F134" s="92" t="s">
        <v>405</v>
      </c>
      <c r="G134" s="92" t="s">
        <v>362</v>
      </c>
      <c r="H134" s="34">
        <v>14</v>
      </c>
      <c r="I134" s="101"/>
      <c r="J134" s="101"/>
      <c r="K134" s="101"/>
      <c r="L134" s="101"/>
      <c r="M134" s="101"/>
      <c r="N134" s="58"/>
      <c r="O134" s="36"/>
    </row>
    <row r="135" spans="1:15" x14ac:dyDescent="0.35">
      <c r="A135" s="36"/>
      <c r="B135" s="36"/>
      <c r="C135" s="36"/>
      <c r="D135" s="36"/>
      <c r="E135" s="36"/>
      <c r="F135" s="92" t="s">
        <v>406</v>
      </c>
      <c r="G135" s="92" t="s">
        <v>362</v>
      </c>
      <c r="H135" s="34">
        <v>245</v>
      </c>
      <c r="I135" s="101"/>
      <c r="J135" s="101"/>
      <c r="K135" s="101"/>
      <c r="L135" s="101"/>
      <c r="M135" s="101"/>
      <c r="N135" s="58"/>
      <c r="O135" s="36"/>
    </row>
    <row r="136" spans="1:15" x14ac:dyDescent="0.35">
      <c r="A136" s="36"/>
      <c r="B136" s="36"/>
      <c r="C136" s="36"/>
      <c r="D136" s="36"/>
      <c r="E136" s="36"/>
      <c r="F136" s="92" t="s">
        <v>407</v>
      </c>
      <c r="G136" s="92" t="s">
        <v>362</v>
      </c>
      <c r="H136" s="34">
        <v>1380</v>
      </c>
      <c r="I136" s="101"/>
      <c r="J136" s="101"/>
      <c r="K136" s="101"/>
      <c r="L136" s="101"/>
      <c r="M136" s="101"/>
      <c r="N136" s="58"/>
      <c r="O136" s="36"/>
    </row>
    <row r="137" spans="1:15" x14ac:dyDescent="0.35">
      <c r="A137" s="36"/>
      <c r="B137" s="36"/>
      <c r="C137" s="36"/>
      <c r="D137" s="36"/>
      <c r="E137" s="36"/>
      <c r="F137" s="92" t="s">
        <v>408</v>
      </c>
      <c r="G137" s="92" t="s">
        <v>362</v>
      </c>
      <c r="H137" s="34">
        <v>0</v>
      </c>
      <c r="I137" s="101"/>
      <c r="J137" s="101"/>
      <c r="K137" s="101"/>
      <c r="L137" s="101"/>
      <c r="M137" s="101"/>
      <c r="N137" s="58"/>
      <c r="O137" s="36"/>
    </row>
    <row r="138" spans="1:15" x14ac:dyDescent="0.35">
      <c r="A138" s="36"/>
      <c r="B138" s="36"/>
      <c r="C138" s="36"/>
      <c r="D138" s="36"/>
      <c r="E138" s="36"/>
      <c r="F138" s="92" t="s">
        <v>409</v>
      </c>
      <c r="G138" s="92" t="s">
        <v>362</v>
      </c>
      <c r="H138" s="34">
        <v>0</v>
      </c>
      <c r="I138" s="101"/>
      <c r="J138" s="101"/>
      <c r="K138" s="101"/>
      <c r="L138" s="101"/>
      <c r="M138" s="101"/>
      <c r="N138" s="58"/>
      <c r="O138" s="36"/>
    </row>
    <row r="139" spans="1:15" x14ac:dyDescent="0.35">
      <c r="A139" s="36"/>
      <c r="B139" s="36"/>
      <c r="C139" s="36"/>
      <c r="D139" s="36"/>
      <c r="E139" s="36"/>
      <c r="F139" s="92" t="s">
        <v>263</v>
      </c>
      <c r="G139" s="92" t="s">
        <v>362</v>
      </c>
      <c r="H139" s="34">
        <v>0</v>
      </c>
      <c r="I139" s="101"/>
      <c r="J139" s="101"/>
      <c r="K139" s="101"/>
      <c r="L139" s="101"/>
      <c r="M139" s="101"/>
      <c r="N139" s="58"/>
      <c r="O139" s="36"/>
    </row>
    <row r="140" spans="1:15" x14ac:dyDescent="0.35">
      <c r="A140" s="36"/>
      <c r="B140" s="36"/>
      <c r="C140" s="36"/>
      <c r="D140" s="36"/>
      <c r="E140" s="36"/>
      <c r="F140" s="92" t="s">
        <v>264</v>
      </c>
      <c r="G140" s="92" t="s">
        <v>362</v>
      </c>
      <c r="H140" s="34">
        <v>4146</v>
      </c>
      <c r="I140" s="101"/>
      <c r="J140" s="101"/>
      <c r="K140" s="101"/>
      <c r="L140" s="101"/>
      <c r="M140" s="101"/>
      <c r="N140" s="58"/>
      <c r="O140" s="36"/>
    </row>
    <row r="141" spans="1:15" x14ac:dyDescent="0.35">
      <c r="A141" s="36"/>
      <c r="B141" s="36"/>
      <c r="C141" s="36"/>
      <c r="D141" s="36"/>
      <c r="E141" s="36"/>
      <c r="F141" s="92" t="s">
        <v>410</v>
      </c>
      <c r="G141" s="92" t="s">
        <v>362</v>
      </c>
      <c r="H141" s="34">
        <v>63</v>
      </c>
      <c r="I141" s="101"/>
      <c r="J141" s="101"/>
      <c r="K141" s="101"/>
      <c r="L141" s="101"/>
      <c r="M141" s="101"/>
      <c r="N141" s="58"/>
      <c r="O141" s="36"/>
    </row>
    <row r="142" spans="1:15" x14ac:dyDescent="0.35">
      <c r="A142" s="36"/>
      <c r="B142" s="36"/>
      <c r="C142" s="36"/>
      <c r="D142" s="36"/>
      <c r="E142" s="36"/>
      <c r="F142" s="92" t="s">
        <v>266</v>
      </c>
      <c r="G142" s="92" t="s">
        <v>362</v>
      </c>
      <c r="H142" s="34">
        <v>480</v>
      </c>
      <c r="I142" s="101"/>
      <c r="J142" s="101"/>
      <c r="K142" s="101"/>
      <c r="L142" s="101"/>
      <c r="M142" s="101"/>
      <c r="N142" s="58"/>
      <c r="O142" s="36"/>
    </row>
    <row r="143" spans="1:15" x14ac:dyDescent="0.35">
      <c r="A143" s="36"/>
      <c r="B143" s="36"/>
      <c r="C143" s="36"/>
      <c r="D143" s="36"/>
      <c r="E143" s="36"/>
      <c r="F143" s="92" t="s">
        <v>411</v>
      </c>
      <c r="G143" s="92" t="s">
        <v>362</v>
      </c>
      <c r="H143" s="34">
        <v>24</v>
      </c>
      <c r="I143" s="101"/>
      <c r="J143" s="101"/>
      <c r="K143" s="101"/>
      <c r="L143" s="101"/>
      <c r="M143" s="101"/>
      <c r="N143" s="58"/>
      <c r="O143" s="36"/>
    </row>
    <row r="144" spans="1:15" x14ac:dyDescent="0.35">
      <c r="A144" s="36"/>
      <c r="B144" s="36"/>
      <c r="C144" s="36"/>
      <c r="D144" s="36"/>
      <c r="E144" s="36"/>
      <c r="F144" s="92" t="s">
        <v>412</v>
      </c>
      <c r="G144" s="92" t="s">
        <v>362</v>
      </c>
      <c r="H144" s="34">
        <v>916</v>
      </c>
      <c r="I144" s="101"/>
      <c r="J144" s="101"/>
      <c r="K144" s="101"/>
      <c r="L144" s="101"/>
      <c r="M144" s="101"/>
      <c r="N144" s="58"/>
      <c r="O144" s="36"/>
    </row>
    <row r="145" spans="1:15" x14ac:dyDescent="0.35">
      <c r="A145" s="36"/>
      <c r="B145" s="36"/>
      <c r="C145" s="36"/>
      <c r="D145" s="36"/>
      <c r="E145" s="36"/>
      <c r="F145" s="92" t="s">
        <v>269</v>
      </c>
      <c r="G145" s="92" t="s">
        <v>362</v>
      </c>
      <c r="H145" s="34">
        <v>18</v>
      </c>
      <c r="I145" s="101"/>
      <c r="J145" s="101"/>
      <c r="K145" s="101"/>
      <c r="L145" s="101"/>
      <c r="M145" s="101"/>
      <c r="N145" s="58"/>
      <c r="O145" s="36"/>
    </row>
    <row r="146" spans="1:15" x14ac:dyDescent="0.35">
      <c r="A146" s="36"/>
      <c r="B146" s="36"/>
      <c r="C146" s="36"/>
      <c r="D146" s="36"/>
      <c r="E146" s="36"/>
      <c r="F146" s="92" t="s">
        <v>270</v>
      </c>
      <c r="G146" s="92" t="s">
        <v>362</v>
      </c>
      <c r="H146" s="34">
        <v>47</v>
      </c>
      <c r="I146" s="101"/>
      <c r="J146" s="101"/>
      <c r="K146" s="101"/>
      <c r="L146" s="101"/>
      <c r="M146" s="101"/>
      <c r="N146" s="58"/>
      <c r="O146" s="36"/>
    </row>
    <row r="147" spans="1:15" x14ac:dyDescent="0.35">
      <c r="A147" s="36"/>
      <c r="B147" s="36"/>
      <c r="C147" s="36"/>
      <c r="D147" s="36"/>
      <c r="E147" s="36"/>
      <c r="F147" s="92" t="s">
        <v>271</v>
      </c>
      <c r="G147" s="92" t="s">
        <v>362</v>
      </c>
      <c r="H147" s="34">
        <v>4</v>
      </c>
      <c r="I147" s="101"/>
      <c r="J147" s="101"/>
      <c r="K147" s="101"/>
      <c r="L147" s="101"/>
      <c r="M147" s="101"/>
      <c r="N147" s="58"/>
      <c r="O147" s="36"/>
    </row>
    <row r="148" spans="1:15" x14ac:dyDescent="0.35">
      <c r="A148" s="36"/>
      <c r="B148" s="36"/>
      <c r="C148" s="36"/>
      <c r="D148" s="36"/>
      <c r="E148" s="36"/>
      <c r="F148" s="92" t="s">
        <v>413</v>
      </c>
      <c r="G148" s="92" t="s">
        <v>362</v>
      </c>
      <c r="H148" s="34">
        <v>191</v>
      </c>
      <c r="I148" s="101"/>
      <c r="J148" s="101"/>
      <c r="K148" s="101"/>
      <c r="L148" s="101"/>
      <c r="M148" s="101"/>
      <c r="N148" s="58"/>
      <c r="O148" s="36"/>
    </row>
    <row r="149" spans="1:15" x14ac:dyDescent="0.35">
      <c r="A149" s="36"/>
      <c r="B149" s="36"/>
      <c r="C149" s="36"/>
      <c r="D149" s="36"/>
      <c r="E149" s="36"/>
      <c r="F149" s="92" t="s">
        <v>414</v>
      </c>
      <c r="G149" s="92" t="s">
        <v>362</v>
      </c>
      <c r="H149" s="34">
        <v>1726</v>
      </c>
      <c r="I149" s="101"/>
      <c r="J149" s="101"/>
      <c r="K149" s="101"/>
      <c r="L149" s="101"/>
      <c r="M149" s="101"/>
      <c r="N149" s="58"/>
      <c r="O149" s="36"/>
    </row>
    <row r="150" spans="1:15" x14ac:dyDescent="0.35">
      <c r="A150" s="36"/>
      <c r="B150" s="36"/>
      <c r="C150" s="36"/>
      <c r="D150" s="36"/>
      <c r="E150" s="36"/>
      <c r="F150" s="92" t="s">
        <v>274</v>
      </c>
      <c r="G150" s="92" t="s">
        <v>362</v>
      </c>
      <c r="H150" s="34">
        <v>1337</v>
      </c>
      <c r="I150" s="101"/>
      <c r="J150" s="101"/>
      <c r="K150" s="101"/>
      <c r="L150" s="101"/>
      <c r="M150" s="101"/>
      <c r="N150" s="58"/>
      <c r="O150" s="36"/>
    </row>
    <row r="151" spans="1:15" x14ac:dyDescent="0.35">
      <c r="A151" s="36"/>
      <c r="B151" s="36"/>
      <c r="C151" s="36"/>
      <c r="D151" s="36"/>
      <c r="E151" s="36"/>
      <c r="F151" s="92" t="s">
        <v>275</v>
      </c>
      <c r="G151" s="92" t="s">
        <v>362</v>
      </c>
      <c r="H151" s="34">
        <v>4203</v>
      </c>
      <c r="I151" s="101"/>
      <c r="J151" s="101"/>
      <c r="K151" s="101"/>
      <c r="L151" s="101"/>
      <c r="M151" s="101"/>
      <c r="N151" s="58"/>
      <c r="O151" s="36"/>
    </row>
    <row r="152" spans="1:15" x14ac:dyDescent="0.35">
      <c r="A152" s="36"/>
      <c r="B152" s="36"/>
      <c r="C152" s="36"/>
      <c r="D152" s="36"/>
      <c r="E152" s="36"/>
      <c r="F152" s="92" t="s">
        <v>276</v>
      </c>
      <c r="G152" s="92" t="s">
        <v>362</v>
      </c>
      <c r="H152" s="34">
        <v>8360</v>
      </c>
      <c r="I152" s="101"/>
      <c r="J152" s="101"/>
      <c r="K152" s="101"/>
      <c r="L152" s="101"/>
      <c r="M152" s="101"/>
      <c r="N152" s="58"/>
      <c r="O152" s="36"/>
    </row>
    <row r="153" spans="1:15" x14ac:dyDescent="0.35">
      <c r="A153" s="36"/>
      <c r="B153" s="36"/>
      <c r="C153" s="36"/>
      <c r="D153" s="36"/>
      <c r="E153" s="36"/>
      <c r="F153" s="92" t="s">
        <v>415</v>
      </c>
      <c r="G153" s="92" t="s">
        <v>362</v>
      </c>
      <c r="H153" s="34">
        <v>187</v>
      </c>
      <c r="I153" s="101"/>
      <c r="J153" s="101"/>
      <c r="K153" s="101"/>
      <c r="L153" s="101"/>
      <c r="M153" s="101"/>
      <c r="N153" s="58"/>
      <c r="O153" s="36"/>
    </row>
    <row r="154" spans="1:15" x14ac:dyDescent="0.35">
      <c r="A154" s="36"/>
      <c r="B154" s="36"/>
      <c r="C154" s="36"/>
      <c r="D154" s="36"/>
      <c r="E154" s="36"/>
      <c r="F154" s="92" t="s">
        <v>416</v>
      </c>
      <c r="G154" s="92" t="s">
        <v>362</v>
      </c>
      <c r="H154" s="34">
        <v>287</v>
      </c>
      <c r="I154" s="101"/>
      <c r="J154" s="101"/>
      <c r="K154" s="101"/>
      <c r="L154" s="101"/>
      <c r="M154" s="101"/>
      <c r="N154" s="58"/>
      <c r="O154" s="36"/>
    </row>
    <row r="155" spans="1:15" x14ac:dyDescent="0.35">
      <c r="A155" s="36"/>
      <c r="B155" s="36"/>
      <c r="C155" s="36"/>
      <c r="D155" s="36"/>
      <c r="E155" s="36"/>
      <c r="F155" s="92" t="s">
        <v>417</v>
      </c>
      <c r="G155" s="92" t="s">
        <v>362</v>
      </c>
      <c r="H155" s="34">
        <v>4</v>
      </c>
      <c r="I155" s="101"/>
      <c r="J155" s="101"/>
      <c r="K155" s="101"/>
      <c r="L155" s="101"/>
      <c r="M155" s="101"/>
      <c r="N155" s="58"/>
      <c r="O155" s="36"/>
    </row>
    <row r="156" spans="1:15" x14ac:dyDescent="0.35">
      <c r="A156" s="36"/>
      <c r="B156" s="36"/>
      <c r="C156" s="36"/>
      <c r="D156" s="36"/>
      <c r="E156" s="36"/>
      <c r="F156" s="92" t="s">
        <v>418</v>
      </c>
      <c r="G156" s="92" t="s">
        <v>362</v>
      </c>
      <c r="H156" s="34">
        <v>12</v>
      </c>
      <c r="I156" s="101"/>
      <c r="J156" s="101"/>
      <c r="K156" s="101"/>
      <c r="L156" s="101"/>
      <c r="M156" s="101"/>
      <c r="N156" s="58"/>
      <c r="O156" s="36"/>
    </row>
    <row r="157" spans="1:15" x14ac:dyDescent="0.35">
      <c r="A157" s="36"/>
      <c r="B157" s="36"/>
      <c r="C157" s="36"/>
      <c r="D157" s="36"/>
      <c r="E157" s="36"/>
      <c r="F157" s="92" t="s">
        <v>419</v>
      </c>
      <c r="G157" s="92" t="s">
        <v>362</v>
      </c>
      <c r="H157" s="34">
        <v>299</v>
      </c>
      <c r="I157" s="101"/>
      <c r="J157" s="101"/>
      <c r="K157" s="101"/>
      <c r="L157" s="101"/>
      <c r="M157" s="101"/>
      <c r="N157" s="58"/>
      <c r="O157" s="36"/>
    </row>
    <row r="158" spans="1:15" x14ac:dyDescent="0.35">
      <c r="A158" s="36"/>
      <c r="B158" s="36"/>
      <c r="C158" s="36"/>
      <c r="D158" s="36"/>
      <c r="E158" s="36"/>
      <c r="F158" s="92" t="s">
        <v>282</v>
      </c>
      <c r="G158" s="92" t="s">
        <v>362</v>
      </c>
      <c r="H158" s="34">
        <v>2423</v>
      </c>
      <c r="I158" s="101"/>
      <c r="J158" s="101"/>
      <c r="K158" s="101"/>
      <c r="L158" s="101"/>
      <c r="M158" s="101"/>
      <c r="N158" s="58"/>
      <c r="O158" s="36"/>
    </row>
    <row r="159" spans="1:15" x14ac:dyDescent="0.35">
      <c r="A159" s="36"/>
      <c r="B159" s="36"/>
      <c r="C159" s="36"/>
      <c r="D159" s="36"/>
      <c r="E159" s="36"/>
      <c r="F159" s="92" t="s">
        <v>283</v>
      </c>
      <c r="G159" s="92" t="s">
        <v>362</v>
      </c>
      <c r="H159" s="34">
        <v>204</v>
      </c>
      <c r="I159" s="101"/>
      <c r="J159" s="101"/>
      <c r="K159" s="101"/>
      <c r="L159" s="101"/>
      <c r="M159" s="101"/>
      <c r="N159" s="58"/>
      <c r="O159" s="36"/>
    </row>
    <row r="160" spans="1:15" x14ac:dyDescent="0.35">
      <c r="A160" s="36"/>
      <c r="B160" s="36"/>
      <c r="C160" s="36"/>
      <c r="D160" s="36"/>
      <c r="E160" s="36"/>
      <c r="F160" s="92" t="s">
        <v>284</v>
      </c>
      <c r="G160" s="92" t="s">
        <v>362</v>
      </c>
      <c r="H160" s="34">
        <v>0</v>
      </c>
      <c r="I160" s="101"/>
      <c r="J160" s="101"/>
      <c r="K160" s="101"/>
      <c r="L160" s="101"/>
      <c r="M160" s="101"/>
      <c r="N160" s="58"/>
      <c r="O160" s="36"/>
    </row>
    <row r="161" spans="1:15" x14ac:dyDescent="0.35">
      <c r="A161" s="36"/>
      <c r="B161" s="36"/>
      <c r="C161" s="36"/>
      <c r="D161" s="36"/>
      <c r="E161" s="36"/>
      <c r="F161" s="92" t="s">
        <v>420</v>
      </c>
      <c r="G161" s="92" t="s">
        <v>362</v>
      </c>
      <c r="H161" s="34">
        <v>0</v>
      </c>
      <c r="I161" s="101"/>
      <c r="J161" s="101"/>
      <c r="K161" s="101"/>
      <c r="L161" s="101"/>
      <c r="M161" s="101"/>
      <c r="N161" s="58"/>
      <c r="O161" s="36"/>
    </row>
    <row r="162" spans="1:15" x14ac:dyDescent="0.35">
      <c r="A162" s="36"/>
      <c r="B162" s="36"/>
      <c r="C162" s="36"/>
      <c r="D162" s="36"/>
      <c r="E162" s="36"/>
      <c r="F162" s="92" t="s">
        <v>421</v>
      </c>
      <c r="G162" s="92" t="s">
        <v>362</v>
      </c>
      <c r="H162" s="34">
        <v>545</v>
      </c>
      <c r="I162" s="101"/>
      <c r="J162" s="101"/>
      <c r="K162" s="101"/>
      <c r="L162" s="101"/>
      <c r="M162" s="101"/>
      <c r="N162" s="58"/>
      <c r="O162" s="36"/>
    </row>
    <row r="163" spans="1:15" x14ac:dyDescent="0.35">
      <c r="A163" s="36"/>
      <c r="B163" s="36"/>
      <c r="C163" s="36"/>
      <c r="D163" s="36"/>
      <c r="E163" s="36"/>
      <c r="F163" s="92" t="s">
        <v>422</v>
      </c>
      <c r="G163" s="92" t="s">
        <v>362</v>
      </c>
      <c r="H163" s="34">
        <v>2520</v>
      </c>
      <c r="I163" s="101"/>
      <c r="J163" s="101"/>
      <c r="K163" s="101"/>
      <c r="L163" s="101"/>
      <c r="M163" s="101"/>
      <c r="N163" s="58"/>
      <c r="O163" s="36"/>
    </row>
    <row r="164" spans="1:15" x14ac:dyDescent="0.35">
      <c r="A164" s="36"/>
      <c r="B164" s="36"/>
      <c r="C164" s="36"/>
      <c r="D164" s="36"/>
      <c r="E164" s="36"/>
      <c r="F164" s="94" t="s">
        <v>423</v>
      </c>
      <c r="G164" s="94" t="s">
        <v>362</v>
      </c>
      <c r="H164" s="35">
        <v>1914</v>
      </c>
      <c r="I164" s="101"/>
      <c r="J164" s="101"/>
      <c r="K164" s="101"/>
      <c r="L164" s="101"/>
      <c r="M164" s="101"/>
      <c r="N164" s="58"/>
      <c r="O164" s="36"/>
    </row>
    <row r="165" spans="1:15" x14ac:dyDescent="0.35">
      <c r="A165" s="36"/>
      <c r="B165" s="36"/>
      <c r="C165" s="36"/>
      <c r="D165" s="36"/>
      <c r="E165" s="36"/>
      <c r="F165" s="36"/>
      <c r="G165" s="36"/>
      <c r="H165" s="58"/>
      <c r="I165" s="58"/>
      <c r="J165" s="58"/>
      <c r="K165" s="58"/>
      <c r="L165" s="58"/>
      <c r="M165" s="58"/>
      <c r="N165" s="58"/>
      <c r="O165" s="36"/>
    </row>
    <row r="166" spans="1:15" x14ac:dyDescent="0.35">
      <c r="A166" s="36"/>
      <c r="B166" s="36"/>
      <c r="C166" s="87" t="s">
        <v>424</v>
      </c>
      <c r="D166" s="87"/>
      <c r="E166" s="87"/>
      <c r="F166" s="87"/>
      <c r="G166" s="87"/>
      <c r="H166" s="88"/>
      <c r="I166" s="88"/>
      <c r="J166" s="88"/>
      <c r="K166" s="88"/>
      <c r="L166" s="88"/>
      <c r="M166" s="88"/>
      <c r="N166" s="88"/>
      <c r="O166" s="87"/>
    </row>
    <row r="167" spans="1:15" x14ac:dyDescent="0.35">
      <c r="A167" s="36"/>
      <c r="B167" s="36"/>
      <c r="C167" s="86"/>
      <c r="D167" s="86"/>
      <c r="E167" s="36"/>
      <c r="F167" s="36"/>
      <c r="G167" s="36"/>
      <c r="H167" s="58"/>
      <c r="I167" s="58"/>
      <c r="J167" s="58"/>
      <c r="K167" s="58"/>
      <c r="L167" s="58"/>
      <c r="M167" s="58"/>
      <c r="N167" s="58"/>
      <c r="O167" s="36"/>
    </row>
    <row r="168" spans="1:15" x14ac:dyDescent="0.35">
      <c r="A168" s="36"/>
      <c r="B168" s="36"/>
      <c r="C168" s="36"/>
      <c r="D168" s="86" t="s">
        <v>425</v>
      </c>
      <c r="E168" s="36"/>
      <c r="F168" s="36"/>
      <c r="G168" s="36"/>
      <c r="H168" s="58"/>
      <c r="I168" s="58"/>
      <c r="J168" s="58"/>
      <c r="K168" s="58"/>
      <c r="L168" s="58"/>
      <c r="M168" s="58"/>
      <c r="N168" s="58"/>
      <c r="O168" s="36"/>
    </row>
    <row r="169" spans="1:15" x14ac:dyDescent="0.35">
      <c r="A169" s="36"/>
      <c r="B169" s="36"/>
      <c r="C169" s="36"/>
      <c r="D169" s="86"/>
      <c r="E169" s="36"/>
      <c r="F169" s="36"/>
      <c r="G169" s="36"/>
      <c r="H169" s="58"/>
      <c r="I169" s="58"/>
      <c r="J169" s="58"/>
      <c r="K169" s="58"/>
      <c r="L169" s="58"/>
      <c r="M169" s="58"/>
      <c r="N169" s="58"/>
      <c r="O169" s="36"/>
    </row>
    <row r="170" spans="1:15" x14ac:dyDescent="0.35">
      <c r="A170" s="92"/>
      <c r="B170" s="36"/>
      <c r="C170" s="36"/>
      <c r="D170" s="86"/>
      <c r="E170" s="89" t="s">
        <v>426</v>
      </c>
      <c r="F170" s="36"/>
      <c r="G170" s="36"/>
      <c r="H170" s="58"/>
      <c r="I170" s="103" t="s">
        <v>120</v>
      </c>
      <c r="J170" s="58"/>
      <c r="K170" s="58"/>
      <c r="L170" s="58"/>
      <c r="M170" s="58"/>
      <c r="N170" s="58"/>
      <c r="O170" s="92" t="s">
        <v>427</v>
      </c>
    </row>
    <row r="171" spans="1:15" x14ac:dyDescent="0.35">
      <c r="A171" s="36"/>
      <c r="B171" s="36"/>
      <c r="C171" s="36"/>
      <c r="D171" s="36"/>
      <c r="E171" s="86"/>
      <c r="F171" s="90" t="s">
        <v>361</v>
      </c>
      <c r="G171" s="90" t="s">
        <v>428</v>
      </c>
      <c r="H171" s="33">
        <v>25787.41668117787</v>
      </c>
      <c r="I171" s="101"/>
      <c r="J171" s="101"/>
      <c r="K171" s="101"/>
      <c r="L171" s="101"/>
      <c r="M171" s="101"/>
      <c r="N171" s="58"/>
      <c r="O171" s="36"/>
    </row>
    <row r="172" spans="1:15" x14ac:dyDescent="0.35">
      <c r="A172" s="36"/>
      <c r="B172" s="36"/>
      <c r="C172" s="36"/>
      <c r="D172" s="36"/>
      <c r="E172" s="36"/>
      <c r="F172" s="92" t="s">
        <v>363</v>
      </c>
      <c r="G172" s="92" t="s">
        <v>428</v>
      </c>
      <c r="H172" s="34">
        <v>727.8957018119479</v>
      </c>
      <c r="I172" s="101"/>
      <c r="J172" s="101"/>
      <c r="K172" s="101"/>
      <c r="L172" s="101"/>
      <c r="M172" s="101"/>
      <c r="N172" s="58"/>
      <c r="O172" s="36"/>
    </row>
    <row r="173" spans="1:15" x14ac:dyDescent="0.35">
      <c r="A173" s="36"/>
      <c r="B173" s="36"/>
      <c r="C173" s="36"/>
      <c r="D173" s="36"/>
      <c r="E173" s="36"/>
      <c r="F173" s="92" t="s">
        <v>206</v>
      </c>
      <c r="G173" s="92" t="s">
        <v>428</v>
      </c>
      <c r="H173" s="34">
        <v>2517.6224387146376</v>
      </c>
      <c r="I173" s="101"/>
      <c r="J173" s="101"/>
      <c r="K173" s="101"/>
      <c r="L173" s="101"/>
      <c r="M173" s="101"/>
      <c r="N173" s="58"/>
      <c r="O173" s="36"/>
    </row>
    <row r="174" spans="1:15" x14ac:dyDescent="0.35">
      <c r="A174" s="36"/>
      <c r="B174" s="36"/>
      <c r="C174" s="36"/>
      <c r="D174" s="36"/>
      <c r="E174" s="36"/>
      <c r="F174" s="92" t="s">
        <v>364</v>
      </c>
      <c r="G174" s="92" t="s">
        <v>428</v>
      </c>
      <c r="H174" s="34">
        <v>163494.7863082446</v>
      </c>
      <c r="I174" s="101"/>
      <c r="J174" s="101"/>
      <c r="K174" s="101"/>
      <c r="L174" s="101"/>
      <c r="M174" s="101"/>
      <c r="N174" s="58"/>
      <c r="O174" s="36"/>
    </row>
    <row r="175" spans="1:15" x14ac:dyDescent="0.35">
      <c r="A175" s="36"/>
      <c r="B175" s="36"/>
      <c r="C175" s="36"/>
      <c r="D175" s="36"/>
      <c r="E175" s="36"/>
      <c r="F175" s="92" t="s">
        <v>365</v>
      </c>
      <c r="G175" s="92" t="s">
        <v>428</v>
      </c>
      <c r="H175" s="34">
        <v>163494.7863082446</v>
      </c>
      <c r="I175" s="101"/>
      <c r="J175" s="101"/>
      <c r="K175" s="101"/>
      <c r="L175" s="101"/>
      <c r="M175" s="101"/>
      <c r="N175" s="58"/>
      <c r="O175" s="36"/>
    </row>
    <row r="176" spans="1:15" x14ac:dyDescent="0.35">
      <c r="A176" s="36"/>
      <c r="B176" s="36"/>
      <c r="C176" s="36"/>
      <c r="D176" s="36"/>
      <c r="E176" s="36"/>
      <c r="F176" s="92" t="s">
        <v>366</v>
      </c>
      <c r="G176" s="92" t="s">
        <v>428</v>
      </c>
      <c r="H176" s="34">
        <v>163494.7863082446</v>
      </c>
      <c r="I176" s="101"/>
      <c r="J176" s="101"/>
      <c r="K176" s="101"/>
      <c r="L176" s="101"/>
      <c r="M176" s="101"/>
      <c r="N176" s="58"/>
      <c r="O176" s="36"/>
    </row>
    <row r="177" spans="1:15" x14ac:dyDescent="0.35">
      <c r="A177" s="36"/>
      <c r="B177" s="36"/>
      <c r="C177" s="36"/>
      <c r="D177" s="36"/>
      <c r="E177" s="36"/>
      <c r="F177" s="92" t="s">
        <v>367</v>
      </c>
      <c r="G177" s="92" t="s">
        <v>428</v>
      </c>
      <c r="H177" s="34">
        <v>2191.9785998560096</v>
      </c>
      <c r="I177" s="101"/>
      <c r="J177" s="101"/>
      <c r="K177" s="101"/>
      <c r="L177" s="101"/>
      <c r="M177" s="101"/>
      <c r="N177" s="58"/>
      <c r="O177" s="36"/>
    </row>
    <row r="178" spans="1:15" x14ac:dyDescent="0.35">
      <c r="A178" s="36"/>
      <c r="B178" s="36"/>
      <c r="C178" s="36"/>
      <c r="D178" s="36"/>
      <c r="E178" s="36"/>
      <c r="F178" s="92" t="s">
        <v>368</v>
      </c>
      <c r="G178" s="92" t="s">
        <v>428</v>
      </c>
      <c r="H178" s="34">
        <v>0</v>
      </c>
      <c r="I178" s="101"/>
      <c r="J178" s="101"/>
      <c r="K178" s="101"/>
      <c r="L178" s="101"/>
      <c r="M178" s="101"/>
      <c r="N178" s="58"/>
      <c r="O178" s="36"/>
    </row>
    <row r="179" spans="1:15" x14ac:dyDescent="0.35">
      <c r="A179" s="36"/>
      <c r="B179" s="36"/>
      <c r="C179" s="36"/>
      <c r="D179" s="36"/>
      <c r="E179" s="36"/>
      <c r="F179" s="92" t="s">
        <v>369</v>
      </c>
      <c r="G179" s="92" t="s">
        <v>428</v>
      </c>
      <c r="H179" s="34">
        <v>14059.225246473792</v>
      </c>
      <c r="I179" s="101"/>
      <c r="J179" s="101"/>
      <c r="K179" s="101"/>
      <c r="L179" s="101"/>
      <c r="M179" s="101"/>
      <c r="N179" s="58"/>
      <c r="O179" s="36"/>
    </row>
    <row r="180" spans="1:15" x14ac:dyDescent="0.35">
      <c r="A180" s="36"/>
      <c r="B180" s="36"/>
      <c r="C180" s="36"/>
      <c r="D180" s="36"/>
      <c r="E180" s="36"/>
      <c r="F180" s="92" t="s">
        <v>370</v>
      </c>
      <c r="G180" s="92" t="s">
        <v>428</v>
      </c>
      <c r="H180" s="34">
        <v>0</v>
      </c>
      <c r="I180" s="101"/>
      <c r="J180" s="101"/>
      <c r="K180" s="101"/>
      <c r="L180" s="101"/>
      <c r="M180" s="101"/>
      <c r="N180" s="58"/>
      <c r="O180" s="36"/>
    </row>
    <row r="181" spans="1:15" x14ac:dyDescent="0.35">
      <c r="A181" s="36"/>
      <c r="B181" s="36"/>
      <c r="C181" s="36"/>
      <c r="D181" s="36"/>
      <c r="E181" s="36"/>
      <c r="F181" s="92" t="s">
        <v>371</v>
      </c>
      <c r="G181" s="92" t="s">
        <v>428</v>
      </c>
      <c r="H181" s="34">
        <v>7813.125053075536</v>
      </c>
      <c r="I181" s="101"/>
      <c r="J181" s="101"/>
      <c r="K181" s="101"/>
      <c r="L181" s="101"/>
      <c r="M181" s="101"/>
      <c r="N181" s="58"/>
      <c r="O181" s="36"/>
    </row>
    <row r="182" spans="1:15" x14ac:dyDescent="0.35">
      <c r="A182" s="36"/>
      <c r="B182" s="36"/>
      <c r="C182" s="36"/>
      <c r="D182" s="36"/>
      <c r="E182" s="36"/>
      <c r="F182" s="92" t="s">
        <v>372</v>
      </c>
      <c r="G182" s="92" t="s">
        <v>428</v>
      </c>
      <c r="H182" s="34">
        <v>63.593343596842416</v>
      </c>
      <c r="I182" s="101"/>
      <c r="J182" s="101"/>
      <c r="K182" s="101"/>
      <c r="L182" s="101"/>
      <c r="M182" s="101"/>
      <c r="N182" s="58"/>
      <c r="O182" s="36"/>
    </row>
    <row r="183" spans="1:15" x14ac:dyDescent="0.35">
      <c r="A183" s="36"/>
      <c r="B183" s="36"/>
      <c r="C183" s="36"/>
      <c r="D183" s="36"/>
      <c r="E183" s="36"/>
      <c r="F183" s="92" t="s">
        <v>373</v>
      </c>
      <c r="G183" s="92" t="s">
        <v>428</v>
      </c>
      <c r="H183" s="34">
        <v>0</v>
      </c>
      <c r="I183" s="101"/>
      <c r="J183" s="101"/>
      <c r="K183" s="101"/>
      <c r="L183" s="101"/>
      <c r="M183" s="101"/>
      <c r="N183" s="58"/>
      <c r="O183" s="36"/>
    </row>
    <row r="184" spans="1:15" x14ac:dyDescent="0.35">
      <c r="A184" s="36"/>
      <c r="B184" s="36"/>
      <c r="C184" s="36"/>
      <c r="D184" s="36"/>
      <c r="E184" s="36"/>
      <c r="F184" s="92" t="s">
        <v>374</v>
      </c>
      <c r="G184" s="92" t="s">
        <v>428</v>
      </c>
      <c r="H184" s="34">
        <v>36108.898167644111</v>
      </c>
      <c r="I184" s="101"/>
      <c r="J184" s="101"/>
      <c r="K184" s="101"/>
      <c r="L184" s="101"/>
      <c r="M184" s="101"/>
      <c r="N184" s="58"/>
      <c r="O184" s="36"/>
    </row>
    <row r="185" spans="1:15" x14ac:dyDescent="0.35">
      <c r="A185" s="36"/>
      <c r="B185" s="36"/>
      <c r="C185" s="36"/>
      <c r="D185" s="36"/>
      <c r="E185" s="36"/>
      <c r="F185" s="92" t="s">
        <v>375</v>
      </c>
      <c r="G185" s="92" t="s">
        <v>428</v>
      </c>
      <c r="H185" s="34">
        <v>56825.143459978397</v>
      </c>
      <c r="I185" s="101"/>
      <c r="J185" s="101"/>
      <c r="K185" s="101"/>
      <c r="L185" s="101"/>
      <c r="M185" s="101"/>
      <c r="N185" s="58"/>
      <c r="O185" s="36"/>
    </row>
    <row r="186" spans="1:15" x14ac:dyDescent="0.35">
      <c r="A186" s="36"/>
      <c r="B186" s="36"/>
      <c r="C186" s="36"/>
      <c r="D186" s="36"/>
      <c r="E186" s="36"/>
      <c r="F186" s="92" t="s">
        <v>376</v>
      </c>
      <c r="G186" s="92" t="s">
        <v>428</v>
      </c>
      <c r="H186" s="34">
        <v>0</v>
      </c>
      <c r="I186" s="101"/>
      <c r="J186" s="101"/>
      <c r="K186" s="101"/>
      <c r="L186" s="101"/>
      <c r="M186" s="101"/>
      <c r="N186" s="58"/>
      <c r="O186" s="36"/>
    </row>
    <row r="187" spans="1:15" x14ac:dyDescent="0.35">
      <c r="A187" s="36"/>
      <c r="B187" s="36"/>
      <c r="C187" s="36"/>
      <c r="D187" s="36"/>
      <c r="E187" s="36"/>
      <c r="F187" s="92" t="s">
        <v>377</v>
      </c>
      <c r="G187" s="92" t="s">
        <v>428</v>
      </c>
      <c r="H187" s="34">
        <v>0</v>
      </c>
      <c r="I187" s="101"/>
      <c r="J187" s="101"/>
      <c r="K187" s="101"/>
      <c r="L187" s="101"/>
      <c r="M187" s="101"/>
      <c r="N187" s="58"/>
      <c r="O187" s="36"/>
    </row>
    <row r="188" spans="1:15" x14ac:dyDescent="0.35">
      <c r="A188" s="36"/>
      <c r="B188" s="36"/>
      <c r="C188" s="36"/>
      <c r="D188" s="36"/>
      <c r="E188" s="36"/>
      <c r="F188" s="92" t="s">
        <v>221</v>
      </c>
      <c r="G188" s="92" t="s">
        <v>428</v>
      </c>
      <c r="H188" s="34">
        <v>3600.5130798861055</v>
      </c>
      <c r="I188" s="101"/>
      <c r="J188" s="101"/>
      <c r="K188" s="101"/>
      <c r="L188" s="101"/>
      <c r="M188" s="101"/>
      <c r="N188" s="58"/>
      <c r="O188" s="36"/>
    </row>
    <row r="189" spans="1:15" x14ac:dyDescent="0.35">
      <c r="A189" s="36"/>
      <c r="B189" s="36"/>
      <c r="C189" s="36"/>
      <c r="D189" s="36"/>
      <c r="E189" s="36"/>
      <c r="F189" s="92" t="s">
        <v>222</v>
      </c>
      <c r="G189" s="92" t="s">
        <v>428</v>
      </c>
      <c r="H189" s="34">
        <v>0</v>
      </c>
      <c r="I189" s="101"/>
      <c r="J189" s="101"/>
      <c r="K189" s="101"/>
      <c r="L189" s="101"/>
      <c r="M189" s="101"/>
      <c r="N189" s="58"/>
      <c r="O189" s="36"/>
    </row>
    <row r="190" spans="1:15" x14ac:dyDescent="0.35">
      <c r="A190" s="36"/>
      <c r="B190" s="36"/>
      <c r="C190" s="36"/>
      <c r="D190" s="36"/>
      <c r="E190" s="36"/>
      <c r="F190" s="92" t="s">
        <v>378</v>
      </c>
      <c r="G190" s="92" t="s">
        <v>428</v>
      </c>
      <c r="H190" s="34">
        <v>185444.07116656651</v>
      </c>
      <c r="I190" s="101"/>
      <c r="J190" s="101"/>
      <c r="K190" s="101"/>
      <c r="L190" s="101"/>
      <c r="M190" s="101"/>
      <c r="N190" s="58"/>
      <c r="O190" s="36"/>
    </row>
    <row r="191" spans="1:15" x14ac:dyDescent="0.35">
      <c r="A191" s="36"/>
      <c r="B191" s="36"/>
      <c r="C191" s="36"/>
      <c r="D191" s="36"/>
      <c r="E191" s="36"/>
      <c r="F191" s="92" t="s">
        <v>379</v>
      </c>
      <c r="G191" s="92" t="s">
        <v>428</v>
      </c>
      <c r="H191" s="34">
        <v>0</v>
      </c>
      <c r="I191" s="101"/>
      <c r="J191" s="101"/>
      <c r="K191" s="101"/>
      <c r="L191" s="101"/>
      <c r="M191" s="101"/>
      <c r="N191" s="58"/>
      <c r="O191" s="36"/>
    </row>
    <row r="192" spans="1:15" x14ac:dyDescent="0.35">
      <c r="A192" s="36"/>
      <c r="B192" s="36"/>
      <c r="C192" s="36"/>
      <c r="D192" s="36"/>
      <c r="E192" s="36"/>
      <c r="F192" s="92" t="s">
        <v>380</v>
      </c>
      <c r="G192" s="92" t="s">
        <v>428</v>
      </c>
      <c r="H192" s="34">
        <v>0</v>
      </c>
      <c r="I192" s="101"/>
      <c r="J192" s="101"/>
      <c r="K192" s="101"/>
      <c r="L192" s="101"/>
      <c r="M192" s="101"/>
      <c r="N192" s="58"/>
      <c r="O192" s="36"/>
    </row>
    <row r="193" spans="1:15" x14ac:dyDescent="0.35">
      <c r="A193" s="36"/>
      <c r="B193" s="36"/>
      <c r="C193" s="36"/>
      <c r="D193" s="36"/>
      <c r="E193" s="36"/>
      <c r="F193" s="92" t="s">
        <v>381</v>
      </c>
      <c r="G193" s="92" t="s">
        <v>428</v>
      </c>
      <c r="H193" s="34">
        <v>15177.563230970592</v>
      </c>
      <c r="I193" s="101"/>
      <c r="J193" s="101"/>
      <c r="K193" s="101"/>
      <c r="L193" s="101"/>
      <c r="M193" s="101"/>
      <c r="N193" s="58"/>
      <c r="O193" s="36"/>
    </row>
    <row r="194" spans="1:15" x14ac:dyDescent="0.35">
      <c r="A194" s="36"/>
      <c r="B194" s="36"/>
      <c r="C194" s="36"/>
      <c r="D194" s="36"/>
      <c r="E194" s="36"/>
      <c r="F194" s="92" t="s">
        <v>382</v>
      </c>
      <c r="G194" s="92" t="s">
        <v>428</v>
      </c>
      <c r="H194" s="34">
        <v>53231.068072762166</v>
      </c>
      <c r="I194" s="101"/>
      <c r="J194" s="101"/>
      <c r="K194" s="101"/>
      <c r="L194" s="101"/>
      <c r="M194" s="101"/>
      <c r="N194" s="58"/>
      <c r="O194" s="36"/>
    </row>
    <row r="195" spans="1:15" x14ac:dyDescent="0.35">
      <c r="A195" s="36"/>
      <c r="B195" s="36"/>
      <c r="C195" s="36"/>
      <c r="D195" s="36"/>
      <c r="E195" s="36"/>
      <c r="F195" s="92" t="s">
        <v>228</v>
      </c>
      <c r="G195" s="92" t="s">
        <v>428</v>
      </c>
      <c r="H195" s="34">
        <v>0</v>
      </c>
      <c r="I195" s="101"/>
      <c r="J195" s="101"/>
      <c r="K195" s="101"/>
      <c r="L195" s="101"/>
      <c r="M195" s="101"/>
      <c r="N195" s="58"/>
      <c r="O195" s="36"/>
    </row>
    <row r="196" spans="1:15" x14ac:dyDescent="0.35">
      <c r="A196" s="36"/>
      <c r="B196" s="36"/>
      <c r="C196" s="36"/>
      <c r="D196" s="36"/>
      <c r="E196" s="36"/>
      <c r="F196" s="92" t="s">
        <v>229</v>
      </c>
      <c r="G196" s="92" t="s">
        <v>428</v>
      </c>
      <c r="H196" s="34">
        <v>12000.465670394527</v>
      </c>
      <c r="I196" s="101"/>
      <c r="J196" s="101"/>
      <c r="K196" s="101"/>
      <c r="L196" s="101"/>
      <c r="M196" s="101"/>
      <c r="N196" s="58"/>
      <c r="O196" s="36"/>
    </row>
    <row r="197" spans="1:15" x14ac:dyDescent="0.35">
      <c r="A197" s="36"/>
      <c r="B197" s="36"/>
      <c r="C197" s="36"/>
      <c r="D197" s="36"/>
      <c r="E197" s="36"/>
      <c r="F197" s="92" t="s">
        <v>230</v>
      </c>
      <c r="G197" s="92" t="s">
        <v>428</v>
      </c>
      <c r="H197" s="34">
        <v>22418.729012479256</v>
      </c>
      <c r="I197" s="101"/>
      <c r="J197" s="101"/>
      <c r="K197" s="101"/>
      <c r="L197" s="101"/>
      <c r="M197" s="101"/>
      <c r="N197" s="58"/>
      <c r="O197" s="36"/>
    </row>
    <row r="198" spans="1:15" x14ac:dyDescent="0.35">
      <c r="A198" s="36"/>
      <c r="B198" s="36"/>
      <c r="C198" s="36"/>
      <c r="D198" s="36"/>
      <c r="E198" s="36"/>
      <c r="F198" s="92" t="s">
        <v>383</v>
      </c>
      <c r="G198" s="92" t="s">
        <v>428</v>
      </c>
      <c r="H198" s="34">
        <v>2460.7520452189924</v>
      </c>
      <c r="I198" s="101"/>
      <c r="J198" s="101"/>
      <c r="K198" s="101"/>
      <c r="L198" s="101"/>
      <c r="M198" s="101"/>
      <c r="N198" s="58"/>
      <c r="O198" s="36"/>
    </row>
    <row r="199" spans="1:15" x14ac:dyDescent="0.35">
      <c r="A199" s="36"/>
      <c r="B199" s="36"/>
      <c r="C199" s="36"/>
      <c r="D199" s="36"/>
      <c r="E199" s="36"/>
      <c r="F199" s="92" t="s">
        <v>384</v>
      </c>
      <c r="G199" s="92" t="s">
        <v>428</v>
      </c>
      <c r="H199" s="34">
        <v>0</v>
      </c>
      <c r="I199" s="101"/>
      <c r="J199" s="101"/>
      <c r="K199" s="101"/>
      <c r="L199" s="101"/>
      <c r="M199" s="101"/>
      <c r="N199" s="58"/>
      <c r="O199" s="36"/>
    </row>
    <row r="200" spans="1:15" x14ac:dyDescent="0.35">
      <c r="A200" s="36"/>
      <c r="B200" s="36"/>
      <c r="C200" s="36"/>
      <c r="D200" s="36"/>
      <c r="E200" s="36"/>
      <c r="F200" s="92" t="s">
        <v>385</v>
      </c>
      <c r="G200" s="92" t="s">
        <v>428</v>
      </c>
      <c r="H200" s="34">
        <v>0</v>
      </c>
      <c r="I200" s="101"/>
      <c r="J200" s="101"/>
      <c r="K200" s="101"/>
      <c r="L200" s="101"/>
      <c r="M200" s="101"/>
      <c r="N200" s="58"/>
      <c r="O200" s="36"/>
    </row>
    <row r="201" spans="1:15" x14ac:dyDescent="0.35">
      <c r="A201" s="36"/>
      <c r="B201" s="36"/>
      <c r="C201" s="36"/>
      <c r="D201" s="36"/>
      <c r="E201" s="36"/>
      <c r="F201" s="92" t="s">
        <v>386</v>
      </c>
      <c r="G201" s="92" t="s">
        <v>428</v>
      </c>
      <c r="H201" s="34">
        <v>0</v>
      </c>
      <c r="I201" s="101"/>
      <c r="J201" s="101"/>
      <c r="K201" s="101"/>
      <c r="L201" s="101"/>
      <c r="M201" s="101"/>
      <c r="N201" s="58"/>
      <c r="O201" s="36"/>
    </row>
    <row r="202" spans="1:15" x14ac:dyDescent="0.35">
      <c r="A202" s="36"/>
      <c r="B202" s="36"/>
      <c r="C202" s="36"/>
      <c r="D202" s="36"/>
      <c r="E202" s="36"/>
      <c r="F202" s="92" t="s">
        <v>387</v>
      </c>
      <c r="G202" s="92" t="s">
        <v>428</v>
      </c>
      <c r="H202" s="34">
        <v>0</v>
      </c>
      <c r="I202" s="101"/>
      <c r="J202" s="101"/>
      <c r="K202" s="101"/>
      <c r="L202" s="101"/>
      <c r="M202" s="101"/>
      <c r="N202" s="58"/>
      <c r="O202" s="36"/>
    </row>
    <row r="203" spans="1:15" x14ac:dyDescent="0.35">
      <c r="A203" s="36"/>
      <c r="B203" s="36"/>
      <c r="C203" s="36"/>
      <c r="D203" s="36"/>
      <c r="E203" s="36"/>
      <c r="F203" s="92" t="s">
        <v>388</v>
      </c>
      <c r="G203" s="92" t="s">
        <v>428</v>
      </c>
      <c r="H203" s="34">
        <v>0</v>
      </c>
      <c r="I203" s="101"/>
      <c r="J203" s="101"/>
      <c r="K203" s="101"/>
      <c r="L203" s="101"/>
      <c r="M203" s="101"/>
      <c r="N203" s="58"/>
      <c r="O203" s="36"/>
    </row>
    <row r="204" spans="1:15" x14ac:dyDescent="0.35">
      <c r="A204" s="36"/>
      <c r="B204" s="36"/>
      <c r="C204" s="36"/>
      <c r="D204" s="36"/>
      <c r="E204" s="36"/>
      <c r="F204" s="92" t="s">
        <v>237</v>
      </c>
      <c r="G204" s="92" t="s">
        <v>428</v>
      </c>
      <c r="H204" s="34">
        <v>0</v>
      </c>
      <c r="I204" s="101"/>
      <c r="J204" s="101"/>
      <c r="K204" s="101"/>
      <c r="L204" s="101"/>
      <c r="M204" s="101"/>
      <c r="N204" s="58"/>
      <c r="O204" s="36"/>
    </row>
    <row r="205" spans="1:15" x14ac:dyDescent="0.35">
      <c r="A205" s="36"/>
      <c r="B205" s="36"/>
      <c r="C205" s="36"/>
      <c r="D205" s="36"/>
      <c r="E205" s="36"/>
      <c r="F205" s="92" t="s">
        <v>389</v>
      </c>
      <c r="G205" s="92" t="s">
        <v>428</v>
      </c>
      <c r="H205" s="34">
        <v>0</v>
      </c>
      <c r="I205" s="101"/>
      <c r="J205" s="101"/>
      <c r="K205" s="101"/>
      <c r="L205" s="101"/>
      <c r="M205" s="101"/>
      <c r="N205" s="58"/>
      <c r="O205" s="36"/>
    </row>
    <row r="206" spans="1:15" x14ac:dyDescent="0.35">
      <c r="A206" s="36"/>
      <c r="B206" s="36"/>
      <c r="C206" s="36"/>
      <c r="D206" s="36"/>
      <c r="E206" s="36"/>
      <c r="F206" s="92" t="s">
        <v>390</v>
      </c>
      <c r="G206" s="92" t="s">
        <v>428</v>
      </c>
      <c r="H206" s="34">
        <v>0</v>
      </c>
      <c r="I206" s="101"/>
      <c r="J206" s="101"/>
      <c r="K206" s="101"/>
      <c r="L206" s="101"/>
      <c r="M206" s="101"/>
      <c r="N206" s="58"/>
      <c r="O206" s="36"/>
    </row>
    <row r="207" spans="1:15" x14ac:dyDescent="0.35">
      <c r="A207" s="36"/>
      <c r="B207" s="36"/>
      <c r="C207" s="36"/>
      <c r="D207" s="36"/>
      <c r="E207" s="36"/>
      <c r="F207" s="92" t="s">
        <v>391</v>
      </c>
      <c r="G207" s="92" t="s">
        <v>428</v>
      </c>
      <c r="H207" s="34">
        <v>6188.7667188592523</v>
      </c>
      <c r="I207" s="101"/>
      <c r="J207" s="101"/>
      <c r="K207" s="101"/>
      <c r="L207" s="101"/>
      <c r="M207" s="101"/>
      <c r="N207" s="58"/>
      <c r="O207" s="36"/>
    </row>
    <row r="208" spans="1:15" x14ac:dyDescent="0.35">
      <c r="A208" s="36"/>
      <c r="B208" s="36"/>
      <c r="C208" s="36"/>
      <c r="D208" s="36"/>
      <c r="E208" s="36"/>
      <c r="F208" s="92" t="s">
        <v>392</v>
      </c>
      <c r="G208" s="92" t="s">
        <v>428</v>
      </c>
      <c r="H208" s="34">
        <v>21181.741936686827</v>
      </c>
      <c r="I208" s="101"/>
      <c r="J208" s="101"/>
      <c r="K208" s="101"/>
      <c r="L208" s="101"/>
      <c r="M208" s="101"/>
      <c r="N208" s="58"/>
      <c r="O208" s="36"/>
    </row>
    <row r="209" spans="1:15" x14ac:dyDescent="0.35">
      <c r="A209" s="36"/>
      <c r="B209" s="36"/>
      <c r="C209" s="36"/>
      <c r="D209" s="36"/>
      <c r="E209" s="36"/>
      <c r="F209" s="92" t="s">
        <v>393</v>
      </c>
      <c r="G209" s="92" t="s">
        <v>428</v>
      </c>
      <c r="H209" s="34">
        <v>0</v>
      </c>
      <c r="I209" s="101"/>
      <c r="J209" s="101"/>
      <c r="K209" s="101"/>
      <c r="L209" s="101"/>
      <c r="M209" s="101"/>
      <c r="N209" s="58"/>
      <c r="O209" s="36"/>
    </row>
    <row r="210" spans="1:15" x14ac:dyDescent="0.35">
      <c r="A210" s="36"/>
      <c r="B210" s="36"/>
      <c r="C210" s="36"/>
      <c r="D210" s="36"/>
      <c r="E210" s="36"/>
      <c r="F210" s="92" t="s">
        <v>394</v>
      </c>
      <c r="G210" s="92" t="s">
        <v>428</v>
      </c>
      <c r="H210" s="34">
        <v>0</v>
      </c>
      <c r="I210" s="101"/>
      <c r="J210" s="101"/>
      <c r="K210" s="101"/>
      <c r="L210" s="101"/>
      <c r="M210" s="101"/>
      <c r="N210" s="58"/>
      <c r="O210" s="36"/>
    </row>
    <row r="211" spans="1:15" x14ac:dyDescent="0.35">
      <c r="A211" s="36"/>
      <c r="B211" s="36"/>
      <c r="C211" s="36"/>
      <c r="D211" s="36"/>
      <c r="E211" s="36"/>
      <c r="F211" s="92" t="s">
        <v>395</v>
      </c>
      <c r="G211" s="92" t="s">
        <v>428</v>
      </c>
      <c r="H211" s="34">
        <v>44039.838238196498</v>
      </c>
      <c r="I211" s="101"/>
      <c r="J211" s="101"/>
      <c r="K211" s="101"/>
      <c r="L211" s="101"/>
      <c r="M211" s="101"/>
      <c r="N211" s="58"/>
      <c r="O211" s="36"/>
    </row>
    <row r="212" spans="1:15" x14ac:dyDescent="0.35">
      <c r="A212" s="36"/>
      <c r="B212" s="36"/>
      <c r="C212" s="36"/>
      <c r="D212" s="36"/>
      <c r="E212" s="36"/>
      <c r="F212" s="92" t="s">
        <v>396</v>
      </c>
      <c r="G212" s="92" t="s">
        <v>428</v>
      </c>
      <c r="H212" s="34">
        <v>63106.28987101034</v>
      </c>
      <c r="I212" s="101"/>
      <c r="J212" s="101"/>
      <c r="K212" s="101"/>
      <c r="L212" s="101"/>
      <c r="M212" s="101"/>
      <c r="N212" s="58"/>
      <c r="O212" s="36"/>
    </row>
    <row r="213" spans="1:15" x14ac:dyDescent="0.35">
      <c r="A213" s="36"/>
      <c r="B213" s="36"/>
      <c r="C213" s="36"/>
      <c r="D213" s="36"/>
      <c r="E213" s="36"/>
      <c r="F213" s="92" t="s">
        <v>397</v>
      </c>
      <c r="G213" s="92" t="s">
        <v>428</v>
      </c>
      <c r="H213" s="34">
        <v>0</v>
      </c>
      <c r="I213" s="101"/>
      <c r="J213" s="101"/>
      <c r="K213" s="101"/>
      <c r="L213" s="101"/>
      <c r="M213" s="101"/>
      <c r="N213" s="58"/>
      <c r="O213" s="36"/>
    </row>
    <row r="214" spans="1:15" x14ac:dyDescent="0.35">
      <c r="A214" s="36"/>
      <c r="B214" s="36"/>
      <c r="C214" s="36"/>
      <c r="D214" s="36"/>
      <c r="E214" s="36"/>
      <c r="F214" s="92" t="s">
        <v>398</v>
      </c>
      <c r="G214" s="92" t="s">
        <v>428</v>
      </c>
      <c r="H214" s="34">
        <v>0</v>
      </c>
      <c r="I214" s="101"/>
      <c r="J214" s="101"/>
      <c r="K214" s="101"/>
      <c r="L214" s="101"/>
      <c r="M214" s="101"/>
      <c r="N214" s="58"/>
      <c r="O214" s="36"/>
    </row>
    <row r="215" spans="1:15" x14ac:dyDescent="0.35">
      <c r="A215" s="36"/>
      <c r="B215" s="36"/>
      <c r="C215" s="36"/>
      <c r="D215" s="36"/>
      <c r="E215" s="36"/>
      <c r="F215" s="92" t="s">
        <v>248</v>
      </c>
      <c r="G215" s="92" t="s">
        <v>428</v>
      </c>
      <c r="H215" s="34">
        <v>0</v>
      </c>
      <c r="I215" s="101"/>
      <c r="J215" s="101"/>
      <c r="K215" s="101"/>
      <c r="L215" s="101"/>
      <c r="M215" s="101"/>
      <c r="N215" s="58"/>
      <c r="O215" s="36"/>
    </row>
    <row r="216" spans="1:15" x14ac:dyDescent="0.35">
      <c r="A216" s="36"/>
      <c r="B216" s="36"/>
      <c r="C216" s="36"/>
      <c r="D216" s="36"/>
      <c r="E216" s="36"/>
      <c r="F216" s="92" t="s">
        <v>249</v>
      </c>
      <c r="G216" s="92" t="s">
        <v>428</v>
      </c>
      <c r="H216" s="34">
        <v>0</v>
      </c>
      <c r="I216" s="101"/>
      <c r="J216" s="101"/>
      <c r="K216" s="101"/>
      <c r="L216" s="101"/>
      <c r="M216" s="101"/>
      <c r="N216" s="58"/>
      <c r="O216" s="36"/>
    </row>
    <row r="217" spans="1:15" x14ac:dyDescent="0.35">
      <c r="A217" s="36"/>
      <c r="B217" s="36"/>
      <c r="C217" s="36"/>
      <c r="D217" s="36"/>
      <c r="E217" s="36"/>
      <c r="F217" s="92" t="s">
        <v>250</v>
      </c>
      <c r="G217" s="92" t="s">
        <v>428</v>
      </c>
      <c r="H217" s="34">
        <v>0</v>
      </c>
      <c r="I217" s="101"/>
      <c r="J217" s="101"/>
      <c r="K217" s="101"/>
      <c r="L217" s="101"/>
      <c r="M217" s="101"/>
      <c r="N217" s="58"/>
      <c r="O217" s="36"/>
    </row>
    <row r="218" spans="1:15" x14ac:dyDescent="0.35">
      <c r="A218" s="36"/>
      <c r="B218" s="36"/>
      <c r="C218" s="36"/>
      <c r="D218" s="36"/>
      <c r="E218" s="36"/>
      <c r="F218" s="92" t="s">
        <v>251</v>
      </c>
      <c r="G218" s="92" t="s">
        <v>428</v>
      </c>
      <c r="H218" s="34">
        <v>0</v>
      </c>
      <c r="I218" s="101"/>
      <c r="J218" s="101"/>
      <c r="K218" s="101"/>
      <c r="L218" s="101"/>
      <c r="M218" s="101"/>
      <c r="N218" s="58"/>
      <c r="O218" s="36"/>
    </row>
    <row r="219" spans="1:15" x14ac:dyDescent="0.35">
      <c r="A219" s="36"/>
      <c r="B219" s="36"/>
      <c r="C219" s="36"/>
      <c r="D219" s="36"/>
      <c r="E219" s="36"/>
      <c r="F219" s="92" t="s">
        <v>399</v>
      </c>
      <c r="G219" s="92" t="s">
        <v>428</v>
      </c>
      <c r="H219" s="34">
        <v>387149.52688476146</v>
      </c>
      <c r="I219" s="101"/>
      <c r="J219" s="101"/>
      <c r="K219" s="101"/>
      <c r="L219" s="101"/>
      <c r="M219" s="101"/>
      <c r="N219" s="58"/>
      <c r="O219" s="36"/>
    </row>
    <row r="220" spans="1:15" x14ac:dyDescent="0.35">
      <c r="A220" s="36"/>
      <c r="B220" s="36"/>
      <c r="C220" s="36"/>
      <c r="D220" s="36"/>
      <c r="E220" s="36"/>
      <c r="F220" s="92" t="s">
        <v>400</v>
      </c>
      <c r="G220" s="92" t="s">
        <v>428</v>
      </c>
      <c r="H220" s="34">
        <v>387149.52688476146</v>
      </c>
      <c r="I220" s="101"/>
      <c r="J220" s="101"/>
      <c r="K220" s="101"/>
      <c r="L220" s="101"/>
      <c r="M220" s="101"/>
      <c r="N220" s="58"/>
      <c r="O220" s="36"/>
    </row>
    <row r="221" spans="1:15" x14ac:dyDescent="0.35">
      <c r="A221" s="36"/>
      <c r="B221" s="36"/>
      <c r="C221" s="36"/>
      <c r="D221" s="36"/>
      <c r="E221" s="36"/>
      <c r="F221" s="92" t="s">
        <v>401</v>
      </c>
      <c r="G221" s="92" t="s">
        <v>428</v>
      </c>
      <c r="H221" s="34">
        <v>0</v>
      </c>
      <c r="I221" s="101"/>
      <c r="J221" s="101"/>
      <c r="K221" s="101"/>
      <c r="L221" s="101"/>
      <c r="M221" s="101"/>
      <c r="N221" s="58"/>
      <c r="O221" s="36"/>
    </row>
    <row r="222" spans="1:15" x14ac:dyDescent="0.35">
      <c r="A222" s="36"/>
      <c r="B222" s="36"/>
      <c r="C222" s="36"/>
      <c r="D222" s="36"/>
      <c r="E222" s="36"/>
      <c r="F222" s="92" t="s">
        <v>402</v>
      </c>
      <c r="G222" s="92" t="s">
        <v>428</v>
      </c>
      <c r="H222" s="34">
        <v>783283.37932115304</v>
      </c>
      <c r="I222" s="101"/>
      <c r="J222" s="101"/>
      <c r="K222" s="101"/>
      <c r="L222" s="101"/>
      <c r="M222" s="101"/>
      <c r="N222" s="58"/>
      <c r="O222" s="36"/>
    </row>
    <row r="223" spans="1:15" x14ac:dyDescent="0.35">
      <c r="A223" s="36"/>
      <c r="B223" s="36"/>
      <c r="C223" s="36"/>
      <c r="D223" s="36"/>
      <c r="E223" s="36"/>
      <c r="F223" s="92" t="s">
        <v>403</v>
      </c>
      <c r="G223" s="92" t="s">
        <v>428</v>
      </c>
      <c r="H223" s="34">
        <v>783283.37932115304</v>
      </c>
      <c r="I223" s="101"/>
      <c r="J223" s="101"/>
      <c r="K223" s="101"/>
      <c r="L223" s="101"/>
      <c r="M223" s="101"/>
      <c r="N223" s="58"/>
      <c r="O223" s="36"/>
    </row>
    <row r="224" spans="1:15" x14ac:dyDescent="0.35">
      <c r="A224" s="36"/>
      <c r="B224" s="36"/>
      <c r="C224" s="36"/>
      <c r="D224" s="36"/>
      <c r="E224" s="36"/>
      <c r="F224" s="92" t="s">
        <v>404</v>
      </c>
      <c r="G224" s="92" t="s">
        <v>428</v>
      </c>
      <c r="H224" s="34">
        <v>783283.37932115304</v>
      </c>
      <c r="I224" s="101"/>
      <c r="J224" s="101"/>
      <c r="K224" s="101"/>
      <c r="L224" s="101"/>
      <c r="M224" s="101"/>
      <c r="N224" s="58"/>
      <c r="O224" s="36"/>
    </row>
    <row r="225" spans="1:15" x14ac:dyDescent="0.35">
      <c r="A225" s="36"/>
      <c r="B225" s="36"/>
      <c r="C225" s="36"/>
      <c r="D225" s="36"/>
      <c r="E225" s="36"/>
      <c r="F225" s="92" t="s">
        <v>405</v>
      </c>
      <c r="G225" s="92" t="s">
        <v>428</v>
      </c>
      <c r="H225" s="34">
        <v>698162.58644746279</v>
      </c>
      <c r="I225" s="101"/>
      <c r="J225" s="101"/>
      <c r="K225" s="101"/>
      <c r="L225" s="101"/>
      <c r="M225" s="101"/>
      <c r="N225" s="58"/>
      <c r="O225" s="36"/>
    </row>
    <row r="226" spans="1:15" x14ac:dyDescent="0.35">
      <c r="A226" s="36"/>
      <c r="B226" s="36"/>
      <c r="C226" s="36"/>
      <c r="D226" s="36"/>
      <c r="E226" s="36"/>
      <c r="F226" s="92" t="s">
        <v>406</v>
      </c>
      <c r="G226" s="92" t="s">
        <v>428</v>
      </c>
      <c r="H226" s="34">
        <v>101483.30321526388</v>
      </c>
      <c r="I226" s="101"/>
      <c r="J226" s="101"/>
      <c r="K226" s="101"/>
      <c r="L226" s="101"/>
      <c r="M226" s="101"/>
      <c r="N226" s="58"/>
      <c r="O226" s="36"/>
    </row>
    <row r="227" spans="1:15" x14ac:dyDescent="0.35">
      <c r="A227" s="36"/>
      <c r="B227" s="36"/>
      <c r="C227" s="36"/>
      <c r="D227" s="36"/>
      <c r="E227" s="36"/>
      <c r="F227" s="92" t="s">
        <v>407</v>
      </c>
      <c r="G227" s="92" t="s">
        <v>428</v>
      </c>
      <c r="H227" s="34">
        <v>110814.05638756402</v>
      </c>
      <c r="I227" s="101"/>
      <c r="J227" s="101"/>
      <c r="K227" s="101"/>
      <c r="L227" s="101"/>
      <c r="M227" s="101"/>
      <c r="N227" s="58"/>
      <c r="O227" s="36"/>
    </row>
    <row r="228" spans="1:15" x14ac:dyDescent="0.35">
      <c r="A228" s="36"/>
      <c r="B228" s="36"/>
      <c r="C228" s="36"/>
      <c r="D228" s="36"/>
      <c r="E228" s="36"/>
      <c r="F228" s="92" t="s">
        <v>408</v>
      </c>
      <c r="G228" s="92" t="s">
        <v>428</v>
      </c>
      <c r="H228" s="34">
        <v>0</v>
      </c>
      <c r="I228" s="101"/>
      <c r="J228" s="101"/>
      <c r="K228" s="101"/>
      <c r="L228" s="101"/>
      <c r="M228" s="101"/>
      <c r="N228" s="58"/>
      <c r="O228" s="36"/>
    </row>
    <row r="229" spans="1:15" x14ac:dyDescent="0.35">
      <c r="A229" s="36"/>
      <c r="B229" s="36"/>
      <c r="C229" s="36"/>
      <c r="D229" s="36"/>
      <c r="E229" s="36"/>
      <c r="F229" s="92" t="s">
        <v>409</v>
      </c>
      <c r="G229" s="92" t="s">
        <v>428</v>
      </c>
      <c r="H229" s="34">
        <v>0</v>
      </c>
      <c r="I229" s="101"/>
      <c r="J229" s="101"/>
      <c r="K229" s="101"/>
      <c r="L229" s="101"/>
      <c r="M229" s="101"/>
      <c r="N229" s="58"/>
      <c r="O229" s="36"/>
    </row>
    <row r="230" spans="1:15" x14ac:dyDescent="0.35">
      <c r="A230" s="36"/>
      <c r="B230" s="36"/>
      <c r="C230" s="36"/>
      <c r="D230" s="36"/>
      <c r="E230" s="36"/>
      <c r="F230" s="92" t="s">
        <v>263</v>
      </c>
      <c r="G230" s="92" t="s">
        <v>428</v>
      </c>
      <c r="H230" s="34">
        <v>0</v>
      </c>
      <c r="I230" s="101"/>
      <c r="J230" s="101"/>
      <c r="K230" s="101"/>
      <c r="L230" s="101"/>
      <c r="M230" s="101"/>
      <c r="N230" s="58"/>
      <c r="O230" s="36"/>
    </row>
    <row r="231" spans="1:15" x14ac:dyDescent="0.35">
      <c r="A231" s="36"/>
      <c r="B231" s="36"/>
      <c r="C231" s="36"/>
      <c r="D231" s="36"/>
      <c r="E231" s="36"/>
      <c r="F231" s="92" t="s">
        <v>264</v>
      </c>
      <c r="G231" s="92" t="s">
        <v>428</v>
      </c>
      <c r="H231" s="34">
        <v>9970.4778751013582</v>
      </c>
      <c r="I231" s="101"/>
      <c r="J231" s="101"/>
      <c r="K231" s="101"/>
      <c r="L231" s="101"/>
      <c r="M231" s="101"/>
      <c r="N231" s="58"/>
      <c r="O231" s="36"/>
    </row>
    <row r="232" spans="1:15" x14ac:dyDescent="0.35">
      <c r="A232" s="36"/>
      <c r="B232" s="36"/>
      <c r="C232" s="36"/>
      <c r="D232" s="36"/>
      <c r="E232" s="36"/>
      <c r="F232" s="92" t="s">
        <v>410</v>
      </c>
      <c r="G232" s="92" t="s">
        <v>428</v>
      </c>
      <c r="H232" s="34">
        <v>499211.76491407864</v>
      </c>
      <c r="I232" s="101"/>
      <c r="J232" s="101"/>
      <c r="K232" s="101"/>
      <c r="L232" s="101"/>
      <c r="M232" s="101"/>
      <c r="N232" s="58"/>
      <c r="O232" s="36"/>
    </row>
    <row r="233" spans="1:15" x14ac:dyDescent="0.35">
      <c r="A233" s="36"/>
      <c r="B233" s="36"/>
      <c r="C233" s="36"/>
      <c r="D233" s="36"/>
      <c r="E233" s="36"/>
      <c r="F233" s="92" t="s">
        <v>266</v>
      </c>
      <c r="G233" s="92" t="s">
        <v>428</v>
      </c>
      <c r="H233" s="34">
        <v>10867.418669730523</v>
      </c>
      <c r="I233" s="101"/>
      <c r="J233" s="101"/>
      <c r="K233" s="101"/>
      <c r="L233" s="101"/>
      <c r="M233" s="101"/>
      <c r="N233" s="58"/>
      <c r="O233" s="36"/>
    </row>
    <row r="234" spans="1:15" x14ac:dyDescent="0.35">
      <c r="A234" s="36"/>
      <c r="B234" s="36"/>
      <c r="C234" s="36"/>
      <c r="D234" s="36"/>
      <c r="E234" s="36"/>
      <c r="F234" s="92" t="s">
        <v>411</v>
      </c>
      <c r="G234" s="92" t="s">
        <v>428</v>
      </c>
      <c r="H234" s="34">
        <v>4181.5908447976535</v>
      </c>
      <c r="I234" s="101"/>
      <c r="J234" s="101"/>
      <c r="K234" s="101"/>
      <c r="L234" s="101"/>
      <c r="M234" s="101"/>
      <c r="N234" s="58"/>
      <c r="O234" s="36"/>
    </row>
    <row r="235" spans="1:15" x14ac:dyDescent="0.35">
      <c r="A235" s="36"/>
      <c r="B235" s="36"/>
      <c r="C235" s="36"/>
      <c r="D235" s="36"/>
      <c r="E235" s="36"/>
      <c r="F235" s="92" t="s">
        <v>412</v>
      </c>
      <c r="G235" s="92" t="s">
        <v>428</v>
      </c>
      <c r="H235" s="34">
        <v>487709.16729283263</v>
      </c>
      <c r="I235" s="101"/>
      <c r="J235" s="101"/>
      <c r="K235" s="101"/>
      <c r="L235" s="101"/>
      <c r="M235" s="101"/>
      <c r="N235" s="58"/>
      <c r="O235" s="36"/>
    </row>
    <row r="236" spans="1:15" x14ac:dyDescent="0.35">
      <c r="A236" s="36"/>
      <c r="B236" s="36"/>
      <c r="C236" s="36"/>
      <c r="D236" s="36"/>
      <c r="E236" s="36"/>
      <c r="F236" s="92" t="s">
        <v>269</v>
      </c>
      <c r="G236" s="92" t="s">
        <v>428</v>
      </c>
      <c r="H236" s="34">
        <v>19976.561182122663</v>
      </c>
      <c r="I236" s="101"/>
      <c r="J236" s="101"/>
      <c r="K236" s="101"/>
      <c r="L236" s="101"/>
      <c r="M236" s="101"/>
      <c r="N236" s="58"/>
      <c r="O236" s="36"/>
    </row>
    <row r="237" spans="1:15" x14ac:dyDescent="0.35">
      <c r="A237" s="36"/>
      <c r="B237" s="36"/>
      <c r="C237" s="36"/>
      <c r="D237" s="36"/>
      <c r="E237" s="36"/>
      <c r="F237" s="92" t="s">
        <v>270</v>
      </c>
      <c r="G237" s="92" t="s">
        <v>428</v>
      </c>
      <c r="H237" s="34">
        <v>749627.92724565044</v>
      </c>
      <c r="I237" s="101"/>
      <c r="J237" s="101"/>
      <c r="K237" s="101"/>
      <c r="L237" s="101"/>
      <c r="M237" s="101"/>
      <c r="N237" s="58"/>
      <c r="O237" s="36"/>
    </row>
    <row r="238" spans="1:15" x14ac:dyDescent="0.35">
      <c r="A238" s="36"/>
      <c r="B238" s="36"/>
      <c r="C238" s="36"/>
      <c r="D238" s="36"/>
      <c r="E238" s="36"/>
      <c r="F238" s="92" t="s">
        <v>271</v>
      </c>
      <c r="G238" s="92" t="s">
        <v>428</v>
      </c>
      <c r="H238" s="34">
        <v>19976.561182122663</v>
      </c>
      <c r="I238" s="101"/>
      <c r="J238" s="101"/>
      <c r="K238" s="101"/>
      <c r="L238" s="101"/>
      <c r="M238" s="101"/>
      <c r="N238" s="58"/>
      <c r="O238" s="36"/>
    </row>
    <row r="239" spans="1:15" x14ac:dyDescent="0.35">
      <c r="A239" s="36"/>
      <c r="B239" s="36"/>
      <c r="C239" s="36"/>
      <c r="D239" s="36"/>
      <c r="E239" s="36"/>
      <c r="F239" s="92" t="s">
        <v>413</v>
      </c>
      <c r="G239" s="92" t="s">
        <v>428</v>
      </c>
      <c r="H239" s="34">
        <v>78028.106933342977</v>
      </c>
      <c r="I239" s="101"/>
      <c r="J239" s="101"/>
      <c r="K239" s="101"/>
      <c r="L239" s="101"/>
      <c r="M239" s="101"/>
      <c r="N239" s="58"/>
      <c r="O239" s="36"/>
    </row>
    <row r="240" spans="1:15" x14ac:dyDescent="0.35">
      <c r="A240" s="36"/>
      <c r="B240" s="36"/>
      <c r="C240" s="36"/>
      <c r="D240" s="36"/>
      <c r="E240" s="36"/>
      <c r="F240" s="92" t="s">
        <v>414</v>
      </c>
      <c r="G240" s="92" t="s">
        <v>428</v>
      </c>
      <c r="H240" s="34">
        <v>72370.173473898016</v>
      </c>
      <c r="I240" s="101"/>
      <c r="J240" s="101"/>
      <c r="K240" s="101"/>
      <c r="L240" s="101"/>
      <c r="M240" s="101"/>
      <c r="N240" s="58"/>
      <c r="O240" s="36"/>
    </row>
    <row r="241" spans="1:15" x14ac:dyDescent="0.35">
      <c r="A241" s="36"/>
      <c r="B241" s="36"/>
      <c r="C241" s="36"/>
      <c r="D241" s="36"/>
      <c r="E241" s="36"/>
      <c r="F241" s="92" t="s">
        <v>274</v>
      </c>
      <c r="G241" s="92" t="s">
        <v>428</v>
      </c>
      <c r="H241" s="34">
        <v>6846.61725238904</v>
      </c>
      <c r="I241" s="101"/>
      <c r="J241" s="101"/>
      <c r="K241" s="101"/>
      <c r="L241" s="101"/>
      <c r="M241" s="101"/>
      <c r="N241" s="58"/>
      <c r="O241" s="36"/>
    </row>
    <row r="242" spans="1:15" x14ac:dyDescent="0.35">
      <c r="A242" s="36"/>
      <c r="B242" s="36"/>
      <c r="C242" s="36"/>
      <c r="D242" s="36"/>
      <c r="E242" s="36"/>
      <c r="F242" s="92" t="s">
        <v>275</v>
      </c>
      <c r="G242" s="92" t="s">
        <v>428</v>
      </c>
      <c r="H242" s="34">
        <v>137227.36388163519</v>
      </c>
      <c r="I242" s="101"/>
      <c r="J242" s="101"/>
      <c r="K242" s="101"/>
      <c r="L242" s="101"/>
      <c r="M242" s="101"/>
      <c r="N242" s="58"/>
      <c r="O242" s="36"/>
    </row>
    <row r="243" spans="1:15" x14ac:dyDescent="0.35">
      <c r="A243" s="36"/>
      <c r="B243" s="36"/>
      <c r="C243" s="36"/>
      <c r="D243" s="36"/>
      <c r="E243" s="36"/>
      <c r="F243" s="92" t="s">
        <v>276</v>
      </c>
      <c r="G243" s="92" t="s">
        <v>428</v>
      </c>
      <c r="H243" s="34">
        <v>3543.6868404596303</v>
      </c>
      <c r="I243" s="101"/>
      <c r="J243" s="101"/>
      <c r="K243" s="101"/>
      <c r="L243" s="101"/>
      <c r="M243" s="101"/>
      <c r="N243" s="58"/>
      <c r="O243" s="36"/>
    </row>
    <row r="244" spans="1:15" x14ac:dyDescent="0.35">
      <c r="A244" s="36"/>
      <c r="B244" s="36"/>
      <c r="C244" s="36"/>
      <c r="D244" s="36"/>
      <c r="E244" s="36"/>
      <c r="F244" s="92" t="s">
        <v>415</v>
      </c>
      <c r="G244" s="92" t="s">
        <v>428</v>
      </c>
      <c r="H244" s="34">
        <v>1336555.9493776902</v>
      </c>
      <c r="I244" s="101"/>
      <c r="J244" s="101"/>
      <c r="K244" s="101"/>
      <c r="L244" s="101"/>
      <c r="M244" s="101"/>
      <c r="N244" s="58"/>
      <c r="O244" s="36"/>
    </row>
    <row r="245" spans="1:15" x14ac:dyDescent="0.35">
      <c r="A245" s="36"/>
      <c r="B245" s="36"/>
      <c r="C245" s="36"/>
      <c r="D245" s="36"/>
      <c r="E245" s="36"/>
      <c r="F245" s="92" t="s">
        <v>416</v>
      </c>
      <c r="G245" s="92" t="s">
        <v>428</v>
      </c>
      <c r="H245" s="34">
        <v>1336555.9493776902</v>
      </c>
      <c r="I245" s="101"/>
      <c r="J245" s="101"/>
      <c r="K245" s="101"/>
      <c r="L245" s="101"/>
      <c r="M245" s="101"/>
      <c r="N245" s="58"/>
      <c r="O245" s="36"/>
    </row>
    <row r="246" spans="1:15" x14ac:dyDescent="0.35">
      <c r="A246" s="36"/>
      <c r="B246" s="36"/>
      <c r="C246" s="36"/>
      <c r="D246" s="36"/>
      <c r="E246" s="36"/>
      <c r="F246" s="92" t="s">
        <v>417</v>
      </c>
      <c r="G246" s="92" t="s">
        <v>428</v>
      </c>
      <c r="H246" s="34">
        <v>1336555.9493776902</v>
      </c>
      <c r="I246" s="101"/>
      <c r="J246" s="101"/>
      <c r="K246" s="101"/>
      <c r="L246" s="101"/>
      <c r="M246" s="101"/>
      <c r="N246" s="58"/>
      <c r="O246" s="36"/>
    </row>
    <row r="247" spans="1:15" x14ac:dyDescent="0.35">
      <c r="A247" s="36"/>
      <c r="B247" s="36"/>
      <c r="C247" s="36"/>
      <c r="D247" s="36"/>
      <c r="E247" s="36"/>
      <c r="F247" s="92" t="s">
        <v>418</v>
      </c>
      <c r="G247" s="92" t="s">
        <v>428</v>
      </c>
      <c r="H247" s="34">
        <v>1175852.777174674</v>
      </c>
      <c r="I247" s="101"/>
      <c r="J247" s="101"/>
      <c r="K247" s="101"/>
      <c r="L247" s="101"/>
      <c r="M247" s="101"/>
      <c r="N247" s="58"/>
      <c r="O247" s="36"/>
    </row>
    <row r="248" spans="1:15" x14ac:dyDescent="0.35">
      <c r="A248" s="36"/>
      <c r="B248" s="36"/>
      <c r="C248" s="36"/>
      <c r="D248" s="36"/>
      <c r="E248" s="36"/>
      <c r="F248" s="92" t="s">
        <v>419</v>
      </c>
      <c r="G248" s="92" t="s">
        <v>428</v>
      </c>
      <c r="H248" s="34">
        <v>1270894.2311411053</v>
      </c>
      <c r="I248" s="101"/>
      <c r="J248" s="101"/>
      <c r="K248" s="101"/>
      <c r="L248" s="101"/>
      <c r="M248" s="101"/>
      <c r="N248" s="58"/>
      <c r="O248" s="36"/>
    </row>
    <row r="249" spans="1:15" x14ac:dyDescent="0.35">
      <c r="A249" s="36"/>
      <c r="B249" s="36"/>
      <c r="C249" s="36"/>
      <c r="D249" s="36"/>
      <c r="E249" s="36"/>
      <c r="F249" s="92" t="s">
        <v>282</v>
      </c>
      <c r="G249" s="92" t="s">
        <v>428</v>
      </c>
      <c r="H249" s="34">
        <v>22047.239572025133</v>
      </c>
      <c r="I249" s="101"/>
      <c r="J249" s="101"/>
      <c r="K249" s="101"/>
      <c r="L249" s="101"/>
      <c r="M249" s="101"/>
      <c r="N249" s="58"/>
      <c r="O249" s="36"/>
    </row>
    <row r="250" spans="1:15" x14ac:dyDescent="0.35">
      <c r="A250" s="36"/>
      <c r="B250" s="36"/>
      <c r="C250" s="36"/>
      <c r="D250" s="36"/>
      <c r="E250" s="36"/>
      <c r="F250" s="92" t="s">
        <v>283</v>
      </c>
      <c r="G250" s="92" t="s">
        <v>428</v>
      </c>
      <c r="H250" s="34">
        <v>1462679.1536328157</v>
      </c>
      <c r="I250" s="101"/>
      <c r="J250" s="101"/>
      <c r="K250" s="101"/>
      <c r="L250" s="101"/>
      <c r="M250" s="101"/>
      <c r="N250" s="58"/>
      <c r="O250" s="36"/>
    </row>
    <row r="251" spans="1:15" x14ac:dyDescent="0.35">
      <c r="A251" s="36"/>
      <c r="B251" s="36"/>
      <c r="C251" s="36"/>
      <c r="D251" s="36"/>
      <c r="E251" s="36"/>
      <c r="F251" s="92" t="s">
        <v>284</v>
      </c>
      <c r="G251" s="92" t="s">
        <v>428</v>
      </c>
      <c r="H251" s="34">
        <v>0</v>
      </c>
      <c r="I251" s="101"/>
      <c r="J251" s="101"/>
      <c r="K251" s="101"/>
      <c r="L251" s="101"/>
      <c r="M251" s="101"/>
      <c r="N251" s="58"/>
      <c r="O251" s="36"/>
    </row>
    <row r="252" spans="1:15" x14ac:dyDescent="0.35">
      <c r="A252" s="36"/>
      <c r="B252" s="36"/>
      <c r="C252" s="36"/>
      <c r="D252" s="36"/>
      <c r="E252" s="36"/>
      <c r="F252" s="92" t="s">
        <v>420</v>
      </c>
      <c r="G252" s="92" t="s">
        <v>428</v>
      </c>
      <c r="H252" s="34">
        <v>0</v>
      </c>
      <c r="I252" s="101"/>
      <c r="J252" s="101"/>
      <c r="K252" s="101"/>
      <c r="L252" s="101"/>
      <c r="M252" s="101"/>
      <c r="N252" s="58"/>
      <c r="O252" s="36"/>
    </row>
    <row r="253" spans="1:15" x14ac:dyDescent="0.35">
      <c r="A253" s="36"/>
      <c r="B253" s="36"/>
      <c r="C253" s="36"/>
      <c r="D253" s="36"/>
      <c r="E253" s="36"/>
      <c r="F253" s="92" t="s">
        <v>421</v>
      </c>
      <c r="G253" s="92" t="s">
        <v>428</v>
      </c>
      <c r="H253" s="34">
        <v>11890.810227453965</v>
      </c>
      <c r="I253" s="101"/>
      <c r="J253" s="101"/>
      <c r="K253" s="101"/>
      <c r="L253" s="101"/>
      <c r="M253" s="101"/>
      <c r="N253" s="58"/>
      <c r="O253" s="36"/>
    </row>
    <row r="254" spans="1:15" x14ac:dyDescent="0.35">
      <c r="A254" s="36"/>
      <c r="B254" s="36"/>
      <c r="C254" s="36"/>
      <c r="D254" s="36"/>
      <c r="E254" s="36"/>
      <c r="F254" s="92" t="s">
        <v>422</v>
      </c>
      <c r="G254" s="92" t="s">
        <v>428</v>
      </c>
      <c r="H254" s="34">
        <v>11890.810227453965</v>
      </c>
      <c r="I254" s="101"/>
      <c r="J254" s="101"/>
      <c r="K254" s="101"/>
      <c r="L254" s="101"/>
      <c r="M254" s="101"/>
      <c r="N254" s="58"/>
      <c r="O254" s="36"/>
    </row>
    <row r="255" spans="1:15" x14ac:dyDescent="0.35">
      <c r="A255" s="36"/>
      <c r="B255" s="36"/>
      <c r="C255" s="36"/>
      <c r="D255" s="36"/>
      <c r="E255" s="36"/>
      <c r="F255" s="94" t="s">
        <v>423</v>
      </c>
      <c r="G255" s="94" t="s">
        <v>428</v>
      </c>
      <c r="H255" s="35">
        <v>11890.810227453965</v>
      </c>
      <c r="I255" s="101"/>
      <c r="J255" s="101"/>
      <c r="K255" s="101"/>
      <c r="L255" s="101"/>
      <c r="M255" s="101"/>
      <c r="N255" s="58"/>
      <c r="O255" s="36"/>
    </row>
    <row r="256" spans="1:15" x14ac:dyDescent="0.35">
      <c r="A256" s="36"/>
      <c r="B256" s="36"/>
      <c r="C256" s="36"/>
      <c r="D256" s="36"/>
      <c r="E256" s="36"/>
      <c r="F256" s="36"/>
      <c r="G256" s="36"/>
      <c r="H256" s="58"/>
      <c r="I256" s="58"/>
      <c r="J256" s="58"/>
      <c r="K256" s="58"/>
      <c r="L256" s="58"/>
      <c r="M256" s="58"/>
      <c r="N256" s="58"/>
      <c r="O256" s="36"/>
    </row>
    <row r="257" spans="1:15" x14ac:dyDescent="0.35">
      <c r="A257" s="36"/>
      <c r="B257" s="36"/>
      <c r="C257" s="87" t="s">
        <v>429</v>
      </c>
      <c r="D257" s="87"/>
      <c r="E257" s="87"/>
      <c r="F257" s="87"/>
      <c r="G257" s="87"/>
      <c r="H257" s="88"/>
      <c r="I257" s="88"/>
      <c r="J257" s="88"/>
      <c r="K257" s="88"/>
      <c r="L257" s="88"/>
      <c r="M257" s="88"/>
      <c r="N257" s="88"/>
      <c r="O257" s="87"/>
    </row>
    <row r="258" spans="1:15" x14ac:dyDescent="0.35">
      <c r="A258" s="36"/>
      <c r="B258" s="36"/>
      <c r="C258" s="86"/>
      <c r="D258" s="86"/>
      <c r="E258" s="36"/>
      <c r="F258" s="36"/>
      <c r="G258" s="36"/>
      <c r="H258" s="58"/>
      <c r="I258" s="58"/>
      <c r="J258" s="58"/>
      <c r="K258" s="58"/>
      <c r="L258" s="58"/>
      <c r="M258" s="58"/>
      <c r="N258" s="58"/>
      <c r="O258" s="36"/>
    </row>
    <row r="259" spans="1:15" x14ac:dyDescent="0.35">
      <c r="A259" s="36"/>
      <c r="B259" s="36"/>
      <c r="C259" s="36"/>
      <c r="D259" s="86" t="s">
        <v>430</v>
      </c>
      <c r="E259" s="36"/>
      <c r="F259" s="36"/>
      <c r="G259" s="36"/>
      <c r="H259" s="58"/>
      <c r="I259" s="58"/>
      <c r="J259" s="58"/>
      <c r="K259" s="58"/>
      <c r="L259" s="58"/>
      <c r="M259" s="58"/>
      <c r="N259" s="58"/>
      <c r="O259" s="36"/>
    </row>
    <row r="260" spans="1:15" x14ac:dyDescent="0.35">
      <c r="A260" s="36"/>
      <c r="B260" s="36"/>
      <c r="C260" s="36"/>
      <c r="D260" s="86" t="s">
        <v>431</v>
      </c>
      <c r="E260" s="36"/>
      <c r="F260" s="36"/>
      <c r="G260" s="36"/>
      <c r="H260" s="58"/>
      <c r="I260" s="58"/>
      <c r="J260" s="58"/>
      <c r="K260" s="58"/>
      <c r="L260" s="58"/>
      <c r="M260" s="58"/>
      <c r="N260" s="58"/>
      <c r="O260" s="36"/>
    </row>
    <row r="261" spans="1:15" x14ac:dyDescent="0.35">
      <c r="A261" s="36"/>
      <c r="B261" s="36"/>
      <c r="C261" s="36"/>
      <c r="D261" s="86"/>
      <c r="E261" s="36"/>
      <c r="F261" s="36"/>
      <c r="G261" s="36"/>
      <c r="H261" s="58"/>
      <c r="I261" s="58"/>
      <c r="J261" s="58"/>
      <c r="K261" s="58"/>
      <c r="L261" s="58"/>
      <c r="M261" s="58"/>
      <c r="N261" s="58"/>
      <c r="O261" s="36"/>
    </row>
    <row r="262" spans="1:15" x14ac:dyDescent="0.35">
      <c r="A262" s="92"/>
      <c r="B262" s="36"/>
      <c r="C262" s="36"/>
      <c r="D262" s="86"/>
      <c r="E262" s="89" t="s">
        <v>432</v>
      </c>
      <c r="F262" s="36"/>
      <c r="G262" s="36"/>
      <c r="H262" s="58"/>
      <c r="I262" s="103" t="s">
        <v>120</v>
      </c>
      <c r="J262" s="58"/>
      <c r="K262" s="58"/>
      <c r="L262" s="58"/>
      <c r="M262" s="58"/>
      <c r="N262" s="58"/>
      <c r="O262" s="92" t="s">
        <v>433</v>
      </c>
    </row>
    <row r="263" spans="1:15" x14ac:dyDescent="0.35">
      <c r="A263" s="36"/>
      <c r="B263" s="36"/>
      <c r="C263" s="36"/>
      <c r="D263" s="36"/>
      <c r="E263" s="86"/>
      <c r="F263" s="90" t="s">
        <v>145</v>
      </c>
      <c r="G263" s="90" t="s">
        <v>434</v>
      </c>
      <c r="H263" s="33">
        <v>35500000</v>
      </c>
      <c r="I263" s="101"/>
      <c r="J263" s="101"/>
      <c r="K263" s="101"/>
      <c r="L263" s="101"/>
      <c r="M263" s="101"/>
      <c r="N263" s="58"/>
      <c r="O263" s="36"/>
    </row>
    <row r="264" spans="1:15" x14ac:dyDescent="0.35">
      <c r="A264" s="36"/>
      <c r="B264" s="36"/>
      <c r="C264" s="36"/>
      <c r="D264" s="36"/>
      <c r="E264" s="36"/>
      <c r="F264" s="92" t="s">
        <v>146</v>
      </c>
      <c r="G264" s="92" t="s">
        <v>434</v>
      </c>
      <c r="H264" s="34">
        <v>51900000</v>
      </c>
      <c r="I264" s="101"/>
      <c r="J264" s="101"/>
      <c r="K264" s="101"/>
      <c r="L264" s="101"/>
      <c r="M264" s="101"/>
      <c r="N264" s="58"/>
      <c r="O264" s="36"/>
    </row>
    <row r="265" spans="1:15" x14ac:dyDescent="0.35">
      <c r="A265" s="36"/>
      <c r="B265" s="36"/>
      <c r="C265" s="36"/>
      <c r="D265" s="36"/>
      <c r="E265" s="36"/>
      <c r="F265" s="92" t="s">
        <v>147</v>
      </c>
      <c r="G265" s="92" t="s">
        <v>434</v>
      </c>
      <c r="H265" s="34">
        <v>7700000</v>
      </c>
      <c r="I265" s="101"/>
      <c r="J265" s="101"/>
      <c r="K265" s="101"/>
      <c r="L265" s="101"/>
      <c r="M265" s="101"/>
      <c r="N265" s="58"/>
      <c r="O265" s="36"/>
    </row>
    <row r="266" spans="1:15" x14ac:dyDescent="0.35">
      <c r="A266" s="36"/>
      <c r="B266" s="36"/>
      <c r="C266" s="36"/>
      <c r="D266" s="36"/>
      <c r="E266" s="36"/>
      <c r="F266" s="92" t="s">
        <v>148</v>
      </c>
      <c r="G266" s="92" t="s">
        <v>434</v>
      </c>
      <c r="H266" s="34">
        <v>22600000</v>
      </c>
      <c r="I266" s="101"/>
      <c r="J266" s="101"/>
      <c r="K266" s="101"/>
      <c r="L266" s="101"/>
      <c r="M266" s="101"/>
      <c r="N266" s="58"/>
      <c r="O266" s="36"/>
    </row>
    <row r="267" spans="1:15" x14ac:dyDescent="0.35">
      <c r="A267" s="36"/>
      <c r="B267" s="36"/>
      <c r="C267" s="36"/>
      <c r="D267" s="36"/>
      <c r="E267" s="36"/>
      <c r="F267" s="92" t="s">
        <v>149</v>
      </c>
      <c r="G267" s="92" t="s">
        <v>434</v>
      </c>
      <c r="H267" s="34">
        <v>13500000</v>
      </c>
      <c r="I267" s="101"/>
      <c r="J267" s="101"/>
      <c r="K267" s="101"/>
      <c r="L267" s="101"/>
      <c r="M267" s="101"/>
      <c r="N267" s="58"/>
      <c r="O267" s="36"/>
    </row>
    <row r="268" spans="1:15" x14ac:dyDescent="0.35">
      <c r="A268" s="36"/>
      <c r="B268" s="36"/>
      <c r="C268" s="36"/>
      <c r="D268" s="36"/>
      <c r="E268" s="36"/>
      <c r="F268" s="92" t="s">
        <v>150</v>
      </c>
      <c r="G268" s="92" t="s">
        <v>434</v>
      </c>
      <c r="H268" s="34">
        <v>6900000</v>
      </c>
      <c r="I268" s="101"/>
      <c r="J268" s="101"/>
      <c r="K268" s="101"/>
      <c r="L268" s="101"/>
      <c r="M268" s="101"/>
      <c r="N268" s="58"/>
      <c r="O268" s="36"/>
    </row>
    <row r="269" spans="1:15" x14ac:dyDescent="0.35">
      <c r="A269" s="36"/>
      <c r="B269" s="36"/>
      <c r="C269" s="36"/>
      <c r="D269" s="36"/>
      <c r="E269" s="36"/>
      <c r="F269" s="92" t="s">
        <v>151</v>
      </c>
      <c r="G269" s="92" t="s">
        <v>434</v>
      </c>
      <c r="H269" s="34">
        <v>200000</v>
      </c>
      <c r="I269" s="101"/>
      <c r="J269" s="101"/>
      <c r="K269" s="101"/>
      <c r="L269" s="101"/>
      <c r="M269" s="101"/>
      <c r="N269" s="58"/>
      <c r="O269" s="36"/>
    </row>
    <row r="270" spans="1:15" x14ac:dyDescent="0.35">
      <c r="A270" s="36"/>
      <c r="B270" s="36"/>
      <c r="C270" s="36"/>
      <c r="D270" s="36"/>
      <c r="E270" s="36"/>
      <c r="F270" s="92" t="s">
        <v>152</v>
      </c>
      <c r="G270" s="92" t="s">
        <v>434</v>
      </c>
      <c r="H270" s="34">
        <v>3000000</v>
      </c>
      <c r="I270" s="101"/>
      <c r="J270" s="101"/>
      <c r="K270" s="101"/>
      <c r="L270" s="101"/>
      <c r="M270" s="101"/>
      <c r="N270" s="58"/>
      <c r="O270" s="36"/>
    </row>
    <row r="271" spans="1:15" x14ac:dyDescent="0.35">
      <c r="A271" s="36"/>
      <c r="B271" s="36"/>
      <c r="C271" s="36"/>
      <c r="D271" s="36"/>
      <c r="E271" s="36"/>
      <c r="F271" s="92" t="s">
        <v>153</v>
      </c>
      <c r="G271" s="92" t="s">
        <v>434</v>
      </c>
      <c r="H271" s="34">
        <v>6800000</v>
      </c>
      <c r="I271" s="101"/>
      <c r="J271" s="101"/>
      <c r="K271" s="101"/>
      <c r="L271" s="101"/>
      <c r="M271" s="101"/>
      <c r="N271" s="58"/>
      <c r="O271" s="36"/>
    </row>
    <row r="272" spans="1:15" x14ac:dyDescent="0.35">
      <c r="A272" s="36"/>
      <c r="B272" s="36"/>
      <c r="C272" s="36"/>
      <c r="D272" s="36"/>
      <c r="E272" s="36"/>
      <c r="F272" s="92" t="s">
        <v>154</v>
      </c>
      <c r="G272" s="92" t="s">
        <v>434</v>
      </c>
      <c r="H272" s="34">
        <v>19700000</v>
      </c>
      <c r="I272" s="101"/>
      <c r="J272" s="101"/>
      <c r="K272" s="101"/>
      <c r="L272" s="101"/>
      <c r="M272" s="101"/>
      <c r="N272" s="58"/>
      <c r="O272" s="36"/>
    </row>
    <row r="273" spans="1:15" x14ac:dyDescent="0.35">
      <c r="A273" s="36"/>
      <c r="B273" s="36"/>
      <c r="C273" s="36"/>
      <c r="D273" s="36"/>
      <c r="E273" s="36"/>
      <c r="F273" s="92" t="s">
        <v>155</v>
      </c>
      <c r="G273" s="92" t="s">
        <v>434</v>
      </c>
      <c r="H273" s="34">
        <v>2600000</v>
      </c>
      <c r="I273" s="101"/>
      <c r="J273" s="101"/>
      <c r="K273" s="101"/>
      <c r="L273" s="101"/>
      <c r="M273" s="101"/>
      <c r="N273" s="58"/>
      <c r="O273" s="36"/>
    </row>
    <row r="274" spans="1:15" x14ac:dyDescent="0.35">
      <c r="A274" s="36"/>
      <c r="B274" s="36"/>
      <c r="C274" s="36"/>
      <c r="D274" s="36"/>
      <c r="E274" s="36"/>
      <c r="F274" s="92" t="s">
        <v>435</v>
      </c>
      <c r="G274" s="92" t="s">
        <v>434</v>
      </c>
      <c r="H274" s="34">
        <v>900000</v>
      </c>
      <c r="I274" s="101"/>
      <c r="J274" s="101"/>
      <c r="K274" s="101"/>
      <c r="L274" s="101"/>
      <c r="M274" s="101"/>
      <c r="N274" s="58"/>
      <c r="O274" s="36"/>
    </row>
    <row r="275" spans="1:15" x14ac:dyDescent="0.35">
      <c r="A275" s="36"/>
      <c r="B275" s="36"/>
      <c r="C275" s="36"/>
      <c r="D275" s="36"/>
      <c r="E275" s="36"/>
      <c r="F275" s="92" t="s">
        <v>157</v>
      </c>
      <c r="G275" s="92" t="s">
        <v>434</v>
      </c>
      <c r="H275" s="34">
        <v>2500000</v>
      </c>
      <c r="I275" s="101"/>
      <c r="J275" s="101"/>
      <c r="K275" s="101"/>
      <c r="L275" s="101"/>
      <c r="M275" s="101"/>
      <c r="N275" s="58"/>
      <c r="O275" s="36"/>
    </row>
    <row r="276" spans="1:15" x14ac:dyDescent="0.35">
      <c r="A276" s="36"/>
      <c r="B276" s="36"/>
      <c r="C276" s="36"/>
      <c r="D276" s="36"/>
      <c r="E276" s="36"/>
      <c r="F276" s="92" t="s">
        <v>158</v>
      </c>
      <c r="G276" s="92" t="s">
        <v>434</v>
      </c>
      <c r="H276" s="34">
        <v>1500000</v>
      </c>
      <c r="I276" s="101"/>
      <c r="J276" s="101"/>
      <c r="K276" s="101"/>
      <c r="L276" s="101"/>
      <c r="M276" s="101"/>
      <c r="N276" s="58"/>
      <c r="O276" s="36"/>
    </row>
    <row r="277" spans="1:15" x14ac:dyDescent="0.35">
      <c r="A277" s="36"/>
      <c r="B277" s="36"/>
      <c r="C277" s="36"/>
      <c r="D277" s="36"/>
      <c r="E277" s="36"/>
      <c r="F277" s="92" t="s">
        <v>159</v>
      </c>
      <c r="G277" s="92" t="s">
        <v>434</v>
      </c>
      <c r="H277" s="34">
        <v>11900000</v>
      </c>
      <c r="I277" s="101"/>
      <c r="J277" s="101"/>
      <c r="K277" s="101"/>
      <c r="L277" s="101"/>
      <c r="M277" s="101"/>
      <c r="N277" s="58"/>
      <c r="O277" s="36"/>
    </row>
    <row r="278" spans="1:15" x14ac:dyDescent="0.35">
      <c r="A278" s="36"/>
      <c r="B278" s="36"/>
      <c r="C278" s="36"/>
      <c r="D278" s="36"/>
      <c r="E278" s="36"/>
      <c r="F278" s="92" t="s">
        <v>160</v>
      </c>
      <c r="G278" s="92" t="s">
        <v>434</v>
      </c>
      <c r="H278" s="34">
        <v>8300000.0000000009</v>
      </c>
      <c r="I278" s="101"/>
      <c r="J278" s="101"/>
      <c r="K278" s="101"/>
      <c r="L278" s="101"/>
      <c r="M278" s="101"/>
      <c r="N278" s="58"/>
      <c r="O278" s="36"/>
    </row>
    <row r="279" spans="1:15" x14ac:dyDescent="0.35">
      <c r="A279" s="36"/>
      <c r="B279" s="36"/>
      <c r="C279" s="36"/>
      <c r="D279" s="36"/>
      <c r="E279" s="36"/>
      <c r="F279" s="92" t="s">
        <v>161</v>
      </c>
      <c r="G279" s="92" t="s">
        <v>434</v>
      </c>
      <c r="H279" s="34">
        <v>3600000</v>
      </c>
      <c r="I279" s="101"/>
      <c r="J279" s="101"/>
      <c r="K279" s="101"/>
      <c r="L279" s="101"/>
      <c r="M279" s="101"/>
      <c r="N279" s="58"/>
      <c r="O279" s="36"/>
    </row>
    <row r="280" spans="1:15" x14ac:dyDescent="0.35">
      <c r="A280" s="36"/>
      <c r="B280" s="36"/>
      <c r="C280" s="36"/>
      <c r="D280" s="36"/>
      <c r="E280" s="36"/>
      <c r="F280" s="92" t="s">
        <v>162</v>
      </c>
      <c r="G280" s="92" t="s">
        <v>434</v>
      </c>
      <c r="H280" s="34">
        <v>3200000</v>
      </c>
      <c r="I280" s="101"/>
      <c r="J280" s="101"/>
      <c r="K280" s="101"/>
      <c r="L280" s="101"/>
      <c r="M280" s="101"/>
      <c r="N280" s="58"/>
      <c r="O280" s="36"/>
    </row>
    <row r="281" spans="1:15" x14ac:dyDescent="0.35">
      <c r="A281" s="36"/>
      <c r="B281" s="36"/>
      <c r="C281" s="36"/>
      <c r="D281" s="36"/>
      <c r="E281" s="36"/>
      <c r="F281" s="92" t="s">
        <v>163</v>
      </c>
      <c r="G281" s="92" t="s">
        <v>434</v>
      </c>
      <c r="H281" s="34">
        <v>1800000</v>
      </c>
      <c r="I281" s="101"/>
      <c r="J281" s="101"/>
      <c r="K281" s="101"/>
      <c r="L281" s="101"/>
      <c r="M281" s="101"/>
      <c r="N281" s="58"/>
      <c r="O281" s="36"/>
    </row>
    <row r="282" spans="1:15" x14ac:dyDescent="0.35">
      <c r="A282" s="36"/>
      <c r="B282" s="36"/>
      <c r="C282" s="36"/>
      <c r="D282" s="36"/>
      <c r="E282" s="36"/>
      <c r="F282" s="92" t="s">
        <v>164</v>
      </c>
      <c r="G282" s="92" t="s">
        <v>434</v>
      </c>
      <c r="H282" s="34">
        <v>9200000</v>
      </c>
      <c r="I282" s="101"/>
      <c r="J282" s="101"/>
      <c r="K282" s="101"/>
      <c r="L282" s="101"/>
      <c r="M282" s="101"/>
      <c r="N282" s="58"/>
      <c r="O282" s="36"/>
    </row>
    <row r="283" spans="1:15" x14ac:dyDescent="0.35">
      <c r="A283" s="36"/>
      <c r="B283" s="36"/>
      <c r="C283" s="36"/>
      <c r="D283" s="36"/>
      <c r="E283" s="36"/>
      <c r="F283" s="92" t="s">
        <v>165</v>
      </c>
      <c r="G283" s="92" t="s">
        <v>434</v>
      </c>
      <c r="H283" s="34">
        <v>2300000</v>
      </c>
      <c r="I283" s="101"/>
      <c r="J283" s="101"/>
      <c r="K283" s="101"/>
      <c r="L283" s="101"/>
      <c r="M283" s="101"/>
      <c r="N283" s="58"/>
      <c r="O283" s="36"/>
    </row>
    <row r="284" spans="1:15" x14ac:dyDescent="0.35">
      <c r="A284" s="36"/>
      <c r="B284" s="36"/>
      <c r="C284" s="36"/>
      <c r="D284" s="36"/>
      <c r="E284" s="36"/>
      <c r="F284" s="92" t="s">
        <v>166</v>
      </c>
      <c r="G284" s="92" t="s">
        <v>434</v>
      </c>
      <c r="H284" s="34">
        <v>3000000</v>
      </c>
      <c r="I284" s="101"/>
      <c r="J284" s="101"/>
      <c r="K284" s="101"/>
      <c r="L284" s="101"/>
      <c r="M284" s="101"/>
      <c r="N284" s="58"/>
      <c r="O284" s="36"/>
    </row>
    <row r="285" spans="1:15" x14ac:dyDescent="0.35">
      <c r="A285" s="36"/>
      <c r="B285" s="36"/>
      <c r="C285" s="36"/>
      <c r="D285" s="36"/>
      <c r="E285" s="36"/>
      <c r="F285" s="92" t="s">
        <v>167</v>
      </c>
      <c r="G285" s="92" t="s">
        <v>434</v>
      </c>
      <c r="H285" s="34">
        <v>27000000</v>
      </c>
      <c r="I285" s="101"/>
      <c r="J285" s="101"/>
      <c r="K285" s="101"/>
      <c r="L285" s="101"/>
      <c r="M285" s="101"/>
      <c r="N285" s="58"/>
      <c r="O285" s="36"/>
    </row>
    <row r="286" spans="1:15" x14ac:dyDescent="0.35">
      <c r="A286" s="36"/>
      <c r="B286" s="36"/>
      <c r="C286" s="36"/>
      <c r="D286" s="36"/>
      <c r="E286" s="36"/>
      <c r="F286" s="92" t="s">
        <v>168</v>
      </c>
      <c r="G286" s="92" t="s">
        <v>434</v>
      </c>
      <c r="H286" s="34">
        <v>13100000</v>
      </c>
      <c r="I286" s="101"/>
      <c r="J286" s="101"/>
      <c r="K286" s="101"/>
      <c r="L286" s="101"/>
      <c r="M286" s="101"/>
      <c r="N286" s="58"/>
      <c r="O286" s="36"/>
    </row>
    <row r="287" spans="1:15" x14ac:dyDescent="0.35">
      <c r="A287" s="36"/>
      <c r="B287" s="36"/>
      <c r="C287" s="36"/>
      <c r="D287" s="36"/>
      <c r="E287" s="36"/>
      <c r="F287" s="92" t="s">
        <v>169</v>
      </c>
      <c r="G287" s="92" t="s">
        <v>434</v>
      </c>
      <c r="H287" s="34">
        <v>26900000</v>
      </c>
      <c r="I287" s="101"/>
      <c r="J287" s="101"/>
      <c r="K287" s="101"/>
      <c r="L287" s="101"/>
      <c r="M287" s="101"/>
      <c r="N287" s="58"/>
      <c r="O287" s="36"/>
    </row>
    <row r="288" spans="1:15" x14ac:dyDescent="0.35">
      <c r="A288" s="36"/>
      <c r="B288" s="36"/>
      <c r="C288" s="36"/>
      <c r="D288" s="36"/>
      <c r="E288" s="36"/>
      <c r="F288" s="92" t="s">
        <v>170</v>
      </c>
      <c r="G288" s="92" t="s">
        <v>434</v>
      </c>
      <c r="H288" s="34">
        <v>-100000</v>
      </c>
      <c r="I288" s="101"/>
      <c r="J288" s="101"/>
      <c r="K288" s="101"/>
      <c r="L288" s="101"/>
      <c r="M288" s="101"/>
      <c r="N288" s="58"/>
      <c r="O288" s="36"/>
    </row>
    <row r="289" spans="1:15" x14ac:dyDescent="0.35">
      <c r="A289" s="36"/>
      <c r="B289" s="36"/>
      <c r="C289" s="36"/>
      <c r="D289" s="36"/>
      <c r="E289" s="36"/>
      <c r="F289" s="92" t="s">
        <v>171</v>
      </c>
      <c r="G289" s="92" t="s">
        <v>434</v>
      </c>
      <c r="H289" s="34">
        <v>1000000</v>
      </c>
      <c r="I289" s="101"/>
      <c r="J289" s="101"/>
      <c r="K289" s="101"/>
      <c r="L289" s="101"/>
      <c r="M289" s="101"/>
      <c r="N289" s="58"/>
      <c r="O289" s="36"/>
    </row>
    <row r="290" spans="1:15" x14ac:dyDescent="0.35">
      <c r="A290" s="36"/>
      <c r="B290" s="36"/>
      <c r="C290" s="36"/>
      <c r="D290" s="36"/>
      <c r="E290" s="36"/>
      <c r="F290" s="92" t="s">
        <v>172</v>
      </c>
      <c r="G290" s="92" t="s">
        <v>434</v>
      </c>
      <c r="H290" s="34">
        <v>3900000</v>
      </c>
      <c r="I290" s="101"/>
      <c r="J290" s="101"/>
      <c r="K290" s="101"/>
      <c r="L290" s="101"/>
      <c r="M290" s="101"/>
      <c r="N290" s="58"/>
      <c r="O290" s="36"/>
    </row>
    <row r="291" spans="1:15" x14ac:dyDescent="0.35">
      <c r="A291" s="36"/>
      <c r="B291" s="36"/>
      <c r="C291" s="36"/>
      <c r="D291" s="36"/>
      <c r="E291" s="36"/>
      <c r="F291" s="92" t="s">
        <v>173</v>
      </c>
      <c r="G291" s="92" t="s">
        <v>434</v>
      </c>
      <c r="H291" s="34">
        <v>67900000</v>
      </c>
      <c r="I291" s="101"/>
      <c r="J291" s="101"/>
      <c r="K291" s="101"/>
      <c r="L291" s="101"/>
      <c r="M291" s="101"/>
      <c r="N291" s="58"/>
      <c r="O291" s="36"/>
    </row>
    <row r="292" spans="1:15" x14ac:dyDescent="0.35">
      <c r="A292" s="36"/>
      <c r="B292" s="36"/>
      <c r="C292" s="36"/>
      <c r="D292" s="36"/>
      <c r="E292" s="36"/>
      <c r="F292" s="92" t="s">
        <v>174</v>
      </c>
      <c r="G292" s="92" t="s">
        <v>434</v>
      </c>
      <c r="H292" s="34">
        <v>37800000</v>
      </c>
      <c r="I292" s="101"/>
      <c r="J292" s="101"/>
      <c r="K292" s="101"/>
      <c r="L292" s="101"/>
      <c r="M292" s="101"/>
      <c r="N292" s="58"/>
      <c r="O292" s="36"/>
    </row>
    <row r="293" spans="1:15" x14ac:dyDescent="0.35">
      <c r="A293" s="36"/>
      <c r="B293" s="36"/>
      <c r="C293" s="36"/>
      <c r="D293" s="36"/>
      <c r="E293" s="36"/>
      <c r="F293" s="92" t="s">
        <v>175</v>
      </c>
      <c r="G293" s="92" t="s">
        <v>434</v>
      </c>
      <c r="H293" s="34">
        <v>9800000</v>
      </c>
      <c r="I293" s="101"/>
      <c r="J293" s="101"/>
      <c r="K293" s="101"/>
      <c r="L293" s="101"/>
      <c r="M293" s="101"/>
      <c r="N293" s="58"/>
      <c r="O293" s="36"/>
    </row>
    <row r="294" spans="1:15" x14ac:dyDescent="0.35">
      <c r="A294" s="36"/>
      <c r="B294" s="36"/>
      <c r="C294" s="36"/>
      <c r="D294" s="36"/>
      <c r="E294" s="36"/>
      <c r="F294" s="92" t="s">
        <v>176</v>
      </c>
      <c r="G294" s="92" t="s">
        <v>434</v>
      </c>
      <c r="H294" s="34">
        <v>-27000000</v>
      </c>
      <c r="I294" s="101"/>
      <c r="J294" s="101"/>
      <c r="K294" s="101"/>
      <c r="L294" s="101"/>
      <c r="M294" s="101"/>
      <c r="N294" s="58"/>
      <c r="O294" s="36"/>
    </row>
    <row r="295" spans="1:15" x14ac:dyDescent="0.35">
      <c r="A295" s="36"/>
      <c r="B295" s="36"/>
      <c r="C295" s="36"/>
      <c r="D295" s="36"/>
      <c r="E295" s="36"/>
      <c r="F295" s="92" t="s">
        <v>177</v>
      </c>
      <c r="G295" s="92" t="s">
        <v>434</v>
      </c>
      <c r="H295" s="34">
        <v>1300000</v>
      </c>
      <c r="I295" s="101"/>
      <c r="J295" s="101"/>
      <c r="K295" s="101"/>
      <c r="L295" s="101"/>
      <c r="M295" s="101"/>
      <c r="N295" s="58"/>
      <c r="O295" s="36"/>
    </row>
    <row r="296" spans="1:15" x14ac:dyDescent="0.35">
      <c r="A296" s="36"/>
      <c r="B296" s="36"/>
      <c r="C296" s="36"/>
      <c r="D296" s="36"/>
      <c r="E296" s="36"/>
      <c r="F296" s="92" t="s">
        <v>179</v>
      </c>
      <c r="G296" s="92" t="s">
        <v>434</v>
      </c>
      <c r="H296" s="34">
        <v>41600000</v>
      </c>
      <c r="I296" s="101"/>
      <c r="J296" s="101"/>
      <c r="K296" s="101"/>
      <c r="L296" s="101"/>
      <c r="M296" s="101"/>
      <c r="N296" s="58"/>
      <c r="O296" s="36"/>
    </row>
    <row r="297" spans="1:15" x14ac:dyDescent="0.35">
      <c r="A297" s="36"/>
      <c r="B297" s="36"/>
      <c r="C297" s="36"/>
      <c r="D297" s="36"/>
      <c r="E297" s="36"/>
      <c r="F297" s="94" t="s">
        <v>180</v>
      </c>
      <c r="G297" s="94" t="s">
        <v>434</v>
      </c>
      <c r="H297" s="144"/>
      <c r="I297" s="101"/>
      <c r="J297" s="101"/>
      <c r="K297" s="101"/>
      <c r="L297" s="101"/>
      <c r="M297" s="101"/>
      <c r="N297" s="58"/>
      <c r="O297" s="36"/>
    </row>
    <row r="298" spans="1:15" x14ac:dyDescent="0.35">
      <c r="A298" s="36"/>
      <c r="B298" s="36"/>
      <c r="C298" s="36"/>
      <c r="D298" s="36"/>
      <c r="E298" s="36"/>
      <c r="F298" s="36"/>
      <c r="G298" s="36"/>
      <c r="H298" s="58"/>
      <c r="I298" s="58"/>
      <c r="J298" s="58"/>
      <c r="K298" s="58"/>
      <c r="L298" s="58"/>
      <c r="M298" s="58"/>
      <c r="N298" s="58"/>
      <c r="O298" s="36"/>
    </row>
    <row r="299" spans="1:15" x14ac:dyDescent="0.35">
      <c r="A299" s="36"/>
      <c r="B299" s="36"/>
      <c r="C299" s="87" t="s">
        <v>436</v>
      </c>
      <c r="D299" s="87"/>
      <c r="E299" s="87"/>
      <c r="F299" s="87"/>
      <c r="G299" s="87"/>
      <c r="H299" s="88"/>
      <c r="I299" s="88"/>
      <c r="J299" s="88"/>
      <c r="K299" s="88"/>
      <c r="L299" s="88"/>
      <c r="M299" s="88"/>
      <c r="N299" s="88"/>
      <c r="O299" s="87"/>
    </row>
    <row r="300" spans="1:15" x14ac:dyDescent="0.35">
      <c r="A300" s="36"/>
      <c r="B300" s="36"/>
      <c r="C300" s="86"/>
      <c r="D300" s="86"/>
      <c r="E300" s="36"/>
      <c r="F300" s="36"/>
      <c r="G300" s="36"/>
      <c r="H300" s="58"/>
      <c r="I300" s="58"/>
      <c r="J300" s="58"/>
      <c r="K300" s="58"/>
      <c r="L300" s="58"/>
      <c r="M300" s="58"/>
      <c r="N300" s="58"/>
      <c r="O300" s="36"/>
    </row>
    <row r="301" spans="1:15" x14ac:dyDescent="0.35">
      <c r="A301" s="36"/>
      <c r="B301" s="36"/>
      <c r="C301" s="36"/>
      <c r="D301" s="86" t="s">
        <v>437</v>
      </c>
      <c r="E301" s="36"/>
      <c r="F301" s="36"/>
      <c r="G301" s="36"/>
      <c r="H301" s="58"/>
      <c r="I301" s="58"/>
      <c r="J301" s="58"/>
      <c r="K301" s="58"/>
      <c r="L301" s="58"/>
      <c r="M301" s="58"/>
      <c r="N301" s="58"/>
      <c r="O301" s="36"/>
    </row>
    <row r="302" spans="1:15" x14ac:dyDescent="0.35">
      <c r="A302" s="36"/>
      <c r="B302" s="36"/>
      <c r="C302" s="36"/>
      <c r="D302" s="86" t="s">
        <v>438</v>
      </c>
      <c r="E302" s="36"/>
      <c r="F302" s="36"/>
      <c r="G302" s="36"/>
      <c r="H302" s="58"/>
      <c r="I302" s="58"/>
      <c r="J302" s="58"/>
      <c r="K302" s="58"/>
      <c r="L302" s="58"/>
      <c r="M302" s="58"/>
      <c r="N302" s="58"/>
      <c r="O302" s="36"/>
    </row>
    <row r="303" spans="1:15" x14ac:dyDescent="0.35">
      <c r="A303" s="36"/>
      <c r="B303" s="36"/>
      <c r="C303" s="36"/>
      <c r="D303" s="86"/>
      <c r="E303" s="36"/>
      <c r="F303" s="36"/>
      <c r="G303" s="36"/>
      <c r="H303" s="58"/>
      <c r="I303" s="58"/>
      <c r="J303" s="58"/>
      <c r="K303" s="58"/>
      <c r="L303" s="58"/>
      <c r="M303" s="58"/>
      <c r="N303" s="58"/>
      <c r="O303" s="36"/>
    </row>
    <row r="304" spans="1:15" x14ac:dyDescent="0.35">
      <c r="A304" s="98"/>
      <c r="B304" s="36"/>
      <c r="C304" s="36"/>
      <c r="D304" s="86"/>
      <c r="E304" s="89" t="s">
        <v>439</v>
      </c>
      <c r="F304" s="36"/>
      <c r="G304" s="36"/>
      <c r="H304" s="58"/>
      <c r="I304" s="103" t="s">
        <v>120</v>
      </c>
      <c r="J304" s="75" t="s">
        <v>303</v>
      </c>
      <c r="K304" s="75" t="s">
        <v>198</v>
      </c>
      <c r="L304" s="75" t="s">
        <v>199</v>
      </c>
      <c r="M304" s="75" t="s">
        <v>201</v>
      </c>
      <c r="N304" s="58"/>
      <c r="O304" s="92" t="s">
        <v>440</v>
      </c>
    </row>
    <row r="305" spans="1:15" x14ac:dyDescent="0.35">
      <c r="A305" s="36"/>
      <c r="B305" s="36"/>
      <c r="C305" s="36"/>
      <c r="D305" s="36"/>
      <c r="E305" s="86"/>
      <c r="F305" s="90" t="s">
        <v>145</v>
      </c>
      <c r="G305" s="90" t="s">
        <v>434</v>
      </c>
      <c r="H305" s="114"/>
      <c r="I305" s="114"/>
      <c r="J305" s="104"/>
      <c r="K305" s="104"/>
      <c r="L305" s="104"/>
      <c r="M305" s="104"/>
      <c r="N305" s="58"/>
      <c r="O305" s="36"/>
    </row>
    <row r="306" spans="1:15" x14ac:dyDescent="0.35">
      <c r="A306" s="36"/>
      <c r="B306" s="36"/>
      <c r="C306" s="36"/>
      <c r="D306" s="36"/>
      <c r="E306" s="36"/>
      <c r="F306" s="92" t="s">
        <v>146</v>
      </c>
      <c r="G306" s="92" t="s">
        <v>434</v>
      </c>
      <c r="H306" s="101"/>
      <c r="I306" s="101"/>
      <c r="J306" s="34">
        <v>20000000</v>
      </c>
      <c r="K306" s="34">
        <v>7800000</v>
      </c>
      <c r="L306" s="34">
        <v>10800000</v>
      </c>
      <c r="M306" s="34">
        <v>13299999.999999998</v>
      </c>
      <c r="N306" s="58"/>
      <c r="O306" s="36"/>
    </row>
    <row r="307" spans="1:15" x14ac:dyDescent="0.35">
      <c r="A307" s="36"/>
      <c r="B307" s="36"/>
      <c r="C307" s="36"/>
      <c r="D307" s="36"/>
      <c r="E307" s="36"/>
      <c r="F307" s="92" t="s">
        <v>147</v>
      </c>
      <c r="G307" s="92" t="s">
        <v>434</v>
      </c>
      <c r="H307" s="101"/>
      <c r="I307" s="101"/>
      <c r="J307" s="34">
        <v>0</v>
      </c>
      <c r="K307" s="34">
        <v>0</v>
      </c>
      <c r="L307" s="34">
        <v>0</v>
      </c>
      <c r="M307" s="34">
        <v>0</v>
      </c>
      <c r="N307" s="58"/>
      <c r="O307" s="36"/>
    </row>
    <row r="308" spans="1:15" x14ac:dyDescent="0.35">
      <c r="A308" s="36"/>
      <c r="B308" s="36"/>
      <c r="C308" s="36"/>
      <c r="D308" s="36"/>
      <c r="E308" s="36"/>
      <c r="F308" s="92" t="s">
        <v>148</v>
      </c>
      <c r="G308" s="92" t="s">
        <v>434</v>
      </c>
      <c r="H308" s="101"/>
      <c r="I308" s="101"/>
      <c r="J308" s="34">
        <v>13000000</v>
      </c>
      <c r="K308" s="34">
        <v>500000</v>
      </c>
      <c r="L308" s="34">
        <v>6100000</v>
      </c>
      <c r="M308" s="34">
        <v>900000</v>
      </c>
      <c r="N308" s="58"/>
      <c r="O308" s="36"/>
    </row>
    <row r="309" spans="1:15" x14ac:dyDescent="0.35">
      <c r="A309" s="36"/>
      <c r="B309" s="36"/>
      <c r="C309" s="36"/>
      <c r="D309" s="36"/>
      <c r="E309" s="36"/>
      <c r="F309" s="92" t="s">
        <v>149</v>
      </c>
      <c r="G309" s="92" t="s">
        <v>434</v>
      </c>
      <c r="H309" s="101"/>
      <c r="I309" s="101"/>
      <c r="J309" s="34">
        <v>3300000</v>
      </c>
      <c r="K309" s="34">
        <v>3400000</v>
      </c>
      <c r="L309" s="34">
        <v>899999.99999999988</v>
      </c>
      <c r="M309" s="34">
        <v>4800000</v>
      </c>
      <c r="N309" s="58"/>
      <c r="O309" s="36"/>
    </row>
    <row r="310" spans="1:15" x14ac:dyDescent="0.35">
      <c r="A310" s="36"/>
      <c r="B310" s="36"/>
      <c r="C310" s="36"/>
      <c r="D310" s="36"/>
      <c r="E310" s="36"/>
      <c r="F310" s="92" t="s">
        <v>150</v>
      </c>
      <c r="G310" s="92" t="s">
        <v>434</v>
      </c>
      <c r="H310" s="101"/>
      <c r="I310" s="101"/>
      <c r="J310" s="34">
        <v>2800000</v>
      </c>
      <c r="K310" s="34">
        <v>0</v>
      </c>
      <c r="L310" s="34">
        <v>2900000</v>
      </c>
      <c r="M310" s="34">
        <v>1200000</v>
      </c>
      <c r="N310" s="58"/>
      <c r="O310" s="36"/>
    </row>
    <row r="311" spans="1:15" x14ac:dyDescent="0.35">
      <c r="A311" s="36"/>
      <c r="B311" s="36"/>
      <c r="C311" s="36"/>
      <c r="D311" s="36"/>
      <c r="E311" s="36"/>
      <c r="F311" s="92" t="s">
        <v>151</v>
      </c>
      <c r="G311" s="92" t="s">
        <v>434</v>
      </c>
      <c r="H311" s="101"/>
      <c r="I311" s="101"/>
      <c r="J311" s="34">
        <v>0</v>
      </c>
      <c r="K311" s="34">
        <v>0</v>
      </c>
      <c r="L311" s="34">
        <v>0</v>
      </c>
      <c r="M311" s="34">
        <v>0</v>
      </c>
      <c r="N311" s="58"/>
      <c r="O311" s="36"/>
    </row>
    <row r="312" spans="1:15" x14ac:dyDescent="0.35">
      <c r="A312" s="36"/>
      <c r="B312" s="36"/>
      <c r="C312" s="36"/>
      <c r="D312" s="36"/>
      <c r="E312" s="36"/>
      <c r="F312" s="92" t="s">
        <v>152</v>
      </c>
      <c r="G312" s="92" t="s">
        <v>434</v>
      </c>
      <c r="H312" s="101"/>
      <c r="I312" s="101"/>
      <c r="J312" s="34">
        <v>0</v>
      </c>
      <c r="K312" s="34">
        <v>0</v>
      </c>
      <c r="L312" s="34">
        <v>0</v>
      </c>
      <c r="M312" s="34">
        <v>0</v>
      </c>
      <c r="N312" s="58"/>
      <c r="O312" s="36"/>
    </row>
    <row r="313" spans="1:15" x14ac:dyDescent="0.35">
      <c r="A313" s="36"/>
      <c r="B313" s="36"/>
      <c r="C313" s="36"/>
      <c r="D313" s="36"/>
      <c r="E313" s="36"/>
      <c r="F313" s="92" t="s">
        <v>153</v>
      </c>
      <c r="G313" s="92" t="s">
        <v>434</v>
      </c>
      <c r="H313" s="101"/>
      <c r="I313" s="101"/>
      <c r="J313" s="34">
        <v>0</v>
      </c>
      <c r="K313" s="34">
        <v>0</v>
      </c>
      <c r="L313" s="34">
        <v>0</v>
      </c>
      <c r="M313" s="34">
        <v>0</v>
      </c>
      <c r="N313" s="58"/>
      <c r="O313" s="36"/>
    </row>
    <row r="314" spans="1:15" x14ac:dyDescent="0.35">
      <c r="A314" s="36"/>
      <c r="B314" s="36"/>
      <c r="C314" s="36"/>
      <c r="D314" s="36"/>
      <c r="E314" s="36"/>
      <c r="F314" s="92" t="s">
        <v>154</v>
      </c>
      <c r="G314" s="92" t="s">
        <v>434</v>
      </c>
      <c r="H314" s="101"/>
      <c r="I314" s="101"/>
      <c r="J314" s="34">
        <v>0</v>
      </c>
      <c r="K314" s="34">
        <v>0</v>
      </c>
      <c r="L314" s="34">
        <v>0</v>
      </c>
      <c r="M314" s="34">
        <v>0</v>
      </c>
      <c r="N314" s="58"/>
      <c r="O314" s="36"/>
    </row>
    <row r="315" spans="1:15" x14ac:dyDescent="0.35">
      <c r="A315" s="36"/>
      <c r="B315" s="36"/>
      <c r="C315" s="36"/>
      <c r="D315" s="36"/>
      <c r="E315" s="36"/>
      <c r="F315" s="92" t="s">
        <v>155</v>
      </c>
      <c r="G315" s="92" t="s">
        <v>434</v>
      </c>
      <c r="H315" s="101"/>
      <c r="I315" s="101"/>
      <c r="J315" s="34">
        <v>0</v>
      </c>
      <c r="K315" s="34">
        <v>0</v>
      </c>
      <c r="L315" s="34">
        <v>0</v>
      </c>
      <c r="M315" s="34">
        <v>0</v>
      </c>
      <c r="N315" s="58"/>
      <c r="O315" s="36"/>
    </row>
    <row r="316" spans="1:15" x14ac:dyDescent="0.35">
      <c r="A316" s="36"/>
      <c r="B316" s="36"/>
      <c r="C316" s="36"/>
      <c r="D316" s="36"/>
      <c r="E316" s="36"/>
      <c r="F316" s="92" t="s">
        <v>435</v>
      </c>
      <c r="G316" s="92" t="s">
        <v>434</v>
      </c>
      <c r="H316" s="101"/>
      <c r="I316" s="101"/>
      <c r="J316" s="34">
        <v>0</v>
      </c>
      <c r="K316" s="34">
        <v>0</v>
      </c>
      <c r="L316" s="34">
        <v>0</v>
      </c>
      <c r="M316" s="34">
        <v>0</v>
      </c>
      <c r="N316" s="58"/>
      <c r="O316" s="36"/>
    </row>
    <row r="317" spans="1:15" x14ac:dyDescent="0.35">
      <c r="A317" s="36"/>
      <c r="B317" s="36"/>
      <c r="C317" s="36"/>
      <c r="D317" s="36"/>
      <c r="E317" s="36"/>
      <c r="F317" s="92" t="s">
        <v>157</v>
      </c>
      <c r="G317" s="92" t="s">
        <v>434</v>
      </c>
      <c r="H317" s="101"/>
      <c r="I317" s="101"/>
      <c r="J317" s="34">
        <v>0</v>
      </c>
      <c r="K317" s="34">
        <v>0</v>
      </c>
      <c r="L317" s="34">
        <v>0</v>
      </c>
      <c r="M317" s="34">
        <v>0</v>
      </c>
      <c r="N317" s="58"/>
      <c r="O317" s="36"/>
    </row>
    <row r="318" spans="1:15" x14ac:dyDescent="0.35">
      <c r="A318" s="36"/>
      <c r="B318" s="36"/>
      <c r="C318" s="36"/>
      <c r="D318" s="36"/>
      <c r="E318" s="36"/>
      <c r="F318" s="92" t="s">
        <v>158</v>
      </c>
      <c r="G318" s="92" t="s">
        <v>434</v>
      </c>
      <c r="H318" s="101"/>
      <c r="I318" s="101"/>
      <c r="J318" s="34">
        <v>0</v>
      </c>
      <c r="K318" s="34">
        <v>0</v>
      </c>
      <c r="L318" s="34">
        <v>0</v>
      </c>
      <c r="M318" s="34">
        <v>0</v>
      </c>
      <c r="N318" s="58"/>
      <c r="O318" s="36"/>
    </row>
    <row r="319" spans="1:15" x14ac:dyDescent="0.35">
      <c r="A319" s="36"/>
      <c r="B319" s="36"/>
      <c r="C319" s="36"/>
      <c r="D319" s="36"/>
      <c r="E319" s="36"/>
      <c r="F319" s="92" t="s">
        <v>159</v>
      </c>
      <c r="G319" s="92" t="s">
        <v>434</v>
      </c>
      <c r="H319" s="101"/>
      <c r="I319" s="101"/>
      <c r="J319" s="34">
        <v>0</v>
      </c>
      <c r="K319" s="34">
        <v>0</v>
      </c>
      <c r="L319" s="34">
        <v>0</v>
      </c>
      <c r="M319" s="34">
        <v>0</v>
      </c>
      <c r="N319" s="58"/>
      <c r="O319" s="36"/>
    </row>
    <row r="320" spans="1:15" x14ac:dyDescent="0.35">
      <c r="A320" s="36"/>
      <c r="B320" s="36"/>
      <c r="C320" s="36"/>
      <c r="D320" s="36"/>
      <c r="E320" s="36"/>
      <c r="F320" s="92" t="s">
        <v>160</v>
      </c>
      <c r="G320" s="92" t="s">
        <v>434</v>
      </c>
      <c r="H320" s="101"/>
      <c r="I320" s="101"/>
      <c r="J320" s="34">
        <v>0</v>
      </c>
      <c r="K320" s="34">
        <v>0</v>
      </c>
      <c r="L320" s="34">
        <v>0</v>
      </c>
      <c r="M320" s="34">
        <v>0</v>
      </c>
      <c r="N320" s="58"/>
      <c r="O320" s="36"/>
    </row>
    <row r="321" spans="1:15" x14ac:dyDescent="0.35">
      <c r="A321" s="36"/>
      <c r="B321" s="36"/>
      <c r="C321" s="36"/>
      <c r="D321" s="36"/>
      <c r="E321" s="36"/>
      <c r="F321" s="92" t="s">
        <v>161</v>
      </c>
      <c r="G321" s="92" t="s">
        <v>434</v>
      </c>
      <c r="H321" s="101"/>
      <c r="I321" s="101"/>
      <c r="J321" s="34">
        <v>0</v>
      </c>
      <c r="K321" s="34">
        <v>0</v>
      </c>
      <c r="L321" s="34">
        <v>0</v>
      </c>
      <c r="M321" s="34">
        <v>0</v>
      </c>
      <c r="N321" s="58"/>
      <c r="O321" s="36"/>
    </row>
    <row r="322" spans="1:15" x14ac:dyDescent="0.35">
      <c r="A322" s="36"/>
      <c r="B322" s="36"/>
      <c r="C322" s="36"/>
      <c r="D322" s="36"/>
      <c r="E322" s="36"/>
      <c r="F322" s="92" t="s">
        <v>162</v>
      </c>
      <c r="G322" s="92" t="s">
        <v>434</v>
      </c>
      <c r="H322" s="101"/>
      <c r="I322" s="101"/>
      <c r="J322" s="34">
        <v>0</v>
      </c>
      <c r="K322" s="34">
        <v>0</v>
      </c>
      <c r="L322" s="34">
        <v>0</v>
      </c>
      <c r="M322" s="34">
        <v>0</v>
      </c>
      <c r="N322" s="58"/>
      <c r="O322" s="36"/>
    </row>
    <row r="323" spans="1:15" x14ac:dyDescent="0.35">
      <c r="A323" s="36"/>
      <c r="B323" s="36"/>
      <c r="C323" s="36"/>
      <c r="D323" s="36"/>
      <c r="E323" s="36"/>
      <c r="F323" s="92" t="s">
        <v>163</v>
      </c>
      <c r="G323" s="92" t="s">
        <v>434</v>
      </c>
      <c r="H323" s="101"/>
      <c r="I323" s="101"/>
      <c r="J323" s="34">
        <v>0</v>
      </c>
      <c r="K323" s="34">
        <v>0</v>
      </c>
      <c r="L323" s="34">
        <v>0</v>
      </c>
      <c r="M323" s="34">
        <v>0</v>
      </c>
      <c r="N323" s="58"/>
      <c r="O323" s="36"/>
    </row>
    <row r="324" spans="1:15" x14ac:dyDescent="0.35">
      <c r="A324" s="36"/>
      <c r="B324" s="36"/>
      <c r="C324" s="36"/>
      <c r="D324" s="36"/>
      <c r="E324" s="36"/>
      <c r="F324" s="92" t="s">
        <v>164</v>
      </c>
      <c r="G324" s="92" t="s">
        <v>434</v>
      </c>
      <c r="H324" s="101"/>
      <c r="I324" s="101"/>
      <c r="J324" s="34">
        <v>0</v>
      </c>
      <c r="K324" s="34">
        <v>0</v>
      </c>
      <c r="L324" s="34">
        <v>0</v>
      </c>
      <c r="M324" s="34">
        <v>0</v>
      </c>
      <c r="N324" s="58"/>
      <c r="O324" s="36"/>
    </row>
    <row r="325" spans="1:15" x14ac:dyDescent="0.35">
      <c r="A325" s="36"/>
      <c r="B325" s="36"/>
      <c r="C325" s="36"/>
      <c r="D325" s="36"/>
      <c r="E325" s="36"/>
      <c r="F325" s="92" t="s">
        <v>165</v>
      </c>
      <c r="G325" s="92" t="s">
        <v>434</v>
      </c>
      <c r="H325" s="101"/>
      <c r="I325" s="101"/>
      <c r="J325" s="34">
        <v>0</v>
      </c>
      <c r="K325" s="34">
        <v>0</v>
      </c>
      <c r="L325" s="34">
        <v>0</v>
      </c>
      <c r="M325" s="34">
        <v>0</v>
      </c>
      <c r="N325" s="58"/>
      <c r="O325" s="36"/>
    </row>
    <row r="326" spans="1:15" x14ac:dyDescent="0.35">
      <c r="A326" s="36"/>
      <c r="B326" s="36"/>
      <c r="C326" s="36"/>
      <c r="D326" s="36"/>
      <c r="E326" s="36"/>
      <c r="F326" s="92" t="s">
        <v>166</v>
      </c>
      <c r="G326" s="92" t="s">
        <v>434</v>
      </c>
      <c r="H326" s="101"/>
      <c r="I326" s="101"/>
      <c r="J326" s="34">
        <v>0</v>
      </c>
      <c r="K326" s="34">
        <v>0</v>
      </c>
      <c r="L326" s="34">
        <v>0</v>
      </c>
      <c r="M326" s="34">
        <v>0</v>
      </c>
      <c r="N326" s="58"/>
      <c r="O326" s="36"/>
    </row>
    <row r="327" spans="1:15" x14ac:dyDescent="0.35">
      <c r="A327" s="36"/>
      <c r="B327" s="36"/>
      <c r="C327" s="36"/>
      <c r="D327" s="36"/>
      <c r="E327" s="36"/>
      <c r="F327" s="92" t="s">
        <v>167</v>
      </c>
      <c r="G327" s="92" t="s">
        <v>434</v>
      </c>
      <c r="H327" s="101"/>
      <c r="I327" s="101"/>
      <c r="J327" s="34">
        <v>0</v>
      </c>
      <c r="K327" s="34">
        <v>0</v>
      </c>
      <c r="L327" s="34">
        <v>0</v>
      </c>
      <c r="M327" s="34">
        <v>0</v>
      </c>
      <c r="N327" s="58"/>
      <c r="O327" s="36"/>
    </row>
    <row r="328" spans="1:15" x14ac:dyDescent="0.35">
      <c r="A328" s="36"/>
      <c r="B328" s="36"/>
      <c r="C328" s="36"/>
      <c r="D328" s="36"/>
      <c r="E328" s="36"/>
      <c r="F328" s="92" t="s">
        <v>168</v>
      </c>
      <c r="G328" s="92" t="s">
        <v>434</v>
      </c>
      <c r="H328" s="101"/>
      <c r="I328" s="101"/>
      <c r="J328" s="34">
        <v>0</v>
      </c>
      <c r="K328" s="34">
        <v>0</v>
      </c>
      <c r="L328" s="34">
        <v>0</v>
      </c>
      <c r="M328" s="34">
        <v>0</v>
      </c>
      <c r="N328" s="58"/>
      <c r="O328" s="36"/>
    </row>
    <row r="329" spans="1:15" x14ac:dyDescent="0.35">
      <c r="A329" s="36"/>
      <c r="B329" s="36"/>
      <c r="C329" s="36"/>
      <c r="D329" s="36"/>
      <c r="E329" s="36"/>
      <c r="F329" s="92" t="s">
        <v>169</v>
      </c>
      <c r="G329" s="92" t="s">
        <v>434</v>
      </c>
      <c r="H329" s="101"/>
      <c r="I329" s="101"/>
      <c r="J329" s="34">
        <v>0</v>
      </c>
      <c r="K329" s="34">
        <v>0</v>
      </c>
      <c r="L329" s="34">
        <v>0</v>
      </c>
      <c r="M329" s="34">
        <v>0</v>
      </c>
      <c r="N329" s="58"/>
      <c r="O329" s="36"/>
    </row>
    <row r="330" spans="1:15" x14ac:dyDescent="0.35">
      <c r="A330" s="36"/>
      <c r="B330" s="36"/>
      <c r="C330" s="36"/>
      <c r="D330" s="36"/>
      <c r="E330" s="36"/>
      <c r="F330" s="92" t="s">
        <v>170</v>
      </c>
      <c r="G330" s="92" t="s">
        <v>434</v>
      </c>
      <c r="H330" s="101"/>
      <c r="I330" s="101"/>
      <c r="J330" s="34">
        <v>0</v>
      </c>
      <c r="K330" s="34">
        <v>0</v>
      </c>
      <c r="L330" s="34">
        <v>0</v>
      </c>
      <c r="M330" s="34">
        <v>0</v>
      </c>
      <c r="N330" s="58"/>
      <c r="O330" s="36"/>
    </row>
    <row r="331" spans="1:15" x14ac:dyDescent="0.35">
      <c r="A331" s="36"/>
      <c r="B331" s="36"/>
      <c r="C331" s="36"/>
      <c r="D331" s="36"/>
      <c r="E331" s="36"/>
      <c r="F331" s="92" t="s">
        <v>171</v>
      </c>
      <c r="G331" s="92" t="s">
        <v>434</v>
      </c>
      <c r="H331" s="101"/>
      <c r="I331" s="101"/>
      <c r="J331" s="34">
        <v>0</v>
      </c>
      <c r="K331" s="34">
        <v>0</v>
      </c>
      <c r="L331" s="34">
        <v>0</v>
      </c>
      <c r="M331" s="34">
        <v>0</v>
      </c>
      <c r="N331" s="58"/>
      <c r="O331" s="36"/>
    </row>
    <row r="332" spans="1:15" x14ac:dyDescent="0.35">
      <c r="A332" s="36"/>
      <c r="B332" s="36"/>
      <c r="C332" s="36"/>
      <c r="D332" s="36"/>
      <c r="E332" s="36"/>
      <c r="F332" s="92" t="s">
        <v>172</v>
      </c>
      <c r="G332" s="92" t="s">
        <v>434</v>
      </c>
      <c r="H332" s="101"/>
      <c r="I332" s="101"/>
      <c r="J332" s="34">
        <v>0</v>
      </c>
      <c r="K332" s="34">
        <v>0</v>
      </c>
      <c r="L332" s="34">
        <v>0</v>
      </c>
      <c r="M332" s="34">
        <v>0</v>
      </c>
      <c r="N332" s="58"/>
      <c r="O332" s="36"/>
    </row>
    <row r="333" spans="1:15" x14ac:dyDescent="0.35">
      <c r="A333" s="36"/>
      <c r="B333" s="36"/>
      <c r="C333" s="36"/>
      <c r="D333" s="36"/>
      <c r="E333" s="36"/>
      <c r="F333" s="92" t="s">
        <v>173</v>
      </c>
      <c r="G333" s="92" t="s">
        <v>434</v>
      </c>
      <c r="H333" s="101"/>
      <c r="I333" s="101"/>
      <c r="J333" s="34">
        <v>0</v>
      </c>
      <c r="K333" s="34">
        <v>0</v>
      </c>
      <c r="L333" s="34">
        <v>0</v>
      </c>
      <c r="M333" s="34">
        <v>0</v>
      </c>
      <c r="N333" s="58"/>
      <c r="O333" s="36"/>
    </row>
    <row r="334" spans="1:15" x14ac:dyDescent="0.35">
      <c r="A334" s="36"/>
      <c r="B334" s="36"/>
      <c r="C334" s="36"/>
      <c r="D334" s="36"/>
      <c r="E334" s="36"/>
      <c r="F334" s="92" t="s">
        <v>174</v>
      </c>
      <c r="G334" s="92" t="s">
        <v>434</v>
      </c>
      <c r="H334" s="101"/>
      <c r="I334" s="101"/>
      <c r="J334" s="34">
        <v>0</v>
      </c>
      <c r="K334" s="34">
        <v>0</v>
      </c>
      <c r="L334" s="34">
        <v>0</v>
      </c>
      <c r="M334" s="34">
        <v>0</v>
      </c>
      <c r="N334" s="58"/>
      <c r="O334" s="36"/>
    </row>
    <row r="335" spans="1:15" x14ac:dyDescent="0.35">
      <c r="A335" s="36"/>
      <c r="B335" s="36"/>
      <c r="C335" s="36"/>
      <c r="D335" s="36"/>
      <c r="E335" s="36"/>
      <c r="F335" s="92" t="s">
        <v>175</v>
      </c>
      <c r="G335" s="92" t="s">
        <v>434</v>
      </c>
      <c r="H335" s="101"/>
      <c r="I335" s="101"/>
      <c r="J335" s="34">
        <v>0</v>
      </c>
      <c r="K335" s="34">
        <v>0</v>
      </c>
      <c r="L335" s="34">
        <v>0</v>
      </c>
      <c r="M335" s="34">
        <v>0</v>
      </c>
      <c r="N335" s="58"/>
      <c r="O335" s="36"/>
    </row>
    <row r="336" spans="1:15" x14ac:dyDescent="0.35">
      <c r="A336" s="36"/>
      <c r="B336" s="36"/>
      <c r="C336" s="36"/>
      <c r="D336" s="36"/>
      <c r="E336" s="36"/>
      <c r="F336" s="92" t="s">
        <v>176</v>
      </c>
      <c r="G336" s="92" t="s">
        <v>434</v>
      </c>
      <c r="H336" s="101"/>
      <c r="I336" s="101"/>
      <c r="J336" s="34">
        <v>0</v>
      </c>
      <c r="K336" s="34">
        <v>0</v>
      </c>
      <c r="L336" s="34">
        <v>0</v>
      </c>
      <c r="M336" s="34">
        <v>0</v>
      </c>
      <c r="N336" s="58"/>
      <c r="O336" s="36"/>
    </row>
    <row r="337" spans="1:15" x14ac:dyDescent="0.35">
      <c r="A337" s="36"/>
      <c r="B337" s="36"/>
      <c r="C337" s="36"/>
      <c r="D337" s="36"/>
      <c r="E337" s="36"/>
      <c r="F337" s="92" t="s">
        <v>177</v>
      </c>
      <c r="G337" s="92" t="s">
        <v>434</v>
      </c>
      <c r="H337" s="101"/>
      <c r="I337" s="101"/>
      <c r="J337" s="34">
        <v>0</v>
      </c>
      <c r="K337" s="34">
        <v>0</v>
      </c>
      <c r="L337" s="34">
        <v>0</v>
      </c>
      <c r="M337" s="34">
        <v>0</v>
      </c>
      <c r="N337" s="58"/>
      <c r="O337" s="36"/>
    </row>
    <row r="338" spans="1:15" x14ac:dyDescent="0.35">
      <c r="A338" s="36"/>
      <c r="B338" s="36"/>
      <c r="C338" s="36"/>
      <c r="D338" s="36"/>
      <c r="E338" s="36"/>
      <c r="F338" s="92" t="s">
        <v>179</v>
      </c>
      <c r="G338" s="92" t="s">
        <v>434</v>
      </c>
      <c r="H338" s="101"/>
      <c r="I338" s="101"/>
      <c r="J338" s="34">
        <v>0</v>
      </c>
      <c r="K338" s="34">
        <v>0</v>
      </c>
      <c r="L338" s="34">
        <v>0</v>
      </c>
      <c r="M338" s="34">
        <v>0</v>
      </c>
      <c r="N338" s="58"/>
      <c r="O338" s="36"/>
    </row>
    <row r="339" spans="1:15" x14ac:dyDescent="0.35">
      <c r="A339" s="36"/>
      <c r="B339" s="36"/>
      <c r="C339" s="36"/>
      <c r="D339" s="36"/>
      <c r="E339" s="36"/>
      <c r="F339" s="94" t="s">
        <v>180</v>
      </c>
      <c r="G339" s="94" t="s">
        <v>434</v>
      </c>
      <c r="H339" s="115"/>
      <c r="I339" s="115"/>
      <c r="J339" s="144"/>
      <c r="K339" s="144"/>
      <c r="L339" s="144"/>
      <c r="M339" s="144"/>
      <c r="N339" s="58"/>
      <c r="O339" s="36"/>
    </row>
    <row r="340" spans="1:15" x14ac:dyDescent="0.35">
      <c r="A340" s="36"/>
      <c r="B340" s="36"/>
      <c r="C340" s="36"/>
      <c r="D340" s="36"/>
      <c r="E340" s="36"/>
      <c r="F340" s="36"/>
      <c r="G340" s="36"/>
      <c r="H340" s="58"/>
      <c r="I340" s="58"/>
      <c r="J340" s="58"/>
      <c r="K340" s="58"/>
      <c r="L340" s="58"/>
      <c r="M340" s="58"/>
      <c r="N340" s="58"/>
      <c r="O340" s="36"/>
    </row>
    <row r="341" spans="1:15" x14ac:dyDescent="0.35">
      <c r="A341" s="36"/>
      <c r="B341" s="36"/>
      <c r="C341" s="87" t="s">
        <v>441</v>
      </c>
      <c r="D341" s="87"/>
      <c r="E341" s="87"/>
      <c r="F341" s="87"/>
      <c r="G341" s="87"/>
      <c r="H341" s="88"/>
      <c r="I341" s="88"/>
      <c r="J341" s="88"/>
      <c r="K341" s="88"/>
      <c r="L341" s="88"/>
      <c r="M341" s="88"/>
      <c r="N341" s="88"/>
      <c r="O341" s="87"/>
    </row>
    <row r="342" spans="1:15" x14ac:dyDescent="0.35">
      <c r="A342" s="36"/>
      <c r="B342" s="36"/>
      <c r="C342" s="86"/>
      <c r="D342" s="86"/>
      <c r="E342" s="36"/>
      <c r="F342" s="36"/>
      <c r="G342" s="36"/>
      <c r="H342" s="58"/>
      <c r="I342" s="58"/>
      <c r="J342" s="58"/>
      <c r="K342" s="58"/>
      <c r="L342" s="58"/>
      <c r="M342" s="58"/>
      <c r="N342" s="58"/>
      <c r="O342" s="36"/>
    </row>
    <row r="343" spans="1:15" x14ac:dyDescent="0.35">
      <c r="A343" s="36"/>
      <c r="B343" s="36"/>
      <c r="C343" s="36"/>
      <c r="D343" s="86" t="s">
        <v>442</v>
      </c>
      <c r="E343" s="36"/>
      <c r="F343" s="36"/>
      <c r="G343" s="36"/>
      <c r="H343" s="58"/>
      <c r="I343" s="58"/>
      <c r="J343" s="58"/>
      <c r="K343" s="58"/>
      <c r="L343" s="58"/>
      <c r="M343" s="58"/>
      <c r="N343" s="58"/>
      <c r="O343" s="36"/>
    </row>
    <row r="344" spans="1:15" x14ac:dyDescent="0.35">
      <c r="A344" s="36"/>
      <c r="B344" s="36"/>
      <c r="C344" s="36"/>
      <c r="D344" s="86" t="s">
        <v>443</v>
      </c>
      <c r="E344" s="36"/>
      <c r="F344" s="36"/>
      <c r="G344" s="36"/>
      <c r="H344" s="58"/>
      <c r="I344" s="58"/>
      <c r="J344" s="58"/>
      <c r="K344" s="58"/>
      <c r="L344" s="58"/>
      <c r="M344" s="58"/>
      <c r="N344" s="58"/>
      <c r="O344" s="36"/>
    </row>
    <row r="345" spans="1:15" x14ac:dyDescent="0.35">
      <c r="A345" s="36"/>
      <c r="B345" s="36"/>
      <c r="C345" s="36"/>
      <c r="D345" s="86"/>
      <c r="E345" s="36"/>
      <c r="F345" s="36"/>
      <c r="G345" s="36"/>
      <c r="H345" s="58"/>
      <c r="I345" s="58"/>
      <c r="J345" s="58"/>
      <c r="K345" s="58"/>
      <c r="L345" s="58"/>
      <c r="M345" s="58"/>
      <c r="N345" s="58"/>
      <c r="O345" s="36"/>
    </row>
    <row r="346" spans="1:15" x14ac:dyDescent="0.35">
      <c r="A346" s="98"/>
      <c r="B346" s="36"/>
      <c r="C346" s="36"/>
      <c r="D346" s="86"/>
      <c r="E346" s="89" t="s">
        <v>444</v>
      </c>
      <c r="F346" s="36"/>
      <c r="G346" s="36"/>
      <c r="H346" s="58"/>
      <c r="I346" s="103" t="s">
        <v>120</v>
      </c>
      <c r="J346" s="58"/>
      <c r="K346" s="58"/>
      <c r="L346" s="58"/>
      <c r="M346" s="58"/>
      <c r="N346" s="58"/>
      <c r="O346" s="92" t="s">
        <v>445</v>
      </c>
    </row>
    <row r="347" spans="1:15" x14ac:dyDescent="0.35">
      <c r="A347" s="36"/>
      <c r="B347" s="36"/>
      <c r="C347" s="36"/>
      <c r="D347" s="36"/>
      <c r="E347" s="86"/>
      <c r="F347" s="90" t="s">
        <v>303</v>
      </c>
      <c r="G347" s="90" t="s">
        <v>434</v>
      </c>
      <c r="H347" s="33">
        <v>4840000.0000000037</v>
      </c>
      <c r="I347" s="101"/>
      <c r="J347" s="101"/>
      <c r="K347" s="101"/>
      <c r="L347" s="101"/>
      <c r="M347" s="101"/>
      <c r="N347" s="58"/>
      <c r="O347" s="36"/>
    </row>
    <row r="348" spans="1:15" x14ac:dyDescent="0.35">
      <c r="A348" s="36"/>
      <c r="B348" s="36"/>
      <c r="C348" s="36"/>
      <c r="D348" s="36"/>
      <c r="E348" s="36"/>
      <c r="F348" s="92" t="s">
        <v>198</v>
      </c>
      <c r="G348" s="92" t="s">
        <v>434</v>
      </c>
      <c r="H348" s="34">
        <v>0</v>
      </c>
      <c r="I348" s="101"/>
      <c r="J348" s="101"/>
      <c r="K348" s="101"/>
      <c r="L348" s="101"/>
      <c r="M348" s="101"/>
      <c r="N348" s="58"/>
      <c r="O348" s="36"/>
    </row>
    <row r="349" spans="1:15" x14ac:dyDescent="0.35">
      <c r="A349" s="36"/>
      <c r="B349" s="36"/>
      <c r="C349" s="36"/>
      <c r="D349" s="36"/>
      <c r="E349" s="36"/>
      <c r="F349" s="92" t="s">
        <v>199</v>
      </c>
      <c r="G349" s="92" t="s">
        <v>434</v>
      </c>
      <c r="H349" s="34">
        <v>17380000.000000004</v>
      </c>
      <c r="I349" s="101"/>
      <c r="J349" s="101"/>
      <c r="K349" s="101"/>
      <c r="L349" s="101"/>
      <c r="M349" s="101"/>
      <c r="N349" s="58"/>
      <c r="O349" s="36"/>
    </row>
    <row r="350" spans="1:15" x14ac:dyDescent="0.35">
      <c r="A350" s="36"/>
      <c r="B350" s="36"/>
      <c r="C350" s="36"/>
      <c r="D350" s="36"/>
      <c r="E350" s="36"/>
      <c r="F350" s="94" t="s">
        <v>201</v>
      </c>
      <c r="G350" s="94" t="s">
        <v>434</v>
      </c>
      <c r="H350" s="35">
        <v>37080000</v>
      </c>
      <c r="I350" s="101"/>
      <c r="J350" s="101"/>
      <c r="K350" s="101"/>
      <c r="L350" s="101"/>
      <c r="M350" s="101"/>
      <c r="N350" s="58"/>
      <c r="O350" s="36"/>
    </row>
    <row r="351" spans="1:15" x14ac:dyDescent="0.35">
      <c r="A351" s="36"/>
      <c r="B351" s="36"/>
      <c r="C351" s="36"/>
      <c r="D351" s="36"/>
      <c r="E351" s="36"/>
      <c r="F351" s="36"/>
      <c r="G351" s="36"/>
      <c r="H351" s="58"/>
      <c r="I351" s="58"/>
      <c r="J351" s="58"/>
      <c r="K351" s="58"/>
      <c r="L351" s="58"/>
      <c r="M351" s="58"/>
      <c r="N351" s="58"/>
      <c r="O351" s="36"/>
    </row>
    <row r="352" spans="1:15" x14ac:dyDescent="0.35">
      <c r="A352" s="36"/>
      <c r="B352" s="36"/>
      <c r="C352" s="87" t="s">
        <v>446</v>
      </c>
      <c r="D352" s="87"/>
      <c r="E352" s="87"/>
      <c r="F352" s="87"/>
      <c r="G352" s="87"/>
      <c r="H352" s="88"/>
      <c r="I352" s="88"/>
      <c r="J352" s="88"/>
      <c r="K352" s="88"/>
      <c r="L352" s="88"/>
      <c r="M352" s="88"/>
      <c r="N352" s="88"/>
      <c r="O352" s="87"/>
    </row>
    <row r="353" spans="1:15" x14ac:dyDescent="0.35">
      <c r="A353" s="36"/>
      <c r="B353" s="36"/>
      <c r="C353" s="86"/>
      <c r="D353" s="86"/>
      <c r="E353" s="36"/>
      <c r="F353" s="36"/>
      <c r="G353" s="36"/>
      <c r="H353" s="58"/>
      <c r="I353" s="58"/>
      <c r="J353" s="58"/>
      <c r="K353" s="58"/>
      <c r="L353" s="58"/>
      <c r="M353" s="58"/>
      <c r="N353" s="58"/>
      <c r="O353" s="36"/>
    </row>
    <row r="354" spans="1:15" x14ac:dyDescent="0.35">
      <c r="A354" s="36"/>
      <c r="B354" s="36"/>
      <c r="C354" s="36"/>
      <c r="D354" s="86" t="s">
        <v>447</v>
      </c>
      <c r="E354" s="36"/>
      <c r="F354" s="36"/>
      <c r="G354" s="36"/>
      <c r="H354" s="58"/>
      <c r="I354" s="58"/>
      <c r="J354" s="58"/>
      <c r="K354" s="58"/>
      <c r="L354" s="58"/>
      <c r="M354" s="58"/>
      <c r="N354" s="58"/>
      <c r="O354" s="36"/>
    </row>
    <row r="355" spans="1:15" x14ac:dyDescent="0.35">
      <c r="A355" s="36"/>
      <c r="B355" s="36"/>
      <c r="C355" s="36"/>
      <c r="D355" s="86" t="s">
        <v>448</v>
      </c>
      <c r="E355" s="36"/>
      <c r="F355" s="36"/>
      <c r="G355" s="36"/>
      <c r="H355" s="58"/>
      <c r="I355" s="58"/>
      <c r="J355" s="58"/>
      <c r="K355" s="58"/>
      <c r="L355" s="58"/>
      <c r="M355" s="58"/>
      <c r="N355" s="58"/>
      <c r="O355" s="36"/>
    </row>
    <row r="356" spans="1:15" x14ac:dyDescent="0.35">
      <c r="A356" s="36"/>
      <c r="B356" s="36"/>
      <c r="C356" s="36"/>
      <c r="D356" s="86"/>
      <c r="E356" s="36"/>
      <c r="F356" s="36"/>
      <c r="G356" s="36"/>
      <c r="H356" s="58"/>
      <c r="I356" s="58"/>
      <c r="J356" s="58"/>
      <c r="K356" s="58"/>
      <c r="L356" s="58"/>
      <c r="M356" s="58"/>
      <c r="N356" s="58"/>
      <c r="O356" s="36"/>
    </row>
    <row r="357" spans="1:15" x14ac:dyDescent="0.35">
      <c r="A357" s="98"/>
      <c r="B357" s="36"/>
      <c r="C357" s="36"/>
      <c r="D357" s="86"/>
      <c r="E357" s="89" t="s">
        <v>449</v>
      </c>
      <c r="F357" s="36"/>
      <c r="G357" s="36"/>
      <c r="H357" s="58"/>
      <c r="I357" s="103" t="s">
        <v>120</v>
      </c>
      <c r="J357" s="58"/>
      <c r="K357" s="58"/>
      <c r="L357" s="58"/>
      <c r="M357" s="58"/>
      <c r="N357" s="58"/>
      <c r="O357" s="92" t="s">
        <v>450</v>
      </c>
    </row>
    <row r="358" spans="1:15" x14ac:dyDescent="0.35">
      <c r="A358" s="36"/>
      <c r="B358" s="36"/>
      <c r="C358" s="36"/>
      <c r="D358" s="36"/>
      <c r="E358" s="86"/>
      <c r="F358" s="90" t="s">
        <v>303</v>
      </c>
      <c r="G358" s="90" t="s">
        <v>337</v>
      </c>
      <c r="H358" s="33">
        <v>230599999.99999997</v>
      </c>
      <c r="I358" s="101"/>
      <c r="J358" s="101"/>
      <c r="K358" s="101"/>
      <c r="L358" s="101"/>
      <c r="M358" s="101"/>
      <c r="N358" s="58"/>
      <c r="O358" s="36"/>
    </row>
    <row r="359" spans="1:15" x14ac:dyDescent="0.35">
      <c r="A359" s="36"/>
      <c r="B359" s="36"/>
      <c r="C359" s="36"/>
      <c r="D359" s="36"/>
      <c r="E359" s="36"/>
      <c r="F359" s="92" t="s">
        <v>451</v>
      </c>
      <c r="G359" s="92" t="s">
        <v>337</v>
      </c>
      <c r="H359" s="34">
        <v>64811428.571428582</v>
      </c>
      <c r="I359" s="101"/>
      <c r="J359" s="101"/>
      <c r="K359" s="101"/>
      <c r="L359" s="101"/>
      <c r="M359" s="101"/>
      <c r="N359" s="58"/>
      <c r="O359" s="36"/>
    </row>
    <row r="360" spans="1:15" x14ac:dyDescent="0.35">
      <c r="A360" s="36"/>
      <c r="B360" s="36"/>
      <c r="C360" s="36"/>
      <c r="D360" s="36"/>
      <c r="E360" s="36"/>
      <c r="F360" s="92" t="s">
        <v>199</v>
      </c>
      <c r="G360" s="92" t="s">
        <v>337</v>
      </c>
      <c r="H360" s="34">
        <v>287988571.42857146</v>
      </c>
      <c r="I360" s="101"/>
      <c r="J360" s="101"/>
      <c r="K360" s="101"/>
      <c r="L360" s="101"/>
      <c r="M360" s="101"/>
      <c r="N360" s="58"/>
      <c r="O360" s="36"/>
    </row>
    <row r="361" spans="1:15" x14ac:dyDescent="0.35">
      <c r="A361" s="36"/>
      <c r="B361" s="36"/>
      <c r="C361" s="36"/>
      <c r="D361" s="36"/>
      <c r="E361" s="36"/>
      <c r="F361" s="92" t="s">
        <v>293</v>
      </c>
      <c r="G361" s="92" t="s">
        <v>337</v>
      </c>
      <c r="H361" s="34">
        <v>277600000</v>
      </c>
      <c r="I361" s="101"/>
      <c r="J361" s="101"/>
      <c r="K361" s="101"/>
      <c r="L361" s="101"/>
      <c r="M361" s="101"/>
      <c r="N361" s="58"/>
      <c r="O361" s="36"/>
    </row>
    <row r="362" spans="1:15" x14ac:dyDescent="0.35">
      <c r="A362" s="36"/>
      <c r="B362" s="36"/>
      <c r="C362" s="36"/>
      <c r="D362" s="36"/>
      <c r="E362" s="36"/>
      <c r="F362" s="94" t="s">
        <v>296</v>
      </c>
      <c r="G362" s="94" t="s">
        <v>337</v>
      </c>
      <c r="H362" s="35">
        <v>199272195.12195119</v>
      </c>
      <c r="I362" s="101"/>
      <c r="J362" s="101"/>
      <c r="K362" s="101"/>
      <c r="L362" s="101"/>
      <c r="M362" s="101"/>
      <c r="N362" s="58"/>
      <c r="O362" s="36"/>
    </row>
    <row r="363" spans="1:15" x14ac:dyDescent="0.35">
      <c r="A363" s="36"/>
      <c r="B363" s="36"/>
      <c r="C363" s="36"/>
      <c r="D363" s="36"/>
      <c r="E363" s="36"/>
      <c r="F363" s="36"/>
      <c r="G363" s="36"/>
      <c r="H363" s="58"/>
      <c r="I363" s="58"/>
      <c r="J363" s="58"/>
      <c r="K363" s="58"/>
      <c r="L363" s="58"/>
      <c r="M363" s="58"/>
      <c r="N363" s="58"/>
      <c r="O363" s="36"/>
    </row>
    <row r="364" spans="1:15" x14ac:dyDescent="0.35">
      <c r="A364" s="36"/>
      <c r="B364" s="36"/>
      <c r="C364" s="87" t="s">
        <v>452</v>
      </c>
      <c r="D364" s="87"/>
      <c r="E364" s="87"/>
      <c r="F364" s="87"/>
      <c r="G364" s="87"/>
      <c r="H364" s="88"/>
      <c r="I364" s="88"/>
      <c r="J364" s="88"/>
      <c r="K364" s="88"/>
      <c r="L364" s="88"/>
      <c r="M364" s="88"/>
      <c r="N364" s="88"/>
      <c r="O364" s="87"/>
    </row>
    <row r="365" spans="1:15" x14ac:dyDescent="0.35">
      <c r="A365" s="36"/>
      <c r="B365" s="36"/>
      <c r="C365" s="86"/>
      <c r="D365" s="86"/>
      <c r="E365" s="36"/>
      <c r="F365" s="36"/>
      <c r="G365" s="36"/>
      <c r="H365" s="58"/>
      <c r="I365" s="58"/>
      <c r="J365" s="58"/>
      <c r="K365" s="58"/>
      <c r="L365" s="58"/>
      <c r="M365" s="58"/>
      <c r="N365" s="58"/>
      <c r="O365" s="36"/>
    </row>
    <row r="366" spans="1:15" x14ac:dyDescent="0.35">
      <c r="A366" s="36"/>
      <c r="B366" s="36"/>
      <c r="C366" s="36"/>
      <c r="D366" s="86" t="s">
        <v>453</v>
      </c>
      <c r="E366" s="36"/>
      <c r="F366" s="36"/>
      <c r="G366" s="36"/>
      <c r="H366" s="58"/>
      <c r="I366" s="58"/>
      <c r="J366" s="58"/>
      <c r="K366" s="58"/>
      <c r="L366" s="58"/>
      <c r="M366" s="58"/>
      <c r="N366" s="58"/>
      <c r="O366" s="36"/>
    </row>
    <row r="367" spans="1:15" x14ac:dyDescent="0.35">
      <c r="A367" s="36"/>
      <c r="B367" s="36"/>
      <c r="C367" s="36"/>
      <c r="D367" s="86" t="s">
        <v>454</v>
      </c>
      <c r="E367" s="36"/>
      <c r="F367" s="36"/>
      <c r="G367" s="36"/>
      <c r="H367" s="58"/>
      <c r="I367" s="58"/>
      <c r="J367" s="58"/>
      <c r="K367" s="58"/>
      <c r="L367" s="58"/>
      <c r="M367" s="58"/>
      <c r="N367" s="58"/>
      <c r="O367" s="36"/>
    </row>
    <row r="368" spans="1:15" x14ac:dyDescent="0.35">
      <c r="A368" s="36"/>
      <c r="B368" s="36"/>
      <c r="C368" s="36"/>
      <c r="D368" s="86"/>
      <c r="E368" s="36"/>
      <c r="F368" s="36"/>
      <c r="G368" s="36"/>
      <c r="H368" s="58"/>
      <c r="I368" s="58"/>
      <c r="J368" s="58"/>
      <c r="K368" s="58"/>
      <c r="L368" s="58"/>
      <c r="M368" s="58"/>
      <c r="N368" s="58"/>
      <c r="O368" s="36"/>
    </row>
    <row r="369" spans="1:15" x14ac:dyDescent="0.35">
      <c r="A369" s="98"/>
      <c r="B369" s="36"/>
      <c r="C369" s="36"/>
      <c r="D369" s="36"/>
      <c r="E369" s="92" t="s">
        <v>455</v>
      </c>
      <c r="F369" s="36"/>
      <c r="G369" s="92" t="s">
        <v>119</v>
      </c>
      <c r="H369" s="32">
        <v>0.10180722891566267</v>
      </c>
      <c r="I369" s="102" t="s">
        <v>120</v>
      </c>
      <c r="J369" s="106"/>
      <c r="K369" s="106"/>
      <c r="L369" s="106"/>
      <c r="M369" s="106"/>
      <c r="N369" s="58"/>
      <c r="O369" s="92" t="s">
        <v>456</v>
      </c>
    </row>
    <row r="370" spans="1:15" x14ac:dyDescent="0.35">
      <c r="A370" s="36"/>
      <c r="B370" s="36"/>
      <c r="C370" s="36"/>
      <c r="D370" s="36"/>
      <c r="E370" s="86"/>
      <c r="F370" s="36"/>
      <c r="G370" s="36"/>
      <c r="H370" s="58"/>
      <c r="I370" s="58"/>
      <c r="J370" s="58"/>
      <c r="K370" s="58"/>
      <c r="L370" s="58"/>
      <c r="M370" s="58"/>
      <c r="N370" s="58"/>
      <c r="O370" s="36"/>
    </row>
    <row r="371" spans="1:15" x14ac:dyDescent="0.35">
      <c r="A371" s="36"/>
      <c r="B371" s="36"/>
      <c r="C371" s="87" t="s">
        <v>457</v>
      </c>
      <c r="D371" s="87"/>
      <c r="E371" s="87"/>
      <c r="F371" s="87"/>
      <c r="G371" s="87"/>
      <c r="H371" s="88"/>
      <c r="I371" s="88"/>
      <c r="J371" s="88"/>
      <c r="K371" s="88"/>
      <c r="L371" s="88"/>
      <c r="M371" s="88"/>
      <c r="N371" s="88"/>
      <c r="O371" s="87"/>
    </row>
    <row r="372" spans="1:15" x14ac:dyDescent="0.35">
      <c r="A372" s="36"/>
      <c r="B372" s="36"/>
      <c r="C372" s="86"/>
      <c r="D372" s="86"/>
      <c r="E372" s="36"/>
      <c r="F372" s="36"/>
      <c r="G372" s="36"/>
      <c r="H372" s="58"/>
      <c r="I372" s="58"/>
      <c r="J372" s="58"/>
      <c r="K372" s="58"/>
      <c r="L372" s="58"/>
      <c r="M372" s="58"/>
      <c r="N372" s="58"/>
      <c r="O372" s="36"/>
    </row>
    <row r="373" spans="1:15" x14ac:dyDescent="0.35">
      <c r="A373" s="36"/>
      <c r="B373" s="36"/>
      <c r="C373" s="36"/>
      <c r="D373" s="86" t="s">
        <v>458</v>
      </c>
      <c r="E373" s="36"/>
      <c r="F373" s="36"/>
      <c r="G373" s="36"/>
      <c r="H373" s="58"/>
      <c r="I373" s="58"/>
      <c r="J373" s="58"/>
      <c r="K373" s="58"/>
      <c r="L373" s="58"/>
      <c r="M373" s="58"/>
      <c r="N373" s="58"/>
      <c r="O373" s="36"/>
    </row>
    <row r="374" spans="1:15" x14ac:dyDescent="0.35">
      <c r="A374" s="36"/>
      <c r="B374" s="36"/>
      <c r="C374" s="36"/>
      <c r="D374" s="86"/>
      <c r="E374" s="36"/>
      <c r="F374" s="36"/>
      <c r="G374" s="36"/>
      <c r="H374" s="58"/>
      <c r="I374" s="58"/>
      <c r="J374" s="58"/>
      <c r="K374" s="58"/>
      <c r="L374" s="58"/>
      <c r="M374" s="58"/>
      <c r="N374" s="58"/>
      <c r="O374" s="36"/>
    </row>
    <row r="375" spans="1:15" x14ac:dyDescent="0.35">
      <c r="A375" s="98"/>
      <c r="B375" s="36"/>
      <c r="C375" s="36"/>
      <c r="D375" s="86"/>
      <c r="E375" s="89" t="s">
        <v>459</v>
      </c>
      <c r="F375" s="36"/>
      <c r="G375" s="36"/>
      <c r="H375" s="58"/>
      <c r="I375" s="103" t="s">
        <v>120</v>
      </c>
      <c r="J375" s="58"/>
      <c r="K375" s="58"/>
      <c r="L375" s="58"/>
      <c r="M375" s="58"/>
      <c r="N375" s="58"/>
      <c r="O375" s="113" t="s">
        <v>460</v>
      </c>
    </row>
    <row r="376" spans="1:15" x14ac:dyDescent="0.35">
      <c r="A376" s="36"/>
      <c r="B376" s="36"/>
      <c r="C376" s="36"/>
      <c r="D376" s="36"/>
      <c r="E376" s="86"/>
      <c r="F376" s="90" t="s">
        <v>461</v>
      </c>
      <c r="G376" s="90" t="s">
        <v>337</v>
      </c>
      <c r="H376" s="33">
        <v>621978192.93916261</v>
      </c>
      <c r="I376" s="101"/>
      <c r="J376" s="101"/>
      <c r="K376" s="101"/>
      <c r="L376" s="101"/>
      <c r="M376" s="101"/>
      <c r="N376" s="58"/>
      <c r="O376" s="36"/>
    </row>
    <row r="377" spans="1:15" x14ac:dyDescent="0.35">
      <c r="A377" s="36"/>
      <c r="B377" s="36"/>
      <c r="C377" s="36"/>
      <c r="D377" s="36"/>
      <c r="E377" s="36"/>
      <c r="F377" s="92" t="s">
        <v>462</v>
      </c>
      <c r="G377" s="92" t="s">
        <v>337</v>
      </c>
      <c r="H377" s="34">
        <v>575800000</v>
      </c>
      <c r="I377" s="101"/>
      <c r="J377" s="101"/>
      <c r="K377" s="101"/>
      <c r="L377" s="101"/>
      <c r="M377" s="101"/>
      <c r="N377" s="58"/>
      <c r="O377" s="36"/>
    </row>
    <row r="378" spans="1:15" x14ac:dyDescent="0.35">
      <c r="A378" s="36"/>
      <c r="B378" s="36"/>
      <c r="C378" s="36"/>
      <c r="D378" s="36"/>
      <c r="E378" s="36"/>
      <c r="F378" s="94" t="s">
        <v>463</v>
      </c>
      <c r="G378" s="94" t="s">
        <v>337</v>
      </c>
      <c r="H378" s="35">
        <v>516157600</v>
      </c>
      <c r="I378" s="101"/>
      <c r="J378" s="101"/>
      <c r="K378" s="101"/>
      <c r="L378" s="101"/>
      <c r="M378" s="101"/>
      <c r="N378" s="58"/>
      <c r="O378" s="36"/>
    </row>
    <row r="379" spans="1:15" x14ac:dyDescent="0.35">
      <c r="A379" s="36"/>
      <c r="B379" s="36"/>
      <c r="C379" s="36"/>
      <c r="D379" s="36"/>
      <c r="E379" s="36"/>
      <c r="F379" s="36"/>
      <c r="G379" s="36"/>
      <c r="H379" s="58"/>
      <c r="I379" s="58"/>
      <c r="J379" s="58"/>
      <c r="K379" s="58"/>
      <c r="L379" s="58"/>
      <c r="M379" s="58"/>
      <c r="N379" s="58"/>
      <c r="O379" s="36"/>
    </row>
    <row r="380" spans="1:15" x14ac:dyDescent="0.35">
      <c r="A380" s="36"/>
      <c r="B380" s="36"/>
      <c r="C380" s="87" t="s">
        <v>464</v>
      </c>
      <c r="D380" s="87"/>
      <c r="E380" s="87"/>
      <c r="F380" s="87"/>
      <c r="G380" s="87"/>
      <c r="H380" s="88"/>
      <c r="I380" s="88"/>
      <c r="J380" s="88"/>
      <c r="K380" s="88"/>
      <c r="L380" s="88"/>
      <c r="M380" s="88"/>
      <c r="N380" s="88"/>
      <c r="O380" s="87"/>
    </row>
    <row r="381" spans="1:15" x14ac:dyDescent="0.35">
      <c r="A381" s="36"/>
      <c r="B381" s="36"/>
      <c r="C381" s="86"/>
      <c r="D381" s="86"/>
      <c r="E381" s="36"/>
      <c r="F381" s="36"/>
      <c r="G381" s="36"/>
      <c r="H381" s="58"/>
      <c r="I381" s="58"/>
      <c r="J381" s="58"/>
      <c r="K381" s="58"/>
      <c r="L381" s="58"/>
      <c r="M381" s="58"/>
      <c r="N381" s="58"/>
      <c r="O381" s="36"/>
    </row>
    <row r="382" spans="1:15" x14ac:dyDescent="0.35">
      <c r="A382" s="36"/>
      <c r="B382" s="36"/>
      <c r="C382" s="36"/>
      <c r="D382" s="86" t="s">
        <v>465</v>
      </c>
      <c r="E382" s="36"/>
      <c r="F382" s="36"/>
      <c r="G382" s="36"/>
      <c r="H382" s="58"/>
      <c r="I382" s="58"/>
      <c r="J382" s="58"/>
      <c r="K382" s="58"/>
      <c r="L382" s="58"/>
      <c r="M382" s="58"/>
      <c r="N382" s="58"/>
      <c r="O382" s="36"/>
    </row>
    <row r="383" spans="1:15" x14ac:dyDescent="0.35">
      <c r="A383" s="36"/>
      <c r="B383" s="36"/>
      <c r="C383" s="36"/>
      <c r="D383" s="86"/>
      <c r="E383" s="36"/>
      <c r="F383" s="36"/>
      <c r="G383" s="36"/>
      <c r="H383" s="58"/>
      <c r="I383" s="58"/>
      <c r="J383" s="58"/>
      <c r="K383" s="58"/>
      <c r="L383" s="58"/>
      <c r="M383" s="58"/>
      <c r="N383" s="58"/>
      <c r="O383" s="36"/>
    </row>
    <row r="384" spans="1:15" x14ac:dyDescent="0.35">
      <c r="A384" s="98"/>
      <c r="B384" s="36"/>
      <c r="C384" s="36"/>
      <c r="D384" s="36"/>
      <c r="E384" s="92" t="s">
        <v>466</v>
      </c>
      <c r="F384" s="36"/>
      <c r="G384" s="92" t="s">
        <v>434</v>
      </c>
      <c r="H384" s="34">
        <v>423806642</v>
      </c>
      <c r="I384" s="112" t="s">
        <v>120</v>
      </c>
      <c r="J384" s="101"/>
      <c r="K384" s="101"/>
      <c r="L384" s="101"/>
      <c r="M384" s="101"/>
      <c r="N384" s="58"/>
      <c r="O384" s="92" t="s">
        <v>467</v>
      </c>
    </row>
    <row r="385" spans="1:15" x14ac:dyDescent="0.35">
      <c r="A385" s="36"/>
      <c r="B385" s="36"/>
      <c r="C385" s="36"/>
      <c r="D385" s="36"/>
      <c r="E385" s="86"/>
      <c r="F385" s="36"/>
      <c r="G385" s="36"/>
      <c r="H385" s="58"/>
      <c r="I385" s="58"/>
      <c r="J385" s="58"/>
      <c r="K385" s="58"/>
      <c r="L385" s="58"/>
      <c r="M385" s="58"/>
      <c r="N385" s="58"/>
      <c r="O385" s="36"/>
    </row>
    <row r="386" spans="1:15" x14ac:dyDescent="0.35">
      <c r="A386" s="36"/>
      <c r="B386" s="36"/>
      <c r="C386" s="87" t="s">
        <v>468</v>
      </c>
      <c r="D386" s="87"/>
      <c r="E386" s="87"/>
      <c r="F386" s="87"/>
      <c r="G386" s="87"/>
      <c r="H386" s="88"/>
      <c r="I386" s="88"/>
      <c r="J386" s="88"/>
      <c r="K386" s="88"/>
      <c r="L386" s="88"/>
      <c r="M386" s="88"/>
      <c r="N386" s="88"/>
      <c r="O386" s="87"/>
    </row>
    <row r="387" spans="1:15" x14ac:dyDescent="0.35">
      <c r="A387" s="36"/>
      <c r="B387" s="36"/>
      <c r="C387" s="86"/>
      <c r="D387" s="86"/>
      <c r="E387" s="36"/>
      <c r="F387" s="36"/>
      <c r="G387" s="36"/>
      <c r="H387" s="58"/>
      <c r="I387" s="58"/>
      <c r="J387" s="58"/>
      <c r="K387" s="58"/>
      <c r="L387" s="58"/>
      <c r="M387" s="58"/>
      <c r="N387" s="58"/>
      <c r="O387" s="36"/>
    </row>
    <row r="388" spans="1:15" x14ac:dyDescent="0.35">
      <c r="A388" s="36"/>
      <c r="B388" s="36"/>
      <c r="C388" s="36"/>
      <c r="D388" s="86" t="s">
        <v>469</v>
      </c>
      <c r="E388" s="36"/>
      <c r="F388" s="36"/>
      <c r="G388" s="36"/>
      <c r="H388" s="58"/>
      <c r="I388" s="58"/>
      <c r="J388" s="58"/>
      <c r="K388" s="58"/>
      <c r="L388" s="58"/>
      <c r="M388" s="58"/>
      <c r="N388" s="58"/>
      <c r="O388" s="36"/>
    </row>
    <row r="389" spans="1:15" x14ac:dyDescent="0.35">
      <c r="A389" s="36"/>
      <c r="B389" s="36"/>
      <c r="C389" s="36"/>
      <c r="D389" s="86"/>
      <c r="E389" s="36"/>
      <c r="F389" s="36"/>
      <c r="G389" s="36"/>
      <c r="H389" s="58"/>
      <c r="I389" s="58"/>
      <c r="J389" s="58"/>
      <c r="K389" s="58"/>
      <c r="L389" s="58"/>
      <c r="M389" s="58"/>
      <c r="N389" s="58"/>
      <c r="O389" s="36"/>
    </row>
    <row r="390" spans="1:15" x14ac:dyDescent="0.35">
      <c r="A390" s="98"/>
      <c r="B390" s="36"/>
      <c r="C390" s="36"/>
      <c r="D390" s="36"/>
      <c r="E390" s="92" t="s">
        <v>470</v>
      </c>
      <c r="F390" s="36"/>
      <c r="G390" s="92" t="s">
        <v>434</v>
      </c>
      <c r="H390" s="34">
        <v>9975061</v>
      </c>
      <c r="I390" s="112" t="s">
        <v>120</v>
      </c>
      <c r="J390" s="101"/>
      <c r="K390" s="101"/>
      <c r="L390" s="101"/>
      <c r="M390" s="101"/>
      <c r="N390" s="58"/>
      <c r="O390" s="92" t="s">
        <v>467</v>
      </c>
    </row>
    <row r="391" spans="1:15" x14ac:dyDescent="0.35">
      <c r="A391" s="36"/>
      <c r="B391" s="36"/>
      <c r="C391" s="36"/>
      <c r="D391" s="36"/>
      <c r="E391" s="86"/>
      <c r="F391" s="36"/>
      <c r="G391" s="36"/>
      <c r="H391" s="58"/>
      <c r="I391" s="58"/>
      <c r="J391" s="58"/>
      <c r="K391" s="58"/>
      <c r="L391" s="58"/>
      <c r="M391" s="58"/>
      <c r="N391" s="58"/>
      <c r="O391" s="36"/>
    </row>
    <row r="392" spans="1:15" x14ac:dyDescent="0.35">
      <c r="A392" s="36"/>
      <c r="B392" s="36"/>
      <c r="C392" s="87" t="s">
        <v>471</v>
      </c>
      <c r="D392" s="87"/>
      <c r="E392" s="87"/>
      <c r="F392" s="87"/>
      <c r="G392" s="87"/>
      <c r="H392" s="88"/>
      <c r="I392" s="88"/>
      <c r="J392" s="88"/>
      <c r="K392" s="88"/>
      <c r="L392" s="88"/>
      <c r="M392" s="88"/>
      <c r="N392" s="88"/>
      <c r="O392" s="87"/>
    </row>
    <row r="393" spans="1:15" x14ac:dyDescent="0.35">
      <c r="A393" s="36"/>
      <c r="B393" s="36"/>
      <c r="C393" s="86"/>
      <c r="D393" s="86"/>
      <c r="E393" s="36"/>
      <c r="F393" s="36"/>
      <c r="G393" s="36"/>
      <c r="H393" s="58"/>
      <c r="I393" s="58"/>
      <c r="J393" s="58"/>
      <c r="K393" s="58"/>
      <c r="L393" s="58"/>
      <c r="M393" s="58"/>
      <c r="N393" s="58"/>
      <c r="O393" s="36"/>
    </row>
    <row r="394" spans="1:15" x14ac:dyDescent="0.35">
      <c r="A394" s="36"/>
      <c r="B394" s="36"/>
      <c r="C394" s="36"/>
      <c r="D394" s="86" t="s">
        <v>472</v>
      </c>
      <c r="E394" s="36"/>
      <c r="F394" s="36"/>
      <c r="G394" s="36"/>
      <c r="H394" s="58"/>
      <c r="I394" s="58"/>
      <c r="J394" s="58"/>
      <c r="K394" s="58"/>
      <c r="L394" s="58"/>
      <c r="M394" s="58"/>
      <c r="N394" s="58"/>
      <c r="O394" s="36"/>
    </row>
    <row r="395" spans="1:15" x14ac:dyDescent="0.35">
      <c r="A395" s="36"/>
      <c r="B395" s="36"/>
      <c r="C395" s="36"/>
      <c r="D395" s="86" t="s">
        <v>473</v>
      </c>
      <c r="E395" s="36"/>
      <c r="F395" s="36"/>
      <c r="G395" s="36"/>
      <c r="H395" s="58"/>
      <c r="I395" s="58"/>
      <c r="J395" s="58"/>
      <c r="K395" s="58"/>
      <c r="L395" s="58"/>
      <c r="M395" s="58"/>
      <c r="N395" s="58"/>
      <c r="O395" s="36"/>
    </row>
    <row r="396" spans="1:15" x14ac:dyDescent="0.35">
      <c r="A396" s="36"/>
      <c r="B396" s="36"/>
      <c r="C396" s="36"/>
      <c r="D396" s="86"/>
      <c r="E396" s="36"/>
      <c r="F396" s="36"/>
      <c r="G396" s="36"/>
      <c r="H396" s="58"/>
      <c r="I396" s="58"/>
      <c r="J396" s="58"/>
      <c r="K396" s="58"/>
      <c r="L396" s="58"/>
      <c r="M396" s="58"/>
      <c r="N396" s="58"/>
      <c r="O396" s="36"/>
    </row>
    <row r="397" spans="1:15" x14ac:dyDescent="0.35">
      <c r="A397" s="98"/>
      <c r="B397" s="36"/>
      <c r="C397" s="36"/>
      <c r="D397" s="36"/>
      <c r="E397" s="92" t="s">
        <v>474</v>
      </c>
      <c r="F397" s="36"/>
      <c r="G397" s="92" t="s">
        <v>434</v>
      </c>
      <c r="H397" s="34">
        <v>16900000</v>
      </c>
      <c r="I397" s="112" t="s">
        <v>120</v>
      </c>
      <c r="J397" s="101"/>
      <c r="K397" s="101"/>
      <c r="L397" s="101"/>
      <c r="M397" s="101"/>
      <c r="N397" s="58"/>
      <c r="O397" s="92" t="s">
        <v>475</v>
      </c>
    </row>
    <row r="398" spans="1:15" x14ac:dyDescent="0.35">
      <c r="A398" s="36"/>
      <c r="B398" s="36"/>
      <c r="C398" s="36"/>
      <c r="D398" s="36"/>
      <c r="E398" s="86"/>
      <c r="F398" s="36"/>
      <c r="G398" s="36"/>
      <c r="H398" s="58"/>
      <c r="I398" s="58"/>
      <c r="J398" s="58"/>
      <c r="K398" s="58"/>
      <c r="L398" s="58"/>
      <c r="M398" s="58"/>
      <c r="N398" s="58"/>
      <c r="O398" s="36"/>
    </row>
    <row r="399" spans="1:15" x14ac:dyDescent="0.35">
      <c r="A399" s="36"/>
      <c r="B399" s="36"/>
      <c r="C399" s="87" t="s">
        <v>476</v>
      </c>
      <c r="D399" s="87"/>
      <c r="E399" s="87"/>
      <c r="F399" s="87"/>
      <c r="G399" s="87"/>
      <c r="H399" s="88"/>
      <c r="I399" s="88"/>
      <c r="J399" s="88"/>
      <c r="K399" s="88"/>
      <c r="L399" s="88"/>
      <c r="M399" s="88"/>
      <c r="N399" s="88"/>
      <c r="O399" s="87"/>
    </row>
    <row r="400" spans="1:15" x14ac:dyDescent="0.35">
      <c r="A400" s="36"/>
      <c r="B400" s="36"/>
      <c r="C400" s="86"/>
      <c r="D400" s="86"/>
      <c r="E400" s="36"/>
      <c r="F400" s="36"/>
      <c r="G400" s="36"/>
      <c r="H400" s="58"/>
      <c r="I400" s="58"/>
      <c r="J400" s="58"/>
      <c r="K400" s="58"/>
      <c r="L400" s="58"/>
      <c r="M400" s="58"/>
      <c r="N400" s="58"/>
      <c r="O400" s="36"/>
    </row>
    <row r="401" spans="1:15" x14ac:dyDescent="0.35">
      <c r="A401" s="36"/>
      <c r="B401" s="36"/>
      <c r="C401" s="36"/>
      <c r="D401" s="86" t="s">
        <v>477</v>
      </c>
      <c r="E401" s="36"/>
      <c r="F401" s="36"/>
      <c r="G401" s="36"/>
      <c r="H401" s="58"/>
      <c r="I401" s="58"/>
      <c r="J401" s="58"/>
      <c r="K401" s="58"/>
      <c r="L401" s="58"/>
      <c r="M401" s="58"/>
      <c r="N401" s="58"/>
      <c r="O401" s="36"/>
    </row>
    <row r="402" spans="1:15" x14ac:dyDescent="0.35">
      <c r="A402" s="36"/>
      <c r="B402" s="36"/>
      <c r="C402" s="36"/>
      <c r="D402" s="86"/>
      <c r="E402" s="36"/>
      <c r="F402" s="36"/>
      <c r="G402" s="36"/>
      <c r="H402" s="58"/>
      <c r="I402" s="58"/>
      <c r="J402" s="58"/>
      <c r="K402" s="58"/>
      <c r="L402" s="58"/>
      <c r="M402" s="58"/>
      <c r="N402" s="58"/>
      <c r="O402" s="36"/>
    </row>
    <row r="403" spans="1:15" x14ac:dyDescent="0.35">
      <c r="A403" s="98"/>
      <c r="B403" s="36"/>
      <c r="C403" s="36"/>
      <c r="D403" s="86"/>
      <c r="E403" s="89" t="s">
        <v>478</v>
      </c>
      <c r="F403" s="36"/>
      <c r="G403" s="36"/>
      <c r="H403" s="58"/>
      <c r="I403" s="103" t="s">
        <v>120</v>
      </c>
      <c r="J403" s="58"/>
      <c r="K403" s="58"/>
      <c r="L403" s="58"/>
      <c r="M403" s="58"/>
      <c r="N403" s="58"/>
      <c r="O403" s="92" t="s">
        <v>479</v>
      </c>
    </row>
    <row r="404" spans="1:15" x14ac:dyDescent="0.35">
      <c r="A404" s="36"/>
      <c r="B404" s="36"/>
      <c r="C404" s="36"/>
      <c r="D404" s="36"/>
      <c r="E404" s="86"/>
      <c r="F404" s="90" t="s">
        <v>201</v>
      </c>
      <c r="G404" s="90" t="s">
        <v>480</v>
      </c>
      <c r="H404" s="33">
        <v>3263</v>
      </c>
      <c r="I404" s="101"/>
      <c r="J404" s="101"/>
      <c r="K404" s="101"/>
      <c r="L404" s="101"/>
      <c r="M404" s="101"/>
      <c r="N404" s="58"/>
      <c r="O404" s="36"/>
    </row>
    <row r="405" spans="1:15" x14ac:dyDescent="0.35">
      <c r="A405" s="36"/>
      <c r="B405" s="36"/>
      <c r="C405" s="36"/>
      <c r="D405" s="36"/>
      <c r="E405" s="36"/>
      <c r="F405" s="92" t="s">
        <v>199</v>
      </c>
      <c r="G405" s="92" t="s">
        <v>480</v>
      </c>
      <c r="H405" s="34">
        <v>6511</v>
      </c>
      <c r="I405" s="101"/>
      <c r="J405" s="101"/>
      <c r="K405" s="101"/>
      <c r="L405" s="101"/>
      <c r="M405" s="101"/>
      <c r="N405" s="58"/>
      <c r="O405" s="36"/>
    </row>
    <row r="406" spans="1:15" x14ac:dyDescent="0.35">
      <c r="A406" s="36"/>
      <c r="B406" s="36"/>
      <c r="C406" s="36"/>
      <c r="D406" s="36"/>
      <c r="E406" s="36"/>
      <c r="F406" s="94" t="s">
        <v>303</v>
      </c>
      <c r="G406" s="94" t="s">
        <v>480</v>
      </c>
      <c r="H406" s="35">
        <v>24475</v>
      </c>
      <c r="I406" s="101"/>
      <c r="J406" s="101"/>
      <c r="K406" s="101"/>
      <c r="L406" s="101"/>
      <c r="M406" s="101"/>
      <c r="N406" s="58"/>
      <c r="O406" s="36"/>
    </row>
    <row r="407" spans="1:15" x14ac:dyDescent="0.35">
      <c r="A407" s="36"/>
      <c r="B407" s="36"/>
      <c r="C407" s="36"/>
      <c r="D407" s="36"/>
      <c r="E407" s="36"/>
      <c r="F407" s="36"/>
      <c r="G407" s="36"/>
      <c r="H407" s="58"/>
      <c r="I407" s="58"/>
      <c r="J407" s="58"/>
      <c r="K407" s="58"/>
      <c r="L407" s="58"/>
      <c r="M407" s="58"/>
      <c r="N407" s="58"/>
      <c r="O407" s="36"/>
    </row>
    <row r="408" spans="1:15" x14ac:dyDescent="0.35">
      <c r="A408" s="36"/>
      <c r="B408" s="36"/>
      <c r="C408" s="87" t="s">
        <v>481</v>
      </c>
      <c r="D408" s="87"/>
      <c r="E408" s="87"/>
      <c r="F408" s="87"/>
      <c r="G408" s="87"/>
      <c r="H408" s="88"/>
      <c r="I408" s="88"/>
      <c r="J408" s="88"/>
      <c r="K408" s="88"/>
      <c r="L408" s="88"/>
      <c r="M408" s="88"/>
      <c r="N408" s="88"/>
      <c r="O408" s="87"/>
    </row>
    <row r="409" spans="1:15" x14ac:dyDescent="0.35">
      <c r="A409" s="36"/>
      <c r="B409" s="36"/>
      <c r="C409" s="86"/>
      <c r="D409" s="86"/>
      <c r="E409" s="36"/>
      <c r="F409" s="36"/>
      <c r="G409" s="36"/>
      <c r="H409" s="58"/>
      <c r="I409" s="58"/>
      <c r="J409" s="58"/>
      <c r="K409" s="58"/>
      <c r="L409" s="58"/>
      <c r="M409" s="58"/>
      <c r="N409" s="58"/>
      <c r="O409" s="36"/>
    </row>
    <row r="410" spans="1:15" x14ac:dyDescent="0.35">
      <c r="A410" s="36"/>
      <c r="B410" s="36"/>
      <c r="C410" s="36"/>
      <c r="D410" s="86" t="s">
        <v>482</v>
      </c>
      <c r="E410" s="36"/>
      <c r="F410" s="36"/>
      <c r="G410" s="36"/>
      <c r="H410" s="58"/>
      <c r="I410" s="58"/>
      <c r="J410" s="58"/>
      <c r="K410" s="58"/>
      <c r="L410" s="58"/>
      <c r="M410" s="58"/>
      <c r="N410" s="58"/>
      <c r="O410" s="36"/>
    </row>
    <row r="411" spans="1:15" x14ac:dyDescent="0.35">
      <c r="A411" s="36"/>
      <c r="B411" s="36"/>
      <c r="C411" s="36"/>
      <c r="D411" s="86"/>
      <c r="E411" s="36"/>
      <c r="F411" s="36"/>
      <c r="G411" s="36"/>
      <c r="H411" s="58"/>
      <c r="I411" s="58"/>
      <c r="J411" s="58"/>
      <c r="K411" s="58"/>
      <c r="L411" s="58"/>
      <c r="M411" s="58"/>
      <c r="N411" s="58"/>
      <c r="O411" s="36"/>
    </row>
    <row r="412" spans="1:15" x14ac:dyDescent="0.35">
      <c r="A412" s="36"/>
      <c r="B412" s="36"/>
      <c r="C412" s="36"/>
      <c r="D412" s="36"/>
      <c r="E412" s="92" t="s">
        <v>483</v>
      </c>
      <c r="F412" s="36"/>
      <c r="G412" s="92" t="s">
        <v>480</v>
      </c>
      <c r="H412" s="34">
        <v>2245</v>
      </c>
      <c r="I412" s="112" t="s">
        <v>120</v>
      </c>
      <c r="J412" s="101"/>
      <c r="K412" s="101"/>
      <c r="L412" s="101"/>
      <c r="M412" s="101"/>
      <c r="N412" s="58"/>
      <c r="O412" s="116" t="s">
        <v>302</v>
      </c>
    </row>
    <row r="413" spans="1:15" x14ac:dyDescent="0.35">
      <c r="A413" s="36"/>
      <c r="B413" s="36"/>
      <c r="C413" s="36"/>
      <c r="D413" s="36"/>
      <c r="E413" s="86"/>
      <c r="F413" s="36"/>
      <c r="G413" s="36"/>
      <c r="H413" s="58"/>
      <c r="I413" s="58"/>
      <c r="J413" s="58"/>
      <c r="K413" s="58"/>
      <c r="L413" s="58"/>
      <c r="M413" s="58"/>
      <c r="N413" s="58"/>
      <c r="O413" s="36"/>
    </row>
    <row r="414" spans="1:15" x14ac:dyDescent="0.35">
      <c r="A414" s="36"/>
      <c r="B414" s="84" t="s">
        <v>87</v>
      </c>
      <c r="C414" s="84"/>
      <c r="D414" s="84"/>
      <c r="E414" s="84"/>
      <c r="F414" s="84"/>
      <c r="G414" s="84"/>
      <c r="H414" s="85"/>
      <c r="I414" s="85"/>
      <c r="J414" s="85"/>
      <c r="K414" s="85"/>
      <c r="L414" s="85"/>
      <c r="M414" s="85"/>
      <c r="N414" s="85"/>
      <c r="O414" s="84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69" xr:uid="{00000000-0002-0000-0600-000000000000}"/>
    <dataValidation type="decimal" operator="lessThanOrEqual" allowBlank="1" showInputMessage="1" showErrorMessage="1" errorTitle="HV split" error="Input value less than or equal to 100%" promptTitle="HV split" prompt="Maximum value 100%" sqref="H26" xr:uid="{00000000-0002-0000-0600-000001000000}">
      <formula1>1</formula1>
    </dataValidation>
    <dataValidation type="decimal" operator="greaterThanOrEqual" allowBlank="1" showInputMessage="1" showErrorMessage="1" errorTitle="LV mains split" error="Insert value greater than or equal to 0%" promptTitle="LV mains split" prompt="Minimum value 0%" sqref="H19" xr:uid="{00000000-0002-0000-0600-000002000000}">
      <formula1>0</formula1>
    </dataValidation>
  </dataValidations>
  <hyperlinks>
    <hyperlink ref="B5" location="'Model map'!A1" display="Click here to return to model map" xr:uid="{54230775-1DED-428A-BD77-BDA021C120E6}"/>
    <hyperlink ref="B5:H5" location="'Model map'!A4" tooltip="Click to return to model map" display="'Model map'!A4" xr:uid="{6BFCA5C2-C81D-4D10-8FFD-1F7BBB97D594}"/>
    <hyperlink ref="B5:F5" location="'Model map'!A4" tooltip="Click to return to model map" display="'Model map'!A4" xr:uid="{E237DDEB-2241-407A-BA72-D057CB0EDFC4}"/>
    <hyperlink ref="A1" location="Index!A1" display="Index!A1" xr:uid="{370BE60C-D9DF-4506-8735-A43CFEC10A8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4" tint="0.59999389629810485"/>
  </sheetPr>
  <dimension ref="A1:CS14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94" width="20.7265625" customWidth="1"/>
    <col min="95" max="95" width="2.7265625" customWidth="1"/>
    <col min="96" max="96" width="40.7265625" customWidth="1"/>
    <col min="97" max="97" width="2.7265625" customWidth="1"/>
    <col min="98" max="16384" width="9.1796875" hidden="1"/>
  </cols>
  <sheetData>
    <row r="1" spans="1:97" x14ac:dyDescent="0.35">
      <c r="A1" s="74" t="str">
        <f ca="1">MID(CELL("filename",A1),FIND("]",CELL("filename",A1))+1,255)</f>
        <v>MEAV</v>
      </c>
      <c r="B1" s="74"/>
      <c r="C1" s="74"/>
      <c r="D1" s="74"/>
      <c r="E1" s="74"/>
      <c r="F1" s="74"/>
      <c r="G1" s="74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5"/>
      <c r="CQ1" s="75"/>
      <c r="CR1" s="74"/>
      <c r="CS1" s="2"/>
    </row>
    <row r="2" spans="1:97" x14ac:dyDescent="0.35">
      <c r="A2" s="74" t="str">
        <f>Cover!D21&amp;" - "&amp;Cover!D23</f>
        <v>Southern Electric Power Distribution - Final</v>
      </c>
      <c r="B2" s="74"/>
      <c r="C2" s="74"/>
      <c r="D2" s="74"/>
      <c r="E2" s="74"/>
      <c r="F2" s="74"/>
      <c r="G2" s="74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5"/>
      <c r="BY2" s="75"/>
      <c r="BZ2" s="75"/>
      <c r="CA2" s="75"/>
      <c r="CB2" s="75"/>
      <c r="CC2" s="75"/>
      <c r="CD2" s="75"/>
      <c r="CE2" s="75"/>
      <c r="CF2" s="75"/>
      <c r="CG2" s="75"/>
      <c r="CH2" s="75"/>
      <c r="CI2" s="75"/>
      <c r="CJ2" s="75"/>
      <c r="CK2" s="75"/>
      <c r="CL2" s="75"/>
      <c r="CM2" s="75"/>
      <c r="CN2" s="75"/>
      <c r="CO2" s="75"/>
      <c r="CP2" s="75"/>
      <c r="CQ2" s="75"/>
      <c r="CR2" s="74"/>
      <c r="CS2" s="2"/>
    </row>
    <row r="3" spans="1:97" x14ac:dyDescent="0.35">
      <c r="A3" s="76" t="str">
        <f>Cover!D2&amp;" - "&amp;Cover!D8&amp;" v"&amp;Cover!D10&amp;" - "&amp;Cover!D19</f>
        <v>PCDM charging model - Release for charge setting v5 - 2024/25</v>
      </c>
      <c r="B3" s="77"/>
      <c r="C3" s="77"/>
      <c r="D3" s="77"/>
      <c r="E3" s="77"/>
      <c r="F3" s="77"/>
      <c r="G3" s="77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7"/>
      <c r="CS3" s="3"/>
    </row>
    <row r="4" spans="1:97" x14ac:dyDescent="0.35">
      <c r="A4" s="57" t="str">
        <f>H147 &amp; IF(H147 = 1, " issue", " issues") &amp;" identified in checks on this sheet"</f>
        <v>0 issues identified in checks on this sheet</v>
      </c>
      <c r="B4" s="36"/>
      <c r="C4" s="36"/>
      <c r="D4" s="36"/>
      <c r="E4" s="36"/>
      <c r="F4" s="36"/>
      <c r="G4" s="36"/>
      <c r="H4" s="58"/>
      <c r="I4" s="58"/>
      <c r="J4" s="36"/>
    </row>
    <row r="5" spans="1:97" ht="43.5" x14ac:dyDescent="0.35">
      <c r="A5" s="36"/>
      <c r="B5" s="79" t="s">
        <v>104</v>
      </c>
      <c r="C5" s="42"/>
      <c r="D5" s="42"/>
      <c r="E5" s="42"/>
      <c r="F5" s="42"/>
      <c r="G5" s="80" t="s">
        <v>105</v>
      </c>
      <c r="H5" s="100" t="s">
        <v>106</v>
      </c>
      <c r="I5" s="58"/>
      <c r="J5" s="81" t="s">
        <v>204</v>
      </c>
      <c r="K5" s="81" t="s">
        <v>205</v>
      </c>
      <c r="L5" s="81" t="s">
        <v>206</v>
      </c>
      <c r="M5" s="81" t="s">
        <v>207</v>
      </c>
      <c r="N5" s="81" t="s">
        <v>208</v>
      </c>
      <c r="O5" s="81" t="s">
        <v>209</v>
      </c>
      <c r="P5" s="81" t="s">
        <v>210</v>
      </c>
      <c r="Q5" s="81" t="s">
        <v>211</v>
      </c>
      <c r="R5" s="81" t="s">
        <v>212</v>
      </c>
      <c r="S5" s="81" t="s">
        <v>213</v>
      </c>
      <c r="T5" s="81" t="s">
        <v>214</v>
      </c>
      <c r="U5" s="81" t="s">
        <v>215</v>
      </c>
      <c r="V5" s="81" t="s">
        <v>216</v>
      </c>
      <c r="W5" s="81" t="s">
        <v>217</v>
      </c>
      <c r="X5" s="81" t="s">
        <v>218</v>
      </c>
      <c r="Y5" s="81" t="s">
        <v>219</v>
      </c>
      <c r="Z5" s="81" t="s">
        <v>220</v>
      </c>
      <c r="AA5" s="81" t="s">
        <v>221</v>
      </c>
      <c r="AB5" s="81" t="s">
        <v>222</v>
      </c>
      <c r="AC5" s="81" t="s">
        <v>223</v>
      </c>
      <c r="AD5" s="81" t="s">
        <v>224</v>
      </c>
      <c r="AE5" s="81" t="s">
        <v>225</v>
      </c>
      <c r="AF5" s="81" t="s">
        <v>226</v>
      </c>
      <c r="AG5" s="81" t="s">
        <v>227</v>
      </c>
      <c r="AH5" s="81" t="s">
        <v>228</v>
      </c>
      <c r="AI5" s="81" t="s">
        <v>229</v>
      </c>
      <c r="AJ5" s="81" t="s">
        <v>230</v>
      </c>
      <c r="AK5" s="81" t="s">
        <v>231</v>
      </c>
      <c r="AL5" s="81" t="s">
        <v>232</v>
      </c>
      <c r="AM5" s="81" t="s">
        <v>233</v>
      </c>
      <c r="AN5" s="81" t="s">
        <v>234</v>
      </c>
      <c r="AO5" s="81" t="s">
        <v>235</v>
      </c>
      <c r="AP5" s="81" t="s">
        <v>236</v>
      </c>
      <c r="AQ5" s="81" t="s">
        <v>237</v>
      </c>
      <c r="AR5" s="81" t="s">
        <v>238</v>
      </c>
      <c r="AS5" s="81" t="s">
        <v>239</v>
      </c>
      <c r="AT5" s="81" t="s">
        <v>240</v>
      </c>
      <c r="AU5" s="81" t="s">
        <v>241</v>
      </c>
      <c r="AV5" s="81" t="s">
        <v>242</v>
      </c>
      <c r="AW5" s="81" t="s">
        <v>243</v>
      </c>
      <c r="AX5" s="81" t="s">
        <v>244</v>
      </c>
      <c r="AY5" s="81" t="s">
        <v>245</v>
      </c>
      <c r="AZ5" s="81" t="s">
        <v>246</v>
      </c>
      <c r="BA5" s="81" t="s">
        <v>247</v>
      </c>
      <c r="BB5" s="81" t="s">
        <v>248</v>
      </c>
      <c r="BC5" s="81" t="s">
        <v>249</v>
      </c>
      <c r="BD5" s="81" t="s">
        <v>250</v>
      </c>
      <c r="BE5" s="81" t="s">
        <v>251</v>
      </c>
      <c r="BF5" s="81" t="s">
        <v>252</v>
      </c>
      <c r="BG5" s="81" t="s">
        <v>253</v>
      </c>
      <c r="BH5" s="81" t="s">
        <v>254</v>
      </c>
      <c r="BI5" s="81" t="s">
        <v>255</v>
      </c>
      <c r="BJ5" s="81" t="s">
        <v>256</v>
      </c>
      <c r="BK5" s="81" t="s">
        <v>257</v>
      </c>
      <c r="BL5" s="81" t="s">
        <v>258</v>
      </c>
      <c r="BM5" s="81" t="s">
        <v>259</v>
      </c>
      <c r="BN5" s="81" t="s">
        <v>260</v>
      </c>
      <c r="BO5" s="81" t="s">
        <v>261</v>
      </c>
      <c r="BP5" s="81" t="s">
        <v>262</v>
      </c>
      <c r="BQ5" s="81" t="s">
        <v>263</v>
      </c>
      <c r="BR5" s="81" t="s">
        <v>264</v>
      </c>
      <c r="BS5" s="81" t="s">
        <v>265</v>
      </c>
      <c r="BT5" s="81" t="s">
        <v>266</v>
      </c>
      <c r="BU5" s="81" t="s">
        <v>267</v>
      </c>
      <c r="BV5" s="81" t="s">
        <v>268</v>
      </c>
      <c r="BW5" s="81" t="s">
        <v>269</v>
      </c>
      <c r="BX5" s="81" t="s">
        <v>270</v>
      </c>
      <c r="BY5" s="81" t="s">
        <v>271</v>
      </c>
      <c r="BZ5" s="81" t="s">
        <v>272</v>
      </c>
      <c r="CA5" s="81" t="s">
        <v>273</v>
      </c>
      <c r="CB5" s="81" t="s">
        <v>274</v>
      </c>
      <c r="CC5" s="81" t="s">
        <v>275</v>
      </c>
      <c r="CD5" s="81" t="s">
        <v>276</v>
      </c>
      <c r="CE5" s="81" t="s">
        <v>277</v>
      </c>
      <c r="CF5" s="81" t="s">
        <v>278</v>
      </c>
      <c r="CG5" s="81" t="s">
        <v>279</v>
      </c>
      <c r="CH5" s="81" t="s">
        <v>280</v>
      </c>
      <c r="CI5" s="81" t="s">
        <v>281</v>
      </c>
      <c r="CJ5" s="81" t="s">
        <v>282</v>
      </c>
      <c r="CK5" s="81" t="s">
        <v>283</v>
      </c>
      <c r="CL5" s="81" t="s">
        <v>284</v>
      </c>
      <c r="CM5" s="81" t="s">
        <v>285</v>
      </c>
      <c r="CN5" s="81" t="s">
        <v>286</v>
      </c>
      <c r="CO5" s="81" t="s">
        <v>287</v>
      </c>
      <c r="CP5" s="81" t="s">
        <v>288</v>
      </c>
      <c r="CQ5" s="58"/>
      <c r="CR5" s="80" t="s">
        <v>107</v>
      </c>
    </row>
    <row r="6" spans="1:97" x14ac:dyDescent="0.35">
      <c r="A6" s="36"/>
      <c r="B6" s="36"/>
      <c r="C6" s="36"/>
      <c r="D6" s="36"/>
      <c r="E6" s="36"/>
      <c r="F6" s="36"/>
      <c r="G6" s="36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36"/>
    </row>
    <row r="7" spans="1:97" x14ac:dyDescent="0.35">
      <c r="A7" s="36"/>
      <c r="B7" s="84" t="s">
        <v>13</v>
      </c>
      <c r="C7" s="84"/>
      <c r="D7" s="84"/>
      <c r="E7" s="84"/>
      <c r="F7" s="84"/>
      <c r="G7" s="84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4"/>
    </row>
    <row r="8" spans="1:97" x14ac:dyDescent="0.35">
      <c r="A8" s="36"/>
      <c r="B8" s="36"/>
      <c r="C8" s="36"/>
      <c r="D8" s="36"/>
      <c r="E8" s="36"/>
      <c r="F8" s="36"/>
      <c r="G8" s="36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36"/>
    </row>
    <row r="9" spans="1:97" x14ac:dyDescent="0.35">
      <c r="A9" s="36"/>
      <c r="B9" s="36"/>
      <c r="C9" s="86" t="s">
        <v>484</v>
      </c>
      <c r="D9" s="86"/>
      <c r="E9" s="36"/>
      <c r="F9" s="36"/>
      <c r="G9" s="36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36"/>
    </row>
    <row r="10" spans="1:97" x14ac:dyDescent="0.35">
      <c r="A10" s="36"/>
      <c r="B10" s="36"/>
      <c r="C10" s="86" t="s">
        <v>485</v>
      </c>
      <c r="D10" s="86"/>
      <c r="E10" s="36"/>
      <c r="F10" s="36"/>
      <c r="G10" s="36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36"/>
    </row>
    <row r="11" spans="1:97" x14ac:dyDescent="0.35">
      <c r="A11" s="36"/>
      <c r="B11" s="36"/>
      <c r="C11" s="86" t="s">
        <v>486</v>
      </c>
      <c r="D11" s="86"/>
      <c r="E11" s="36"/>
      <c r="F11" s="36"/>
      <c r="G11" s="36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36"/>
    </row>
    <row r="12" spans="1:97" x14ac:dyDescent="0.35">
      <c r="A12" s="36"/>
      <c r="B12" s="36"/>
      <c r="C12" s="86"/>
      <c r="D12" s="86"/>
      <c r="E12" s="36"/>
      <c r="F12" s="36"/>
      <c r="G12" s="36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36"/>
    </row>
    <row r="13" spans="1:97" x14ac:dyDescent="0.35">
      <c r="A13" s="36"/>
      <c r="B13" s="84" t="s">
        <v>72</v>
      </c>
      <c r="C13" s="84"/>
      <c r="D13" s="84"/>
      <c r="E13" s="84"/>
      <c r="F13" s="84"/>
      <c r="G13" s="84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4"/>
    </row>
    <row r="14" spans="1:97" x14ac:dyDescent="0.35">
      <c r="A14" s="36"/>
      <c r="B14" s="36"/>
      <c r="C14" s="36"/>
      <c r="D14" s="36"/>
      <c r="E14" s="36"/>
      <c r="F14" s="36"/>
      <c r="G14" s="36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36"/>
    </row>
    <row r="15" spans="1:97" x14ac:dyDescent="0.35">
      <c r="A15" s="36"/>
      <c r="B15" s="36"/>
      <c r="C15" s="86" t="s">
        <v>487</v>
      </c>
      <c r="D15" s="86"/>
      <c r="E15" s="36"/>
      <c r="F15" s="36"/>
      <c r="G15" s="36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36"/>
    </row>
    <row r="16" spans="1:97" x14ac:dyDescent="0.35">
      <c r="A16" s="36"/>
      <c r="B16" s="36"/>
      <c r="C16" s="86" t="s">
        <v>488</v>
      </c>
      <c r="D16" s="86"/>
      <c r="E16" s="36"/>
      <c r="F16" s="36"/>
      <c r="G16" s="36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36"/>
    </row>
    <row r="17" spans="1:96" x14ac:dyDescent="0.35">
      <c r="A17" s="36"/>
      <c r="B17" s="36"/>
      <c r="C17" s="86"/>
      <c r="D17" s="86"/>
      <c r="E17" s="36"/>
      <c r="F17" s="36"/>
      <c r="G17" s="36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36"/>
    </row>
    <row r="18" spans="1:96" x14ac:dyDescent="0.35">
      <c r="A18" s="36"/>
      <c r="B18" s="36"/>
      <c r="C18" s="87" t="s">
        <v>489</v>
      </c>
      <c r="D18" s="87"/>
      <c r="E18" s="87"/>
      <c r="F18" s="87"/>
      <c r="G18" s="87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7"/>
    </row>
    <row r="19" spans="1:96" x14ac:dyDescent="0.35">
      <c r="A19" s="36"/>
      <c r="B19" s="36"/>
      <c r="C19" s="86"/>
      <c r="D19" s="86"/>
      <c r="E19" s="36"/>
      <c r="F19" s="36"/>
      <c r="G19" s="36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36"/>
    </row>
    <row r="20" spans="1:96" x14ac:dyDescent="0.35">
      <c r="A20" s="36"/>
      <c r="B20" s="36"/>
      <c r="C20" s="36"/>
      <c r="D20" s="86"/>
      <c r="E20" s="92" t="str">
        <f>'DNO inputs'!E79</f>
        <v>MEAV asset count (km if noted), by asset type</v>
      </c>
      <c r="F20" s="36"/>
      <c r="G20" s="92" t="str">
        <f>'DNO inputs'!G80</f>
        <v>units</v>
      </c>
      <c r="H20" s="101"/>
      <c r="I20" s="101"/>
      <c r="J20" s="119">
        <f>'DNO inputs'!H80</f>
        <v>8193</v>
      </c>
      <c r="K20" s="119">
        <f>'DNO inputs'!H81</f>
        <v>287818</v>
      </c>
      <c r="L20" s="119">
        <f>'DNO inputs'!H82</f>
        <v>216917</v>
      </c>
      <c r="M20" s="119">
        <f>'DNO inputs'!H83</f>
        <v>5049</v>
      </c>
      <c r="N20" s="119">
        <f>'DNO inputs'!H84</f>
        <v>5499</v>
      </c>
      <c r="O20" s="119">
        <f>'DNO inputs'!H85</f>
        <v>18486</v>
      </c>
      <c r="P20" s="119">
        <f>'DNO inputs'!H86</f>
        <v>2637830</v>
      </c>
      <c r="Q20" s="119">
        <f>'DNO inputs'!H87</f>
        <v>0</v>
      </c>
      <c r="R20" s="119">
        <f>'DNO inputs'!H88</f>
        <v>30843</v>
      </c>
      <c r="S20" s="119">
        <f>'DNO inputs'!H89</f>
        <v>0</v>
      </c>
      <c r="T20" s="119">
        <f>'DNO inputs'!H90</f>
        <v>32013</v>
      </c>
      <c r="U20" s="119">
        <f>'DNO inputs'!H91</f>
        <v>29588</v>
      </c>
      <c r="V20" s="119">
        <f>'DNO inputs'!H92</f>
        <v>0</v>
      </c>
      <c r="W20" s="119">
        <f>'DNO inputs'!H93</f>
        <v>9616</v>
      </c>
      <c r="X20" s="119">
        <f>'DNO inputs'!H94</f>
        <v>3395</v>
      </c>
      <c r="Y20" s="119">
        <f>'DNO inputs'!H95</f>
        <v>0</v>
      </c>
      <c r="Z20" s="119">
        <f>'DNO inputs'!H96</f>
        <v>0</v>
      </c>
      <c r="AA20" s="119">
        <f>'DNO inputs'!H97</f>
        <v>152816</v>
      </c>
      <c r="AB20" s="119">
        <f>'DNO inputs'!H98</f>
        <v>0</v>
      </c>
      <c r="AC20" s="119">
        <f>'DNO inputs'!H99</f>
        <v>16373</v>
      </c>
      <c r="AD20" s="119">
        <f>'DNO inputs'!H100</f>
        <v>0</v>
      </c>
      <c r="AE20" s="119">
        <f>'DNO inputs'!H101</f>
        <v>1</v>
      </c>
      <c r="AF20" s="119">
        <f>'DNO inputs'!H102</f>
        <v>3531</v>
      </c>
      <c r="AG20" s="119">
        <f>'DNO inputs'!H103</f>
        <v>6614</v>
      </c>
      <c r="AH20" s="119">
        <f>'DNO inputs'!H104</f>
        <v>0</v>
      </c>
      <c r="AI20" s="119">
        <f>'DNO inputs'!H105</f>
        <v>30984</v>
      </c>
      <c r="AJ20" s="119">
        <f>'DNO inputs'!H106</f>
        <v>15433</v>
      </c>
      <c r="AK20" s="119">
        <f>'DNO inputs'!H107</f>
        <v>10521</v>
      </c>
      <c r="AL20" s="119">
        <f>'DNO inputs'!H108</f>
        <v>0</v>
      </c>
      <c r="AM20" s="119">
        <f>'DNO inputs'!H109</f>
        <v>0</v>
      </c>
      <c r="AN20" s="119">
        <f>'DNO inputs'!H110</f>
        <v>0</v>
      </c>
      <c r="AO20" s="119">
        <f>'DNO inputs'!H111</f>
        <v>0</v>
      </c>
      <c r="AP20" s="119">
        <f>'DNO inputs'!H112</f>
        <v>0</v>
      </c>
      <c r="AQ20" s="119">
        <f>'DNO inputs'!H113</f>
        <v>0</v>
      </c>
      <c r="AR20" s="119">
        <f>'DNO inputs'!H114</f>
        <v>0</v>
      </c>
      <c r="AS20" s="119">
        <f>'DNO inputs'!H115</f>
        <v>0</v>
      </c>
      <c r="AT20" s="119">
        <f>'DNO inputs'!H116</f>
        <v>26787</v>
      </c>
      <c r="AU20" s="119">
        <f>'DNO inputs'!H117</f>
        <v>30843</v>
      </c>
      <c r="AV20" s="119">
        <f>'DNO inputs'!H118</f>
        <v>0</v>
      </c>
      <c r="AW20" s="119">
        <f>'DNO inputs'!H119</f>
        <v>0</v>
      </c>
      <c r="AX20" s="119">
        <f>'DNO inputs'!H120</f>
        <v>3105</v>
      </c>
      <c r="AY20" s="119">
        <f>'DNO inputs'!H121</f>
        <v>356</v>
      </c>
      <c r="AZ20" s="119">
        <f>'DNO inputs'!H122</f>
        <v>6</v>
      </c>
      <c r="BA20" s="119">
        <f>'DNO inputs'!H123</f>
        <v>0</v>
      </c>
      <c r="BB20" s="119">
        <f>'DNO inputs'!H124</f>
        <v>30974</v>
      </c>
      <c r="BC20" s="119">
        <f>'DNO inputs'!H125</f>
        <v>3550</v>
      </c>
      <c r="BD20" s="119">
        <f>'DNO inputs'!H126</f>
        <v>60</v>
      </c>
      <c r="BE20" s="119">
        <f>'DNO inputs'!H127</f>
        <v>0</v>
      </c>
      <c r="BF20" s="119">
        <f>'DNO inputs'!H128</f>
        <v>1630</v>
      </c>
      <c r="BG20" s="119">
        <f>'DNO inputs'!H129</f>
        <v>646</v>
      </c>
      <c r="BH20" s="119">
        <f>'DNO inputs'!H130</f>
        <v>0</v>
      </c>
      <c r="BI20" s="119">
        <f>'DNO inputs'!H131</f>
        <v>76</v>
      </c>
      <c r="BJ20" s="119">
        <f>'DNO inputs'!H132</f>
        <v>62</v>
      </c>
      <c r="BK20" s="119">
        <f>'DNO inputs'!H133</f>
        <v>51</v>
      </c>
      <c r="BL20" s="119">
        <f>'DNO inputs'!H134</f>
        <v>14</v>
      </c>
      <c r="BM20" s="119">
        <f>'DNO inputs'!H135</f>
        <v>245</v>
      </c>
      <c r="BN20" s="119">
        <f>'DNO inputs'!H136</f>
        <v>1380</v>
      </c>
      <c r="BO20" s="119">
        <f>'DNO inputs'!H137</f>
        <v>0</v>
      </c>
      <c r="BP20" s="119">
        <f>'DNO inputs'!H138</f>
        <v>0</v>
      </c>
      <c r="BQ20" s="119">
        <f>'DNO inputs'!H139</f>
        <v>0</v>
      </c>
      <c r="BR20" s="119">
        <f>'DNO inputs'!H140</f>
        <v>4146</v>
      </c>
      <c r="BS20" s="119">
        <f>'DNO inputs'!H141</f>
        <v>63</v>
      </c>
      <c r="BT20" s="119">
        <f>'DNO inputs'!H142</f>
        <v>480</v>
      </c>
      <c r="BU20" s="119">
        <f>'DNO inputs'!H143</f>
        <v>24</v>
      </c>
      <c r="BV20" s="119">
        <f>'DNO inputs'!H144</f>
        <v>916</v>
      </c>
      <c r="BW20" s="119">
        <f>'DNO inputs'!H145</f>
        <v>18</v>
      </c>
      <c r="BX20" s="119">
        <f>'DNO inputs'!H146</f>
        <v>47</v>
      </c>
      <c r="BY20" s="119">
        <f>'DNO inputs'!H147</f>
        <v>4</v>
      </c>
      <c r="BZ20" s="119">
        <f>'DNO inputs'!H148</f>
        <v>191</v>
      </c>
      <c r="CA20" s="119">
        <f>'DNO inputs'!H149</f>
        <v>1726</v>
      </c>
      <c r="CB20" s="119">
        <f>'DNO inputs'!H150</f>
        <v>1337</v>
      </c>
      <c r="CC20" s="119">
        <f>'DNO inputs'!H151</f>
        <v>4203</v>
      </c>
      <c r="CD20" s="119">
        <f>'DNO inputs'!H152</f>
        <v>8360</v>
      </c>
      <c r="CE20" s="119">
        <f>'DNO inputs'!H153</f>
        <v>187</v>
      </c>
      <c r="CF20" s="119">
        <f>'DNO inputs'!H154</f>
        <v>287</v>
      </c>
      <c r="CG20" s="119">
        <f>'DNO inputs'!H155</f>
        <v>4</v>
      </c>
      <c r="CH20" s="119">
        <f>'DNO inputs'!H156</f>
        <v>12</v>
      </c>
      <c r="CI20" s="119">
        <f>'DNO inputs'!H157</f>
        <v>299</v>
      </c>
      <c r="CJ20" s="119">
        <f>'DNO inputs'!H158</f>
        <v>2423</v>
      </c>
      <c r="CK20" s="119">
        <f>'DNO inputs'!H159</f>
        <v>204</v>
      </c>
      <c r="CL20" s="119">
        <f>'DNO inputs'!H160</f>
        <v>0</v>
      </c>
      <c r="CM20" s="119">
        <f>'DNO inputs'!H161</f>
        <v>0</v>
      </c>
      <c r="CN20" s="119">
        <f>'DNO inputs'!H162</f>
        <v>545</v>
      </c>
      <c r="CO20" s="119">
        <f>'DNO inputs'!H163</f>
        <v>2520</v>
      </c>
      <c r="CP20" s="119">
        <f>'DNO inputs'!H164</f>
        <v>1914</v>
      </c>
      <c r="CQ20" s="58"/>
      <c r="CR20" s="36"/>
    </row>
    <row r="21" spans="1:96" x14ac:dyDescent="0.35">
      <c r="A21" s="36"/>
      <c r="B21" s="36"/>
      <c r="C21" s="36"/>
      <c r="D21" s="36"/>
      <c r="E21" s="92" t="str">
        <f>'DNO inputs'!E170</f>
        <v>MEAV per unit, by asset type</v>
      </c>
      <c r="F21" s="36"/>
      <c r="G21" s="92" t="str">
        <f>'DNO inputs'!G171</f>
        <v>£ per unit</v>
      </c>
      <c r="H21" s="101"/>
      <c r="I21" s="101"/>
      <c r="J21" s="119">
        <f>'DNO inputs'!H171</f>
        <v>25787.41668117787</v>
      </c>
      <c r="K21" s="119">
        <f>'DNO inputs'!H172</f>
        <v>727.8957018119479</v>
      </c>
      <c r="L21" s="119">
        <f>'DNO inputs'!H173</f>
        <v>2517.6224387146376</v>
      </c>
      <c r="M21" s="119">
        <f>'DNO inputs'!H174</f>
        <v>163494.7863082446</v>
      </c>
      <c r="N21" s="119">
        <f>'DNO inputs'!H175</f>
        <v>163494.7863082446</v>
      </c>
      <c r="O21" s="119">
        <f>'DNO inputs'!H176</f>
        <v>163494.7863082446</v>
      </c>
      <c r="P21" s="119">
        <f>'DNO inputs'!H177</f>
        <v>2191.9785998560096</v>
      </c>
      <c r="Q21" s="119">
        <f>'DNO inputs'!H178</f>
        <v>0</v>
      </c>
      <c r="R21" s="119">
        <f>'DNO inputs'!H179</f>
        <v>14059.225246473792</v>
      </c>
      <c r="S21" s="119">
        <f>'DNO inputs'!H180</f>
        <v>0</v>
      </c>
      <c r="T21" s="119">
        <f>'DNO inputs'!H181</f>
        <v>7813.125053075536</v>
      </c>
      <c r="U21" s="119">
        <f>'DNO inputs'!H182</f>
        <v>63.593343596842416</v>
      </c>
      <c r="V21" s="119">
        <f>'DNO inputs'!H183</f>
        <v>0</v>
      </c>
      <c r="W21" s="119">
        <f>'DNO inputs'!H184</f>
        <v>36108.898167644111</v>
      </c>
      <c r="X21" s="119">
        <f>'DNO inputs'!H185</f>
        <v>56825.143459978397</v>
      </c>
      <c r="Y21" s="119">
        <f>'DNO inputs'!H186</f>
        <v>0</v>
      </c>
      <c r="Z21" s="119">
        <f>'DNO inputs'!H187</f>
        <v>0</v>
      </c>
      <c r="AA21" s="119">
        <f>'DNO inputs'!H188</f>
        <v>3600.5130798861055</v>
      </c>
      <c r="AB21" s="119">
        <f>'DNO inputs'!H189</f>
        <v>0</v>
      </c>
      <c r="AC21" s="119">
        <f>'DNO inputs'!H190</f>
        <v>185444.07116656651</v>
      </c>
      <c r="AD21" s="119">
        <f>'DNO inputs'!H191</f>
        <v>0</v>
      </c>
      <c r="AE21" s="119">
        <f>'DNO inputs'!H192</f>
        <v>0</v>
      </c>
      <c r="AF21" s="119">
        <f>'DNO inputs'!H193</f>
        <v>15177.563230970592</v>
      </c>
      <c r="AG21" s="119">
        <f>'DNO inputs'!H194</f>
        <v>53231.068072762166</v>
      </c>
      <c r="AH21" s="119">
        <f>'DNO inputs'!H195</f>
        <v>0</v>
      </c>
      <c r="AI21" s="119">
        <f>'DNO inputs'!H196</f>
        <v>12000.465670394527</v>
      </c>
      <c r="AJ21" s="119">
        <f>'DNO inputs'!H197</f>
        <v>22418.729012479256</v>
      </c>
      <c r="AK21" s="119">
        <f>'DNO inputs'!H198</f>
        <v>2460.7520452189924</v>
      </c>
      <c r="AL21" s="119">
        <f>'DNO inputs'!H199</f>
        <v>0</v>
      </c>
      <c r="AM21" s="119">
        <f>'DNO inputs'!H200</f>
        <v>0</v>
      </c>
      <c r="AN21" s="119">
        <f>'DNO inputs'!H201</f>
        <v>0</v>
      </c>
      <c r="AO21" s="119">
        <f>'DNO inputs'!H202</f>
        <v>0</v>
      </c>
      <c r="AP21" s="119">
        <f>'DNO inputs'!H203</f>
        <v>0</v>
      </c>
      <c r="AQ21" s="119">
        <f>'DNO inputs'!H204</f>
        <v>0</v>
      </c>
      <c r="AR21" s="119">
        <f>'DNO inputs'!H205</f>
        <v>0</v>
      </c>
      <c r="AS21" s="119">
        <f>'DNO inputs'!H206</f>
        <v>0</v>
      </c>
      <c r="AT21" s="119">
        <f>'DNO inputs'!H207</f>
        <v>6188.7667188592523</v>
      </c>
      <c r="AU21" s="119">
        <f>'DNO inputs'!H208</f>
        <v>21181.741936686827</v>
      </c>
      <c r="AV21" s="119">
        <f>'DNO inputs'!H209</f>
        <v>0</v>
      </c>
      <c r="AW21" s="119">
        <f>'DNO inputs'!H210</f>
        <v>0</v>
      </c>
      <c r="AX21" s="119">
        <f>'DNO inputs'!H211</f>
        <v>44039.838238196498</v>
      </c>
      <c r="AY21" s="119">
        <f>'DNO inputs'!H212</f>
        <v>63106.28987101034</v>
      </c>
      <c r="AZ21" s="119">
        <f>'DNO inputs'!H213</f>
        <v>0</v>
      </c>
      <c r="BA21" s="119">
        <f>'DNO inputs'!H214</f>
        <v>0</v>
      </c>
      <c r="BB21" s="119">
        <f>'DNO inputs'!H215</f>
        <v>0</v>
      </c>
      <c r="BC21" s="119">
        <f>'DNO inputs'!H216</f>
        <v>0</v>
      </c>
      <c r="BD21" s="119">
        <f>'DNO inputs'!H217</f>
        <v>0</v>
      </c>
      <c r="BE21" s="119">
        <f>'DNO inputs'!H218</f>
        <v>0</v>
      </c>
      <c r="BF21" s="119">
        <f>'DNO inputs'!H219</f>
        <v>387149.52688476146</v>
      </c>
      <c r="BG21" s="119">
        <f>'DNO inputs'!H220</f>
        <v>387149.52688476146</v>
      </c>
      <c r="BH21" s="119">
        <f>'DNO inputs'!H221</f>
        <v>0</v>
      </c>
      <c r="BI21" s="119">
        <f>'DNO inputs'!H222</f>
        <v>783283.37932115304</v>
      </c>
      <c r="BJ21" s="119">
        <f>'DNO inputs'!H223</f>
        <v>783283.37932115304</v>
      </c>
      <c r="BK21" s="119">
        <f>'DNO inputs'!H224</f>
        <v>783283.37932115304</v>
      </c>
      <c r="BL21" s="119">
        <f>'DNO inputs'!H225</f>
        <v>698162.58644746279</v>
      </c>
      <c r="BM21" s="119">
        <f>'DNO inputs'!H226</f>
        <v>101483.30321526388</v>
      </c>
      <c r="BN21" s="119">
        <f>'DNO inputs'!H227</f>
        <v>110814.05638756402</v>
      </c>
      <c r="BO21" s="119">
        <f>'DNO inputs'!H228</f>
        <v>0</v>
      </c>
      <c r="BP21" s="119">
        <f>'DNO inputs'!H229</f>
        <v>0</v>
      </c>
      <c r="BQ21" s="119">
        <f>'DNO inputs'!H230</f>
        <v>0</v>
      </c>
      <c r="BR21" s="119">
        <f>'DNO inputs'!H231</f>
        <v>9970.4778751013582</v>
      </c>
      <c r="BS21" s="119">
        <f>'DNO inputs'!H232</f>
        <v>499211.76491407864</v>
      </c>
      <c r="BT21" s="119">
        <f>'DNO inputs'!H233</f>
        <v>10867.418669730523</v>
      </c>
      <c r="BU21" s="119">
        <f>'DNO inputs'!H234</f>
        <v>4181.5908447976535</v>
      </c>
      <c r="BV21" s="119">
        <f>'DNO inputs'!H235</f>
        <v>487709.16729283263</v>
      </c>
      <c r="BW21" s="119">
        <f>'DNO inputs'!H236</f>
        <v>19976.561182122663</v>
      </c>
      <c r="BX21" s="119">
        <f>'DNO inputs'!H237</f>
        <v>749627.92724565044</v>
      </c>
      <c r="BY21" s="119">
        <f>'DNO inputs'!H238</f>
        <v>19976.561182122663</v>
      </c>
      <c r="BZ21" s="119">
        <f>'DNO inputs'!H239</f>
        <v>78028.106933342977</v>
      </c>
      <c r="CA21" s="119">
        <f>'DNO inputs'!H240</f>
        <v>72370.173473898016</v>
      </c>
      <c r="CB21" s="119">
        <f>'DNO inputs'!H241</f>
        <v>6846.61725238904</v>
      </c>
      <c r="CC21" s="119">
        <f>'DNO inputs'!H242</f>
        <v>137227.36388163519</v>
      </c>
      <c r="CD21" s="119">
        <f>'DNO inputs'!H243</f>
        <v>3543.6868404596303</v>
      </c>
      <c r="CE21" s="119">
        <f>'DNO inputs'!H244</f>
        <v>1336555.9493776902</v>
      </c>
      <c r="CF21" s="119">
        <f>'DNO inputs'!H245</f>
        <v>1336555.9493776902</v>
      </c>
      <c r="CG21" s="119">
        <f>'DNO inputs'!H246</f>
        <v>1336555.9493776902</v>
      </c>
      <c r="CH21" s="119">
        <f>'DNO inputs'!H247</f>
        <v>1175852.777174674</v>
      </c>
      <c r="CI21" s="119">
        <f>'DNO inputs'!H248</f>
        <v>1270894.2311411053</v>
      </c>
      <c r="CJ21" s="119">
        <f>'DNO inputs'!H249</f>
        <v>22047.239572025133</v>
      </c>
      <c r="CK21" s="119">
        <f>'DNO inputs'!H250</f>
        <v>1462679.1536328157</v>
      </c>
      <c r="CL21" s="119">
        <f>'DNO inputs'!H251</f>
        <v>0</v>
      </c>
      <c r="CM21" s="119">
        <f>'DNO inputs'!H252</f>
        <v>0</v>
      </c>
      <c r="CN21" s="119">
        <f>'DNO inputs'!H253</f>
        <v>11890.810227453965</v>
      </c>
      <c r="CO21" s="119">
        <f>'DNO inputs'!H254</f>
        <v>11890.810227453965</v>
      </c>
      <c r="CP21" s="119">
        <f>'DNO inputs'!H255</f>
        <v>11890.810227453965</v>
      </c>
      <c r="CQ21" s="58"/>
      <c r="CR21" s="36"/>
    </row>
    <row r="22" spans="1:96" x14ac:dyDescent="0.35">
      <c r="A22" s="36"/>
      <c r="B22" s="36"/>
      <c r="C22" s="36"/>
      <c r="D22" s="36"/>
      <c r="E22" s="92" t="str">
        <f>'Fixed inputs'!E17</f>
        <v>One million</v>
      </c>
      <c r="F22" s="36"/>
      <c r="G22" s="92" t="str">
        <f>'Fixed inputs'!G17</f>
        <v>scalar</v>
      </c>
      <c r="H22" s="119">
        <f>'Fixed inputs'!H17</f>
        <v>1000000</v>
      </c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1"/>
      <c r="BN22" s="101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1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1"/>
      <c r="CM22" s="101"/>
      <c r="CN22" s="101"/>
      <c r="CO22" s="101"/>
      <c r="CP22" s="101"/>
      <c r="CQ22" s="58"/>
      <c r="CR22" s="36"/>
    </row>
    <row r="23" spans="1:96" x14ac:dyDescent="0.35">
      <c r="A23" s="36"/>
      <c r="B23" s="36"/>
      <c r="C23" s="36"/>
      <c r="D23" s="36"/>
      <c r="E23" s="86"/>
      <c r="F23" s="36"/>
      <c r="G23" s="36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36"/>
    </row>
    <row r="24" spans="1:96" x14ac:dyDescent="0.35">
      <c r="A24" s="92"/>
      <c r="B24" s="36"/>
      <c r="C24" s="36"/>
      <c r="D24" s="36"/>
      <c r="E24" s="92" t="s">
        <v>490</v>
      </c>
      <c r="F24" s="36"/>
      <c r="G24" s="92" t="s">
        <v>491</v>
      </c>
      <c r="H24" s="101"/>
      <c r="I24" s="112" t="s">
        <v>120</v>
      </c>
      <c r="J24" s="101">
        <f>J20 * J21 / $H22</f>
        <v>211.27630486889029</v>
      </c>
      <c r="K24" s="101">
        <f t="shared" ref="K24:BV24" si="0">K20 * K21 / $H22</f>
        <v>209.50148510411123</v>
      </c>
      <c r="L24" s="101">
        <f t="shared" si="0"/>
        <v>546.11510653866299</v>
      </c>
      <c r="M24" s="101">
        <f t="shared" si="0"/>
        <v>825.48517607032693</v>
      </c>
      <c r="N24" s="101">
        <f t="shared" si="0"/>
        <v>899.05782990903697</v>
      </c>
      <c r="O24" s="101">
        <f t="shared" si="0"/>
        <v>3022.3646196942095</v>
      </c>
      <c r="P24" s="101">
        <f t="shared" si="0"/>
        <v>5782.0669100581781</v>
      </c>
      <c r="Q24" s="101">
        <f t="shared" si="0"/>
        <v>0</v>
      </c>
      <c r="R24" s="101">
        <f t="shared" si="0"/>
        <v>433.62868427699118</v>
      </c>
      <c r="S24" s="101">
        <f t="shared" si="0"/>
        <v>0</v>
      </c>
      <c r="T24" s="101">
        <f t="shared" si="0"/>
        <v>250.12157232410715</v>
      </c>
      <c r="U24" s="101">
        <f t="shared" si="0"/>
        <v>1.8815998503433733</v>
      </c>
      <c r="V24" s="101">
        <f t="shared" si="0"/>
        <v>0</v>
      </c>
      <c r="W24" s="101">
        <f t="shared" si="0"/>
        <v>347.22316478006576</v>
      </c>
      <c r="X24" s="101">
        <f t="shared" si="0"/>
        <v>192.92136204662665</v>
      </c>
      <c r="Y24" s="101">
        <f t="shared" si="0"/>
        <v>0</v>
      </c>
      <c r="Z24" s="101">
        <f t="shared" si="0"/>
        <v>0</v>
      </c>
      <c r="AA24" s="101">
        <f t="shared" si="0"/>
        <v>550.21600681587506</v>
      </c>
      <c r="AB24" s="101">
        <f t="shared" si="0"/>
        <v>0</v>
      </c>
      <c r="AC24" s="101">
        <f t="shared" si="0"/>
        <v>3036.2757772101936</v>
      </c>
      <c r="AD24" s="101">
        <f t="shared" si="0"/>
        <v>0</v>
      </c>
      <c r="AE24" s="101">
        <f t="shared" si="0"/>
        <v>0</v>
      </c>
      <c r="AF24" s="101">
        <f t="shared" si="0"/>
        <v>53.591975768557162</v>
      </c>
      <c r="AG24" s="101">
        <f t="shared" si="0"/>
        <v>352.07028423324897</v>
      </c>
      <c r="AH24" s="101">
        <f t="shared" si="0"/>
        <v>0</v>
      </c>
      <c r="AI24" s="101">
        <f t="shared" si="0"/>
        <v>371.82242833150406</v>
      </c>
      <c r="AJ24" s="101">
        <f t="shared" si="0"/>
        <v>345.98824484959238</v>
      </c>
      <c r="AK24" s="101">
        <f t="shared" si="0"/>
        <v>25.889572267749021</v>
      </c>
      <c r="AL24" s="101">
        <f t="shared" si="0"/>
        <v>0</v>
      </c>
      <c r="AM24" s="101">
        <f t="shared" si="0"/>
        <v>0</v>
      </c>
      <c r="AN24" s="101">
        <f t="shared" si="0"/>
        <v>0</v>
      </c>
      <c r="AO24" s="101">
        <f t="shared" si="0"/>
        <v>0</v>
      </c>
      <c r="AP24" s="101">
        <f t="shared" si="0"/>
        <v>0</v>
      </c>
      <c r="AQ24" s="101">
        <f t="shared" si="0"/>
        <v>0</v>
      </c>
      <c r="AR24" s="101">
        <f t="shared" si="0"/>
        <v>0</v>
      </c>
      <c r="AS24" s="101">
        <f t="shared" si="0"/>
        <v>0</v>
      </c>
      <c r="AT24" s="101">
        <f t="shared" si="0"/>
        <v>165.77849409808277</v>
      </c>
      <c r="AU24" s="101">
        <f t="shared" si="0"/>
        <v>653.30846655323182</v>
      </c>
      <c r="AV24" s="101">
        <f t="shared" si="0"/>
        <v>0</v>
      </c>
      <c r="AW24" s="101">
        <f t="shared" si="0"/>
        <v>0</v>
      </c>
      <c r="AX24" s="101">
        <f t="shared" si="0"/>
        <v>136.74369772960014</v>
      </c>
      <c r="AY24" s="101">
        <f t="shared" si="0"/>
        <v>22.465839194079681</v>
      </c>
      <c r="AZ24" s="101">
        <f t="shared" si="0"/>
        <v>0</v>
      </c>
      <c r="BA24" s="101">
        <f t="shared" si="0"/>
        <v>0</v>
      </c>
      <c r="BB24" s="101">
        <f t="shared" si="0"/>
        <v>0</v>
      </c>
      <c r="BC24" s="101">
        <f t="shared" si="0"/>
        <v>0</v>
      </c>
      <c r="BD24" s="101">
        <f t="shared" si="0"/>
        <v>0</v>
      </c>
      <c r="BE24" s="101">
        <f t="shared" si="0"/>
        <v>0</v>
      </c>
      <c r="BF24" s="101">
        <f t="shared" si="0"/>
        <v>631.05372882216125</v>
      </c>
      <c r="BG24" s="101">
        <f t="shared" si="0"/>
        <v>250.0985943675559</v>
      </c>
      <c r="BH24" s="101">
        <f t="shared" si="0"/>
        <v>0</v>
      </c>
      <c r="BI24" s="101">
        <f t="shared" si="0"/>
        <v>59.529536828407629</v>
      </c>
      <c r="BJ24" s="101">
        <f t="shared" si="0"/>
        <v>48.563569517911489</v>
      </c>
      <c r="BK24" s="101">
        <f t="shared" si="0"/>
        <v>39.947452345378807</v>
      </c>
      <c r="BL24" s="101">
        <f t="shared" si="0"/>
        <v>9.77427621026448</v>
      </c>
      <c r="BM24" s="101">
        <f t="shared" si="0"/>
        <v>24.86340928773965</v>
      </c>
      <c r="BN24" s="101">
        <f t="shared" si="0"/>
        <v>152.92339781483835</v>
      </c>
      <c r="BO24" s="101">
        <f t="shared" si="0"/>
        <v>0</v>
      </c>
      <c r="BP24" s="101">
        <f t="shared" si="0"/>
        <v>0</v>
      </c>
      <c r="BQ24" s="101">
        <f t="shared" si="0"/>
        <v>0</v>
      </c>
      <c r="BR24" s="101">
        <f t="shared" si="0"/>
        <v>41.337601270170232</v>
      </c>
      <c r="BS24" s="101">
        <f t="shared" si="0"/>
        <v>31.450341189586954</v>
      </c>
      <c r="BT24" s="101">
        <f t="shared" si="0"/>
        <v>5.2163609614706514</v>
      </c>
      <c r="BU24" s="101">
        <f t="shared" si="0"/>
        <v>0.10035818027514368</v>
      </c>
      <c r="BV24" s="101">
        <f t="shared" si="0"/>
        <v>446.74159724023468</v>
      </c>
      <c r="BW24" s="101">
        <f t="shared" ref="BW24:CP24" si="1">BW20 * BW21 / $H22</f>
        <v>0.35957810127820794</v>
      </c>
      <c r="BX24" s="101">
        <f t="shared" si="1"/>
        <v>35.232512580545574</v>
      </c>
      <c r="BY24" s="101">
        <f t="shared" si="1"/>
        <v>7.9906244728490658E-2</v>
      </c>
      <c r="BZ24" s="101">
        <f t="shared" si="1"/>
        <v>14.903368424268509</v>
      </c>
      <c r="CA24" s="101">
        <f t="shared" si="1"/>
        <v>124.91091941594797</v>
      </c>
      <c r="CB24" s="101">
        <f t="shared" si="1"/>
        <v>9.1539272664441462</v>
      </c>
      <c r="CC24" s="101">
        <f t="shared" si="1"/>
        <v>576.76661039451267</v>
      </c>
      <c r="CD24" s="101">
        <f t="shared" si="1"/>
        <v>29.625221986242511</v>
      </c>
      <c r="CE24" s="101">
        <f t="shared" si="1"/>
        <v>249.93596253362807</v>
      </c>
      <c r="CF24" s="101">
        <f t="shared" si="1"/>
        <v>383.5915574713971</v>
      </c>
      <c r="CG24" s="101">
        <f t="shared" si="1"/>
        <v>5.3462237975107607</v>
      </c>
      <c r="CH24" s="101">
        <f t="shared" si="1"/>
        <v>14.110233326096088</v>
      </c>
      <c r="CI24" s="101">
        <f t="shared" si="1"/>
        <v>379.99737511119048</v>
      </c>
      <c r="CJ24" s="101">
        <f t="shared" si="1"/>
        <v>53.420461483016901</v>
      </c>
      <c r="CK24" s="101">
        <f t="shared" si="1"/>
        <v>298.3865473410944</v>
      </c>
      <c r="CL24" s="101">
        <f t="shared" si="1"/>
        <v>0</v>
      </c>
      <c r="CM24" s="101">
        <f t="shared" si="1"/>
        <v>0</v>
      </c>
      <c r="CN24" s="101">
        <f t="shared" si="1"/>
        <v>6.4804915739624107</v>
      </c>
      <c r="CO24" s="101">
        <f t="shared" si="1"/>
        <v>29.964841773183991</v>
      </c>
      <c r="CP24" s="101">
        <f t="shared" si="1"/>
        <v>22.759010775346891</v>
      </c>
      <c r="CQ24" s="58"/>
      <c r="CR24" s="92" t="s">
        <v>360</v>
      </c>
    </row>
    <row r="25" spans="1:96" x14ac:dyDescent="0.35">
      <c r="A25" s="36"/>
      <c r="B25" s="36"/>
      <c r="C25" s="36"/>
      <c r="D25" s="36"/>
      <c r="E25" s="92" t="s">
        <v>492</v>
      </c>
      <c r="F25" s="36"/>
      <c r="G25" s="92" t="s">
        <v>491</v>
      </c>
      <c r="H25" s="101">
        <f>SUM(J24:CP24)</f>
        <v>22412.41957620965</v>
      </c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1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1"/>
      <c r="CM25" s="101"/>
      <c r="CN25" s="101"/>
      <c r="CO25" s="101"/>
      <c r="CP25" s="101"/>
      <c r="CQ25" s="58"/>
      <c r="CR25" s="36"/>
    </row>
    <row r="26" spans="1:96" x14ac:dyDescent="0.35">
      <c r="A26" s="36"/>
      <c r="B26" s="36"/>
      <c r="C26" s="36"/>
      <c r="D26" s="36"/>
      <c r="E26" s="86"/>
      <c r="F26" s="36"/>
      <c r="G26" s="36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36"/>
    </row>
    <row r="27" spans="1:96" x14ac:dyDescent="0.35">
      <c r="A27" s="36"/>
      <c r="B27" s="36"/>
      <c r="C27" s="87" t="s">
        <v>493</v>
      </c>
      <c r="D27" s="87"/>
      <c r="E27" s="87"/>
      <c r="F27" s="87"/>
      <c r="G27" s="87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7"/>
    </row>
    <row r="28" spans="1:96" x14ac:dyDescent="0.35">
      <c r="A28" s="36"/>
      <c r="B28" s="36"/>
      <c r="C28" s="86"/>
      <c r="D28" s="86"/>
      <c r="E28" s="36"/>
      <c r="F28" s="36"/>
      <c r="G28" s="36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36"/>
    </row>
    <row r="29" spans="1:96" x14ac:dyDescent="0.35">
      <c r="A29" s="36"/>
      <c r="B29" s="36"/>
      <c r="C29" s="36"/>
      <c r="D29" s="86"/>
      <c r="E29" s="92" t="str">
        <f>'Fixed inputs'!E189</f>
        <v>Mapping of MEAV asset categories to network levels</v>
      </c>
      <c r="F29" s="36"/>
      <c r="G29" s="92" t="str">
        <f>'Fixed inputs'!G190</f>
        <v>network level</v>
      </c>
      <c r="H29" s="101"/>
      <c r="I29" s="101"/>
      <c r="J29" s="119" t="str">
        <f>'Fixed inputs'!H190</f>
        <v>LV mains</v>
      </c>
      <c r="K29" s="119" t="str">
        <f>'Fixed inputs'!H191</f>
        <v>LV services</v>
      </c>
      <c r="L29" s="119" t="str">
        <f>'Fixed inputs'!H192</f>
        <v>LV mains</v>
      </c>
      <c r="M29" s="119" t="str">
        <f>'Fixed inputs'!H193</f>
        <v>LV mains</v>
      </c>
      <c r="N29" s="119" t="str">
        <f>'Fixed inputs'!H194</f>
        <v>LV mains</v>
      </c>
      <c r="O29" s="119" t="str">
        <f>'Fixed inputs'!H195</f>
        <v>LV mains</v>
      </c>
      <c r="P29" s="119" t="str">
        <f>'Fixed inputs'!H196</f>
        <v>LV services</v>
      </c>
      <c r="Q29" s="119" t="str">
        <f>'Fixed inputs'!H197</f>
        <v>LV mains</v>
      </c>
      <c r="R29" s="119" t="str">
        <f>'Fixed inputs'!H198</f>
        <v>LV mains</v>
      </c>
      <c r="S29" s="119" t="str">
        <f>'Fixed inputs'!H199</f>
        <v>LV mains</v>
      </c>
      <c r="T29" s="119" t="str">
        <f>'Fixed inputs'!H200</f>
        <v>LV mains</v>
      </c>
      <c r="U29" s="119" t="str">
        <f>'Fixed inputs'!H201</f>
        <v>LV mains</v>
      </c>
      <c r="V29" s="119" t="str">
        <f>'Fixed inputs'!H202</f>
        <v>LV mains</v>
      </c>
      <c r="W29" s="119" t="str">
        <f>'Fixed inputs'!H203</f>
        <v>HV</v>
      </c>
      <c r="X29" s="119" t="str">
        <f>'Fixed inputs'!H204</f>
        <v>HV</v>
      </c>
      <c r="Y29" s="119" t="str">
        <f>'Fixed inputs'!H205</f>
        <v>HV</v>
      </c>
      <c r="Z29" s="119" t="str">
        <f>'Fixed inputs'!H206</f>
        <v>HV</v>
      </c>
      <c r="AA29" s="119" t="str">
        <f>'Fixed inputs'!H207</f>
        <v>HV</v>
      </c>
      <c r="AB29" s="119" t="str">
        <f>'Fixed inputs'!H208</f>
        <v>HV</v>
      </c>
      <c r="AC29" s="119" t="str">
        <f>'Fixed inputs'!H209</f>
        <v>HV</v>
      </c>
      <c r="AD29" s="119" t="str">
        <f>'Fixed inputs'!H210</f>
        <v>HV</v>
      </c>
      <c r="AE29" s="119" t="str">
        <f>'Fixed inputs'!H211</f>
        <v>HV</v>
      </c>
      <c r="AF29" s="119" t="str">
        <f>'Fixed inputs'!H212</f>
        <v>HV</v>
      </c>
      <c r="AG29" s="119" t="str">
        <f>'Fixed inputs'!H213</f>
        <v>HV</v>
      </c>
      <c r="AH29" s="119" t="str">
        <f>'Fixed inputs'!H214</f>
        <v>HV</v>
      </c>
      <c r="AI29" s="119" t="str">
        <f>'Fixed inputs'!H215</f>
        <v>HV/LV</v>
      </c>
      <c r="AJ29" s="119" t="str">
        <f>'Fixed inputs'!H216</f>
        <v>HV/LV</v>
      </c>
      <c r="AK29" s="119" t="str">
        <f>'Fixed inputs'!H217</f>
        <v>HV</v>
      </c>
      <c r="AL29" s="119" t="str">
        <f>'Fixed inputs'!H218</f>
        <v>HV</v>
      </c>
      <c r="AM29" s="119" t="str">
        <f>'Fixed inputs'!H219</f>
        <v>HV</v>
      </c>
      <c r="AN29" s="119" t="str">
        <f>'Fixed inputs'!H220</f>
        <v>HV</v>
      </c>
      <c r="AO29" s="119" t="str">
        <f>'Fixed inputs'!H221</f>
        <v>HV</v>
      </c>
      <c r="AP29" s="119" t="str">
        <f>'Fixed inputs'!H222</f>
        <v>HV/LV</v>
      </c>
      <c r="AQ29" s="119" t="str">
        <f>'Fixed inputs'!H223</f>
        <v>HV/LV</v>
      </c>
      <c r="AR29" s="119" t="str">
        <f>'Fixed inputs'!H224</f>
        <v>HV</v>
      </c>
      <c r="AS29" s="119" t="str">
        <f>'Fixed inputs'!H225</f>
        <v>HV</v>
      </c>
      <c r="AT29" s="119" t="str">
        <f>'Fixed inputs'!H226</f>
        <v>HV/LV</v>
      </c>
      <c r="AU29" s="119" t="str">
        <f>'Fixed inputs'!H227</f>
        <v>HV/LV</v>
      </c>
      <c r="AV29" s="119" t="str">
        <f>'Fixed inputs'!H228</f>
        <v>HV/LV</v>
      </c>
      <c r="AW29" s="119" t="str">
        <f>'Fixed inputs'!H229</f>
        <v>HV/LV</v>
      </c>
      <c r="AX29" s="119" t="str">
        <f>'Fixed inputs'!H230</f>
        <v>EHV and 132kV</v>
      </c>
      <c r="AY29" s="119" t="str">
        <f>'Fixed inputs'!H231</f>
        <v>EHV and 132kV</v>
      </c>
      <c r="AZ29" s="119" t="str">
        <f>'Fixed inputs'!H232</f>
        <v>EHV and 132kV</v>
      </c>
      <c r="BA29" s="119" t="str">
        <f>'Fixed inputs'!H233</f>
        <v>EHV and 132kV</v>
      </c>
      <c r="BB29" s="119" t="str">
        <f>'Fixed inputs'!H234</f>
        <v>EHV and 132kV</v>
      </c>
      <c r="BC29" s="119" t="str">
        <f>'Fixed inputs'!H235</f>
        <v>EHV and 132kV</v>
      </c>
      <c r="BD29" s="119" t="str">
        <f>'Fixed inputs'!H236</f>
        <v>EHV and 132kV</v>
      </c>
      <c r="BE29" s="119" t="str">
        <f>'Fixed inputs'!H237</f>
        <v>EHV and 132kV</v>
      </c>
      <c r="BF29" s="119" t="str">
        <f>'Fixed inputs'!H238</f>
        <v>EHV and 132kV</v>
      </c>
      <c r="BG29" s="119" t="str">
        <f>'Fixed inputs'!H239</f>
        <v>EHV and 132kV</v>
      </c>
      <c r="BH29" s="119" t="str">
        <f>'Fixed inputs'!H240</f>
        <v>EHV and 132kV</v>
      </c>
      <c r="BI29" s="119" t="str">
        <f>'Fixed inputs'!H241</f>
        <v>EHV and 132kV</v>
      </c>
      <c r="BJ29" s="119" t="str">
        <f>'Fixed inputs'!H242</f>
        <v>EHV and 132kV</v>
      </c>
      <c r="BK29" s="119" t="str">
        <f>'Fixed inputs'!H243</f>
        <v>EHV and 132kV</v>
      </c>
      <c r="BL29" s="119" t="str">
        <f>'Fixed inputs'!H244</f>
        <v>EHV and 132kV</v>
      </c>
      <c r="BM29" s="119" t="str">
        <f>'Fixed inputs'!H245</f>
        <v>EHV and 132kV</v>
      </c>
      <c r="BN29" s="119" t="str">
        <f>'Fixed inputs'!H246</f>
        <v>EHV and 132kV</v>
      </c>
      <c r="BO29" s="119" t="str">
        <f>'Fixed inputs'!H247</f>
        <v>EHV and 132kV</v>
      </c>
      <c r="BP29" s="119" t="str">
        <f>'Fixed inputs'!H248</f>
        <v>EHV and 132kV</v>
      </c>
      <c r="BQ29" s="119" t="str">
        <f>'Fixed inputs'!H249</f>
        <v>EHV and 132kV</v>
      </c>
      <c r="BR29" s="119" t="str">
        <f>'Fixed inputs'!H250</f>
        <v>EHV and 132kV</v>
      </c>
      <c r="BS29" s="119" t="str">
        <f>'Fixed inputs'!H251</f>
        <v>EHV and 132kV</v>
      </c>
      <c r="BT29" s="119" t="str">
        <f>'Fixed inputs'!H252</f>
        <v>EHV and 132kV</v>
      </c>
      <c r="BU29" s="119" t="str">
        <f>'Fixed inputs'!H253</f>
        <v>EHV and 132kV</v>
      </c>
      <c r="BV29" s="119" t="str">
        <f>'Fixed inputs'!H254</f>
        <v>EHV and 132kV</v>
      </c>
      <c r="BW29" s="119" t="str">
        <f>'Fixed inputs'!H255</f>
        <v>EHV and 132kV</v>
      </c>
      <c r="BX29" s="119" t="str">
        <f>'Fixed inputs'!H256</f>
        <v>EHV and 132kV</v>
      </c>
      <c r="BY29" s="119" t="str">
        <f>'Fixed inputs'!H257</f>
        <v>EHV and 132kV</v>
      </c>
      <c r="BZ29" s="119" t="str">
        <f>'Fixed inputs'!H258</f>
        <v>EHV and 132kV</v>
      </c>
      <c r="CA29" s="119" t="str">
        <f>'Fixed inputs'!H259</f>
        <v>EHV and 132kV</v>
      </c>
      <c r="CB29" s="119" t="str">
        <f>'Fixed inputs'!H260</f>
        <v>EHV and 132kV</v>
      </c>
      <c r="CC29" s="119" t="str">
        <f>'Fixed inputs'!H261</f>
        <v>EHV and 132kV</v>
      </c>
      <c r="CD29" s="119" t="str">
        <f>'Fixed inputs'!H262</f>
        <v>EHV and 132kV</v>
      </c>
      <c r="CE29" s="119" t="str">
        <f>'Fixed inputs'!H263</f>
        <v>EHV and 132kV</v>
      </c>
      <c r="CF29" s="119" t="str">
        <f>'Fixed inputs'!H264</f>
        <v>EHV and 132kV</v>
      </c>
      <c r="CG29" s="119" t="str">
        <f>'Fixed inputs'!H265</f>
        <v>EHV and 132kV</v>
      </c>
      <c r="CH29" s="119" t="str">
        <f>'Fixed inputs'!H266</f>
        <v>EHV and 132kV</v>
      </c>
      <c r="CI29" s="119" t="str">
        <f>'Fixed inputs'!H267</f>
        <v>EHV and 132kV</v>
      </c>
      <c r="CJ29" s="119" t="str">
        <f>'Fixed inputs'!H268</f>
        <v>EHV and 132kV</v>
      </c>
      <c r="CK29" s="119" t="str">
        <f>'Fixed inputs'!H269</f>
        <v>EHV and 132kV</v>
      </c>
      <c r="CL29" s="119" t="str">
        <f>'Fixed inputs'!H270</f>
        <v>EHV and 132kV</v>
      </c>
      <c r="CM29" s="119" t="str">
        <f>'Fixed inputs'!H271</f>
        <v>EHV and 132kV</v>
      </c>
      <c r="CN29" s="119" t="str">
        <f>'Fixed inputs'!H272</f>
        <v>EHV and 132kV</v>
      </c>
      <c r="CO29" s="119" t="str">
        <f>'Fixed inputs'!H273</f>
        <v>HV</v>
      </c>
      <c r="CP29" s="119" t="str">
        <f>'Fixed inputs'!H274</f>
        <v>HV</v>
      </c>
      <c r="CQ29" s="58"/>
      <c r="CR29" s="36"/>
    </row>
    <row r="30" spans="1:96" x14ac:dyDescent="0.35">
      <c r="A30" s="36"/>
      <c r="B30" s="36"/>
      <c r="C30" s="36"/>
      <c r="D30" s="36"/>
      <c r="E30" s="86"/>
      <c r="F30" s="36"/>
      <c r="G30" s="36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36"/>
    </row>
    <row r="31" spans="1:96" x14ac:dyDescent="0.35">
      <c r="A31" s="92"/>
      <c r="B31" s="36"/>
      <c r="C31" s="36"/>
      <c r="D31" s="36"/>
      <c r="E31" s="89" t="s">
        <v>494</v>
      </c>
      <c r="F31" s="36"/>
      <c r="G31" s="36"/>
      <c r="H31" s="58"/>
      <c r="I31" s="103" t="s">
        <v>120</v>
      </c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92" t="s">
        <v>360</v>
      </c>
    </row>
    <row r="32" spans="1:96" x14ac:dyDescent="0.35">
      <c r="A32" s="36"/>
      <c r="B32" s="36"/>
      <c r="C32" s="36"/>
      <c r="D32" s="36"/>
      <c r="E32" s="36"/>
      <c r="F32" s="90" t="s">
        <v>196</v>
      </c>
      <c r="G32" s="90" t="s">
        <v>190</v>
      </c>
      <c r="H32" s="109"/>
      <c r="I32" s="109"/>
      <c r="J32" s="109">
        <f>IF($F32 = J$29, 1, 0)</f>
        <v>0</v>
      </c>
      <c r="K32" s="109">
        <f t="shared" ref="K32:BV33" si="2">IF($F32 = K$29, 1, 0)</f>
        <v>1</v>
      </c>
      <c r="L32" s="109">
        <f t="shared" si="2"/>
        <v>0</v>
      </c>
      <c r="M32" s="109">
        <f t="shared" si="2"/>
        <v>0</v>
      </c>
      <c r="N32" s="109">
        <f t="shared" si="2"/>
        <v>0</v>
      </c>
      <c r="O32" s="109">
        <f t="shared" si="2"/>
        <v>0</v>
      </c>
      <c r="P32" s="109">
        <f t="shared" si="2"/>
        <v>1</v>
      </c>
      <c r="Q32" s="109">
        <f t="shared" si="2"/>
        <v>0</v>
      </c>
      <c r="R32" s="109">
        <f t="shared" si="2"/>
        <v>0</v>
      </c>
      <c r="S32" s="109">
        <f t="shared" si="2"/>
        <v>0</v>
      </c>
      <c r="T32" s="109">
        <f t="shared" si="2"/>
        <v>0</v>
      </c>
      <c r="U32" s="109">
        <f t="shared" si="2"/>
        <v>0</v>
      </c>
      <c r="V32" s="109">
        <f t="shared" si="2"/>
        <v>0</v>
      </c>
      <c r="W32" s="109">
        <f t="shared" si="2"/>
        <v>0</v>
      </c>
      <c r="X32" s="109">
        <f t="shared" si="2"/>
        <v>0</v>
      </c>
      <c r="Y32" s="109">
        <f t="shared" si="2"/>
        <v>0</v>
      </c>
      <c r="Z32" s="109">
        <f t="shared" si="2"/>
        <v>0</v>
      </c>
      <c r="AA32" s="109">
        <f t="shared" si="2"/>
        <v>0</v>
      </c>
      <c r="AB32" s="109">
        <f t="shared" si="2"/>
        <v>0</v>
      </c>
      <c r="AC32" s="109">
        <f t="shared" si="2"/>
        <v>0</v>
      </c>
      <c r="AD32" s="109">
        <f t="shared" si="2"/>
        <v>0</v>
      </c>
      <c r="AE32" s="109">
        <f t="shared" si="2"/>
        <v>0</v>
      </c>
      <c r="AF32" s="109">
        <f t="shared" si="2"/>
        <v>0</v>
      </c>
      <c r="AG32" s="109">
        <f t="shared" si="2"/>
        <v>0</v>
      </c>
      <c r="AH32" s="109">
        <f t="shared" si="2"/>
        <v>0</v>
      </c>
      <c r="AI32" s="109">
        <f t="shared" si="2"/>
        <v>0</v>
      </c>
      <c r="AJ32" s="109">
        <f t="shared" si="2"/>
        <v>0</v>
      </c>
      <c r="AK32" s="109">
        <f t="shared" si="2"/>
        <v>0</v>
      </c>
      <c r="AL32" s="109">
        <f t="shared" si="2"/>
        <v>0</v>
      </c>
      <c r="AM32" s="109">
        <f t="shared" si="2"/>
        <v>0</v>
      </c>
      <c r="AN32" s="109">
        <f t="shared" si="2"/>
        <v>0</v>
      </c>
      <c r="AO32" s="109">
        <f t="shared" si="2"/>
        <v>0</v>
      </c>
      <c r="AP32" s="109">
        <f t="shared" si="2"/>
        <v>0</v>
      </c>
      <c r="AQ32" s="109">
        <f t="shared" si="2"/>
        <v>0</v>
      </c>
      <c r="AR32" s="109">
        <f t="shared" si="2"/>
        <v>0</v>
      </c>
      <c r="AS32" s="109">
        <f t="shared" si="2"/>
        <v>0</v>
      </c>
      <c r="AT32" s="109">
        <f t="shared" si="2"/>
        <v>0</v>
      </c>
      <c r="AU32" s="109">
        <f t="shared" si="2"/>
        <v>0</v>
      </c>
      <c r="AV32" s="109">
        <f t="shared" si="2"/>
        <v>0</v>
      </c>
      <c r="AW32" s="109">
        <f t="shared" si="2"/>
        <v>0</v>
      </c>
      <c r="AX32" s="109">
        <f t="shared" si="2"/>
        <v>0</v>
      </c>
      <c r="AY32" s="109">
        <f t="shared" si="2"/>
        <v>0</v>
      </c>
      <c r="AZ32" s="109">
        <f t="shared" si="2"/>
        <v>0</v>
      </c>
      <c r="BA32" s="109">
        <f t="shared" si="2"/>
        <v>0</v>
      </c>
      <c r="BB32" s="109">
        <f t="shared" si="2"/>
        <v>0</v>
      </c>
      <c r="BC32" s="109">
        <f t="shared" si="2"/>
        <v>0</v>
      </c>
      <c r="BD32" s="109">
        <f t="shared" si="2"/>
        <v>0</v>
      </c>
      <c r="BE32" s="109">
        <f t="shared" si="2"/>
        <v>0</v>
      </c>
      <c r="BF32" s="109">
        <f t="shared" si="2"/>
        <v>0</v>
      </c>
      <c r="BG32" s="109">
        <f t="shared" si="2"/>
        <v>0</v>
      </c>
      <c r="BH32" s="109">
        <f t="shared" si="2"/>
        <v>0</v>
      </c>
      <c r="BI32" s="109">
        <f t="shared" si="2"/>
        <v>0</v>
      </c>
      <c r="BJ32" s="109">
        <f t="shared" si="2"/>
        <v>0</v>
      </c>
      <c r="BK32" s="109">
        <f t="shared" si="2"/>
        <v>0</v>
      </c>
      <c r="BL32" s="109">
        <f t="shared" si="2"/>
        <v>0</v>
      </c>
      <c r="BM32" s="109">
        <f t="shared" si="2"/>
        <v>0</v>
      </c>
      <c r="BN32" s="109">
        <f t="shared" si="2"/>
        <v>0</v>
      </c>
      <c r="BO32" s="109">
        <f t="shared" si="2"/>
        <v>0</v>
      </c>
      <c r="BP32" s="109">
        <f t="shared" si="2"/>
        <v>0</v>
      </c>
      <c r="BQ32" s="109">
        <f t="shared" si="2"/>
        <v>0</v>
      </c>
      <c r="BR32" s="109">
        <f t="shared" si="2"/>
        <v>0</v>
      </c>
      <c r="BS32" s="109">
        <f t="shared" si="2"/>
        <v>0</v>
      </c>
      <c r="BT32" s="109">
        <f t="shared" si="2"/>
        <v>0</v>
      </c>
      <c r="BU32" s="109">
        <f t="shared" si="2"/>
        <v>0</v>
      </c>
      <c r="BV32" s="109">
        <f t="shared" si="2"/>
        <v>0</v>
      </c>
      <c r="BW32" s="109">
        <f t="shared" ref="BW32:CP36" si="3">IF($F32 = BW$29, 1, 0)</f>
        <v>0</v>
      </c>
      <c r="BX32" s="109">
        <f t="shared" si="3"/>
        <v>0</v>
      </c>
      <c r="BY32" s="109">
        <f t="shared" si="3"/>
        <v>0</v>
      </c>
      <c r="BZ32" s="109">
        <f t="shared" si="3"/>
        <v>0</v>
      </c>
      <c r="CA32" s="109">
        <f t="shared" si="3"/>
        <v>0</v>
      </c>
      <c r="CB32" s="109">
        <f t="shared" si="3"/>
        <v>0</v>
      </c>
      <c r="CC32" s="109">
        <f t="shared" si="3"/>
        <v>0</v>
      </c>
      <c r="CD32" s="109">
        <f t="shared" si="3"/>
        <v>0</v>
      </c>
      <c r="CE32" s="109">
        <f t="shared" si="3"/>
        <v>0</v>
      </c>
      <c r="CF32" s="109">
        <f t="shared" si="3"/>
        <v>0</v>
      </c>
      <c r="CG32" s="109">
        <f t="shared" si="3"/>
        <v>0</v>
      </c>
      <c r="CH32" s="109">
        <f t="shared" si="3"/>
        <v>0</v>
      </c>
      <c r="CI32" s="109">
        <f t="shared" si="3"/>
        <v>0</v>
      </c>
      <c r="CJ32" s="109">
        <f t="shared" si="3"/>
        <v>0</v>
      </c>
      <c r="CK32" s="109">
        <f t="shared" si="3"/>
        <v>0</v>
      </c>
      <c r="CL32" s="109">
        <f t="shared" si="3"/>
        <v>0</v>
      </c>
      <c r="CM32" s="109">
        <f t="shared" si="3"/>
        <v>0</v>
      </c>
      <c r="CN32" s="109">
        <f t="shared" si="3"/>
        <v>0</v>
      </c>
      <c r="CO32" s="109">
        <f t="shared" si="3"/>
        <v>0</v>
      </c>
      <c r="CP32" s="109">
        <f t="shared" si="3"/>
        <v>0</v>
      </c>
      <c r="CQ32" s="58"/>
      <c r="CR32" s="36"/>
    </row>
    <row r="33" spans="1:96" x14ac:dyDescent="0.35">
      <c r="A33" s="36"/>
      <c r="B33" s="36"/>
      <c r="C33" s="36"/>
      <c r="D33" s="36"/>
      <c r="E33" s="36"/>
      <c r="F33" s="92" t="s">
        <v>197</v>
      </c>
      <c r="G33" s="92" t="s">
        <v>190</v>
      </c>
      <c r="H33" s="107"/>
      <c r="I33" s="107"/>
      <c r="J33" s="107">
        <f>IF($F33 = J$29, 1, 0)</f>
        <v>1</v>
      </c>
      <c r="K33" s="107">
        <f t="shared" ref="K33:Y33" si="4">IF($F33 = K$29, 1, 0)</f>
        <v>0</v>
      </c>
      <c r="L33" s="107">
        <f t="shared" si="4"/>
        <v>1</v>
      </c>
      <c r="M33" s="107">
        <f t="shared" si="4"/>
        <v>1</v>
      </c>
      <c r="N33" s="107">
        <f t="shared" si="4"/>
        <v>1</v>
      </c>
      <c r="O33" s="107">
        <f t="shared" si="4"/>
        <v>1</v>
      </c>
      <c r="P33" s="107">
        <f t="shared" si="4"/>
        <v>0</v>
      </c>
      <c r="Q33" s="107">
        <f t="shared" si="4"/>
        <v>1</v>
      </c>
      <c r="R33" s="107">
        <f t="shared" si="4"/>
        <v>1</v>
      </c>
      <c r="S33" s="107">
        <f t="shared" si="4"/>
        <v>1</v>
      </c>
      <c r="T33" s="107">
        <f t="shared" si="4"/>
        <v>1</v>
      </c>
      <c r="U33" s="107">
        <f t="shared" si="4"/>
        <v>1</v>
      </c>
      <c r="V33" s="107">
        <f t="shared" si="4"/>
        <v>1</v>
      </c>
      <c r="W33" s="107">
        <f t="shared" si="4"/>
        <v>0</v>
      </c>
      <c r="X33" s="107">
        <f t="shared" si="4"/>
        <v>0</v>
      </c>
      <c r="Y33" s="107">
        <f t="shared" si="4"/>
        <v>0</v>
      </c>
      <c r="Z33" s="107">
        <f t="shared" si="2"/>
        <v>0</v>
      </c>
      <c r="AA33" s="107">
        <f t="shared" si="2"/>
        <v>0</v>
      </c>
      <c r="AB33" s="107">
        <f t="shared" si="2"/>
        <v>0</v>
      </c>
      <c r="AC33" s="107">
        <f t="shared" si="2"/>
        <v>0</v>
      </c>
      <c r="AD33" s="107">
        <f t="shared" si="2"/>
        <v>0</v>
      </c>
      <c r="AE33" s="107">
        <f t="shared" si="2"/>
        <v>0</v>
      </c>
      <c r="AF33" s="107">
        <f t="shared" si="2"/>
        <v>0</v>
      </c>
      <c r="AG33" s="107">
        <f t="shared" si="2"/>
        <v>0</v>
      </c>
      <c r="AH33" s="107">
        <f t="shared" si="2"/>
        <v>0</v>
      </c>
      <c r="AI33" s="107">
        <f t="shared" si="2"/>
        <v>0</v>
      </c>
      <c r="AJ33" s="107">
        <f t="shared" si="2"/>
        <v>0</v>
      </c>
      <c r="AK33" s="107">
        <f t="shared" si="2"/>
        <v>0</v>
      </c>
      <c r="AL33" s="107">
        <f t="shared" si="2"/>
        <v>0</v>
      </c>
      <c r="AM33" s="107">
        <f t="shared" si="2"/>
        <v>0</v>
      </c>
      <c r="AN33" s="107">
        <f t="shared" si="2"/>
        <v>0</v>
      </c>
      <c r="AO33" s="107">
        <f t="shared" si="2"/>
        <v>0</v>
      </c>
      <c r="AP33" s="107">
        <f t="shared" si="2"/>
        <v>0</v>
      </c>
      <c r="AQ33" s="107">
        <f t="shared" si="2"/>
        <v>0</v>
      </c>
      <c r="AR33" s="107">
        <f t="shared" si="2"/>
        <v>0</v>
      </c>
      <c r="AS33" s="107">
        <f t="shared" si="2"/>
        <v>0</v>
      </c>
      <c r="AT33" s="107">
        <f t="shared" si="2"/>
        <v>0</v>
      </c>
      <c r="AU33" s="107">
        <f t="shared" si="2"/>
        <v>0</v>
      </c>
      <c r="AV33" s="107">
        <f t="shared" si="2"/>
        <v>0</v>
      </c>
      <c r="AW33" s="107">
        <f t="shared" si="2"/>
        <v>0</v>
      </c>
      <c r="AX33" s="107">
        <f t="shared" si="2"/>
        <v>0</v>
      </c>
      <c r="AY33" s="107">
        <f t="shared" si="2"/>
        <v>0</v>
      </c>
      <c r="AZ33" s="107">
        <f t="shared" si="2"/>
        <v>0</v>
      </c>
      <c r="BA33" s="107">
        <f t="shared" si="2"/>
        <v>0</v>
      </c>
      <c r="BB33" s="107">
        <f t="shared" si="2"/>
        <v>0</v>
      </c>
      <c r="BC33" s="107">
        <f t="shared" si="2"/>
        <v>0</v>
      </c>
      <c r="BD33" s="107">
        <f t="shared" si="2"/>
        <v>0</v>
      </c>
      <c r="BE33" s="107">
        <f t="shared" si="2"/>
        <v>0</v>
      </c>
      <c r="BF33" s="107">
        <f t="shared" si="2"/>
        <v>0</v>
      </c>
      <c r="BG33" s="107">
        <f t="shared" si="2"/>
        <v>0</v>
      </c>
      <c r="BH33" s="107">
        <f t="shared" si="2"/>
        <v>0</v>
      </c>
      <c r="BI33" s="107">
        <f t="shared" si="2"/>
        <v>0</v>
      </c>
      <c r="BJ33" s="107">
        <f t="shared" si="2"/>
        <v>0</v>
      </c>
      <c r="BK33" s="107">
        <f t="shared" si="2"/>
        <v>0</v>
      </c>
      <c r="BL33" s="107">
        <f t="shared" si="2"/>
        <v>0</v>
      </c>
      <c r="BM33" s="107">
        <f t="shared" si="2"/>
        <v>0</v>
      </c>
      <c r="BN33" s="107">
        <f t="shared" si="2"/>
        <v>0</v>
      </c>
      <c r="BO33" s="107">
        <f t="shared" si="2"/>
        <v>0</v>
      </c>
      <c r="BP33" s="107">
        <f t="shared" si="2"/>
        <v>0</v>
      </c>
      <c r="BQ33" s="107">
        <f t="shared" si="2"/>
        <v>0</v>
      </c>
      <c r="BR33" s="107">
        <f t="shared" si="2"/>
        <v>0</v>
      </c>
      <c r="BS33" s="107">
        <f t="shared" si="2"/>
        <v>0</v>
      </c>
      <c r="BT33" s="107">
        <f t="shared" si="2"/>
        <v>0</v>
      </c>
      <c r="BU33" s="107">
        <f t="shared" si="2"/>
        <v>0</v>
      </c>
      <c r="BV33" s="107">
        <f t="shared" si="2"/>
        <v>0</v>
      </c>
      <c r="BW33" s="107">
        <f t="shared" si="3"/>
        <v>0</v>
      </c>
      <c r="BX33" s="107">
        <f t="shared" si="3"/>
        <v>0</v>
      </c>
      <c r="BY33" s="107">
        <f t="shared" si="3"/>
        <v>0</v>
      </c>
      <c r="BZ33" s="107">
        <f t="shared" si="3"/>
        <v>0</v>
      </c>
      <c r="CA33" s="107">
        <f t="shared" si="3"/>
        <v>0</v>
      </c>
      <c r="CB33" s="107">
        <f t="shared" si="3"/>
        <v>0</v>
      </c>
      <c r="CC33" s="107">
        <f t="shared" si="3"/>
        <v>0</v>
      </c>
      <c r="CD33" s="107">
        <f t="shared" si="3"/>
        <v>0</v>
      </c>
      <c r="CE33" s="107">
        <f t="shared" si="3"/>
        <v>0</v>
      </c>
      <c r="CF33" s="107">
        <f t="shared" si="3"/>
        <v>0</v>
      </c>
      <c r="CG33" s="107">
        <f t="shared" si="3"/>
        <v>0</v>
      </c>
      <c r="CH33" s="107">
        <f t="shared" si="3"/>
        <v>0</v>
      </c>
      <c r="CI33" s="107">
        <f t="shared" si="3"/>
        <v>0</v>
      </c>
      <c r="CJ33" s="107">
        <f t="shared" si="3"/>
        <v>0</v>
      </c>
      <c r="CK33" s="107">
        <f t="shared" si="3"/>
        <v>0</v>
      </c>
      <c r="CL33" s="107">
        <f t="shared" si="3"/>
        <v>0</v>
      </c>
      <c r="CM33" s="107">
        <f t="shared" si="3"/>
        <v>0</v>
      </c>
      <c r="CN33" s="107">
        <f t="shared" si="3"/>
        <v>0</v>
      </c>
      <c r="CO33" s="107">
        <f t="shared" si="3"/>
        <v>0</v>
      </c>
      <c r="CP33" s="107">
        <f t="shared" si="3"/>
        <v>0</v>
      </c>
      <c r="CQ33" s="58"/>
      <c r="CR33" s="36"/>
    </row>
    <row r="34" spans="1:96" x14ac:dyDescent="0.35">
      <c r="A34" s="36"/>
      <c r="B34" s="36"/>
      <c r="C34" s="36"/>
      <c r="D34" s="36"/>
      <c r="E34" s="36"/>
      <c r="F34" s="92" t="s">
        <v>198</v>
      </c>
      <c r="G34" s="92" t="s">
        <v>190</v>
      </c>
      <c r="H34" s="107"/>
      <c r="I34" s="107"/>
      <c r="J34" s="107">
        <f>IF($F34 = J$29, 1, 0)</f>
        <v>0</v>
      </c>
      <c r="K34" s="107">
        <f t="shared" ref="K34:BV36" si="5">IF($F34 = K$29, 1, 0)</f>
        <v>0</v>
      </c>
      <c r="L34" s="107">
        <f t="shared" si="5"/>
        <v>0</v>
      </c>
      <c r="M34" s="107">
        <f t="shared" si="5"/>
        <v>0</v>
      </c>
      <c r="N34" s="107">
        <f t="shared" si="5"/>
        <v>0</v>
      </c>
      <c r="O34" s="107">
        <f t="shared" si="5"/>
        <v>0</v>
      </c>
      <c r="P34" s="107">
        <f t="shared" si="5"/>
        <v>0</v>
      </c>
      <c r="Q34" s="107">
        <f t="shared" si="5"/>
        <v>0</v>
      </c>
      <c r="R34" s="107">
        <f t="shared" si="5"/>
        <v>0</v>
      </c>
      <c r="S34" s="107">
        <f t="shared" si="5"/>
        <v>0</v>
      </c>
      <c r="T34" s="107">
        <f t="shared" si="5"/>
        <v>0</v>
      </c>
      <c r="U34" s="107">
        <f t="shared" si="5"/>
        <v>0</v>
      </c>
      <c r="V34" s="107">
        <f t="shared" si="5"/>
        <v>0</v>
      </c>
      <c r="W34" s="107">
        <f t="shared" si="5"/>
        <v>0</v>
      </c>
      <c r="X34" s="107">
        <f t="shared" si="5"/>
        <v>0</v>
      </c>
      <c r="Y34" s="107">
        <f t="shared" si="5"/>
        <v>0</v>
      </c>
      <c r="Z34" s="107">
        <f t="shared" si="5"/>
        <v>0</v>
      </c>
      <c r="AA34" s="107">
        <f t="shared" si="5"/>
        <v>0</v>
      </c>
      <c r="AB34" s="107">
        <f t="shared" si="5"/>
        <v>0</v>
      </c>
      <c r="AC34" s="107">
        <f t="shared" si="5"/>
        <v>0</v>
      </c>
      <c r="AD34" s="107">
        <f t="shared" si="5"/>
        <v>0</v>
      </c>
      <c r="AE34" s="107">
        <f t="shared" si="5"/>
        <v>0</v>
      </c>
      <c r="AF34" s="107">
        <f t="shared" si="5"/>
        <v>0</v>
      </c>
      <c r="AG34" s="107">
        <f t="shared" si="5"/>
        <v>0</v>
      </c>
      <c r="AH34" s="107">
        <f t="shared" si="5"/>
        <v>0</v>
      </c>
      <c r="AI34" s="107">
        <f t="shared" si="5"/>
        <v>1</v>
      </c>
      <c r="AJ34" s="107">
        <f t="shared" si="5"/>
        <v>1</v>
      </c>
      <c r="AK34" s="107">
        <f t="shared" si="5"/>
        <v>0</v>
      </c>
      <c r="AL34" s="107">
        <f t="shared" si="5"/>
        <v>0</v>
      </c>
      <c r="AM34" s="107">
        <f t="shared" si="5"/>
        <v>0</v>
      </c>
      <c r="AN34" s="107">
        <f t="shared" si="5"/>
        <v>0</v>
      </c>
      <c r="AO34" s="107">
        <f t="shared" si="5"/>
        <v>0</v>
      </c>
      <c r="AP34" s="107">
        <f t="shared" si="5"/>
        <v>1</v>
      </c>
      <c r="AQ34" s="107">
        <f t="shared" si="5"/>
        <v>1</v>
      </c>
      <c r="AR34" s="107">
        <f t="shared" si="5"/>
        <v>0</v>
      </c>
      <c r="AS34" s="107">
        <f t="shared" si="5"/>
        <v>0</v>
      </c>
      <c r="AT34" s="107">
        <f t="shared" si="5"/>
        <v>1</v>
      </c>
      <c r="AU34" s="107">
        <f t="shared" si="5"/>
        <v>1</v>
      </c>
      <c r="AV34" s="107">
        <f t="shared" si="5"/>
        <v>1</v>
      </c>
      <c r="AW34" s="107">
        <f t="shared" si="5"/>
        <v>1</v>
      </c>
      <c r="AX34" s="107">
        <f t="shared" si="5"/>
        <v>0</v>
      </c>
      <c r="AY34" s="107">
        <f t="shared" si="5"/>
        <v>0</v>
      </c>
      <c r="AZ34" s="107">
        <f t="shared" si="5"/>
        <v>0</v>
      </c>
      <c r="BA34" s="107">
        <f t="shared" si="5"/>
        <v>0</v>
      </c>
      <c r="BB34" s="107">
        <f t="shared" si="5"/>
        <v>0</v>
      </c>
      <c r="BC34" s="107">
        <f t="shared" si="5"/>
        <v>0</v>
      </c>
      <c r="BD34" s="107">
        <f t="shared" si="5"/>
        <v>0</v>
      </c>
      <c r="BE34" s="107">
        <f t="shared" si="5"/>
        <v>0</v>
      </c>
      <c r="BF34" s="107">
        <f t="shared" si="5"/>
        <v>0</v>
      </c>
      <c r="BG34" s="107">
        <f t="shared" si="5"/>
        <v>0</v>
      </c>
      <c r="BH34" s="107">
        <f t="shared" si="5"/>
        <v>0</v>
      </c>
      <c r="BI34" s="107">
        <f t="shared" si="5"/>
        <v>0</v>
      </c>
      <c r="BJ34" s="107">
        <f t="shared" si="5"/>
        <v>0</v>
      </c>
      <c r="BK34" s="107">
        <f t="shared" si="5"/>
        <v>0</v>
      </c>
      <c r="BL34" s="107">
        <f t="shared" si="5"/>
        <v>0</v>
      </c>
      <c r="BM34" s="107">
        <f t="shared" si="5"/>
        <v>0</v>
      </c>
      <c r="BN34" s="107">
        <f t="shared" si="5"/>
        <v>0</v>
      </c>
      <c r="BO34" s="107">
        <f t="shared" si="5"/>
        <v>0</v>
      </c>
      <c r="BP34" s="107">
        <f t="shared" si="5"/>
        <v>0</v>
      </c>
      <c r="BQ34" s="107">
        <f t="shared" si="5"/>
        <v>0</v>
      </c>
      <c r="BR34" s="107">
        <f t="shared" si="5"/>
        <v>0</v>
      </c>
      <c r="BS34" s="107">
        <f t="shared" si="5"/>
        <v>0</v>
      </c>
      <c r="BT34" s="107">
        <f t="shared" si="5"/>
        <v>0</v>
      </c>
      <c r="BU34" s="107">
        <f t="shared" si="5"/>
        <v>0</v>
      </c>
      <c r="BV34" s="107">
        <f t="shared" si="5"/>
        <v>0</v>
      </c>
      <c r="BW34" s="107">
        <f t="shared" si="3"/>
        <v>0</v>
      </c>
      <c r="BX34" s="107">
        <f t="shared" si="3"/>
        <v>0</v>
      </c>
      <c r="BY34" s="107">
        <f t="shared" si="3"/>
        <v>0</v>
      </c>
      <c r="BZ34" s="107">
        <f t="shared" si="3"/>
        <v>0</v>
      </c>
      <c r="CA34" s="107">
        <f t="shared" si="3"/>
        <v>0</v>
      </c>
      <c r="CB34" s="107">
        <f t="shared" si="3"/>
        <v>0</v>
      </c>
      <c r="CC34" s="107">
        <f t="shared" si="3"/>
        <v>0</v>
      </c>
      <c r="CD34" s="107">
        <f t="shared" si="3"/>
        <v>0</v>
      </c>
      <c r="CE34" s="107">
        <f t="shared" si="3"/>
        <v>0</v>
      </c>
      <c r="CF34" s="107">
        <f t="shared" si="3"/>
        <v>0</v>
      </c>
      <c r="CG34" s="107">
        <f t="shared" si="3"/>
        <v>0</v>
      </c>
      <c r="CH34" s="107">
        <f t="shared" si="3"/>
        <v>0</v>
      </c>
      <c r="CI34" s="107">
        <f t="shared" si="3"/>
        <v>0</v>
      </c>
      <c r="CJ34" s="107">
        <f t="shared" si="3"/>
        <v>0</v>
      </c>
      <c r="CK34" s="107">
        <f t="shared" si="3"/>
        <v>0</v>
      </c>
      <c r="CL34" s="107">
        <f t="shared" si="3"/>
        <v>0</v>
      </c>
      <c r="CM34" s="107">
        <f t="shared" si="3"/>
        <v>0</v>
      </c>
      <c r="CN34" s="107">
        <f t="shared" si="3"/>
        <v>0</v>
      </c>
      <c r="CO34" s="107">
        <f t="shared" si="3"/>
        <v>0</v>
      </c>
      <c r="CP34" s="107">
        <f t="shared" si="3"/>
        <v>0</v>
      </c>
      <c r="CQ34" s="58"/>
      <c r="CR34" s="36"/>
    </row>
    <row r="35" spans="1:96" x14ac:dyDescent="0.35">
      <c r="A35" s="36"/>
      <c r="B35" s="36"/>
      <c r="C35" s="36"/>
      <c r="D35" s="36"/>
      <c r="E35" s="36"/>
      <c r="F35" s="92" t="s">
        <v>199</v>
      </c>
      <c r="G35" s="92" t="s">
        <v>190</v>
      </c>
      <c r="H35" s="107"/>
      <c r="I35" s="107"/>
      <c r="J35" s="107">
        <f>IF($F35 = J$29, 1, 0)</f>
        <v>0</v>
      </c>
      <c r="K35" s="107">
        <f t="shared" si="5"/>
        <v>0</v>
      </c>
      <c r="L35" s="107">
        <f t="shared" si="5"/>
        <v>0</v>
      </c>
      <c r="M35" s="107">
        <f t="shared" si="5"/>
        <v>0</v>
      </c>
      <c r="N35" s="107">
        <f t="shared" si="5"/>
        <v>0</v>
      </c>
      <c r="O35" s="107">
        <f t="shared" si="5"/>
        <v>0</v>
      </c>
      <c r="P35" s="107">
        <f t="shared" si="5"/>
        <v>0</v>
      </c>
      <c r="Q35" s="107">
        <f t="shared" si="5"/>
        <v>0</v>
      </c>
      <c r="R35" s="107">
        <f t="shared" si="5"/>
        <v>0</v>
      </c>
      <c r="S35" s="107">
        <f t="shared" si="5"/>
        <v>0</v>
      </c>
      <c r="T35" s="107">
        <f t="shared" si="5"/>
        <v>0</v>
      </c>
      <c r="U35" s="107">
        <f t="shared" si="5"/>
        <v>0</v>
      </c>
      <c r="V35" s="107">
        <f t="shared" si="5"/>
        <v>0</v>
      </c>
      <c r="W35" s="107">
        <f t="shared" si="5"/>
        <v>1</v>
      </c>
      <c r="X35" s="107">
        <f t="shared" si="5"/>
        <v>1</v>
      </c>
      <c r="Y35" s="107">
        <f t="shared" si="5"/>
        <v>1</v>
      </c>
      <c r="Z35" s="107">
        <f t="shared" si="5"/>
        <v>1</v>
      </c>
      <c r="AA35" s="107">
        <f t="shared" si="5"/>
        <v>1</v>
      </c>
      <c r="AB35" s="107">
        <f t="shared" si="5"/>
        <v>1</v>
      </c>
      <c r="AC35" s="107">
        <f t="shared" si="5"/>
        <v>1</v>
      </c>
      <c r="AD35" s="107">
        <f t="shared" si="5"/>
        <v>1</v>
      </c>
      <c r="AE35" s="107">
        <f t="shared" si="5"/>
        <v>1</v>
      </c>
      <c r="AF35" s="107">
        <f t="shared" si="5"/>
        <v>1</v>
      </c>
      <c r="AG35" s="107">
        <f t="shared" si="5"/>
        <v>1</v>
      </c>
      <c r="AH35" s="107">
        <f t="shared" si="5"/>
        <v>1</v>
      </c>
      <c r="AI35" s="107">
        <f t="shared" si="5"/>
        <v>0</v>
      </c>
      <c r="AJ35" s="107">
        <f t="shared" si="5"/>
        <v>0</v>
      </c>
      <c r="AK35" s="107">
        <f t="shared" si="5"/>
        <v>1</v>
      </c>
      <c r="AL35" s="107">
        <f t="shared" si="5"/>
        <v>1</v>
      </c>
      <c r="AM35" s="107">
        <f t="shared" si="5"/>
        <v>1</v>
      </c>
      <c r="AN35" s="107">
        <f t="shared" si="5"/>
        <v>1</v>
      </c>
      <c r="AO35" s="107">
        <f t="shared" si="5"/>
        <v>1</v>
      </c>
      <c r="AP35" s="107">
        <f t="shared" si="5"/>
        <v>0</v>
      </c>
      <c r="AQ35" s="107">
        <f t="shared" si="5"/>
        <v>0</v>
      </c>
      <c r="AR35" s="107">
        <f t="shared" si="5"/>
        <v>1</v>
      </c>
      <c r="AS35" s="107">
        <f t="shared" si="5"/>
        <v>1</v>
      </c>
      <c r="AT35" s="107">
        <f t="shared" si="5"/>
        <v>0</v>
      </c>
      <c r="AU35" s="107">
        <f t="shared" si="5"/>
        <v>0</v>
      </c>
      <c r="AV35" s="107">
        <f t="shared" si="5"/>
        <v>0</v>
      </c>
      <c r="AW35" s="107">
        <f t="shared" si="5"/>
        <v>0</v>
      </c>
      <c r="AX35" s="107">
        <f t="shared" si="5"/>
        <v>0</v>
      </c>
      <c r="AY35" s="107">
        <f t="shared" si="5"/>
        <v>0</v>
      </c>
      <c r="AZ35" s="107">
        <f t="shared" si="5"/>
        <v>0</v>
      </c>
      <c r="BA35" s="107">
        <f t="shared" si="5"/>
        <v>0</v>
      </c>
      <c r="BB35" s="107">
        <f t="shared" si="5"/>
        <v>0</v>
      </c>
      <c r="BC35" s="107">
        <f t="shared" si="5"/>
        <v>0</v>
      </c>
      <c r="BD35" s="107">
        <f t="shared" si="5"/>
        <v>0</v>
      </c>
      <c r="BE35" s="107">
        <f t="shared" si="5"/>
        <v>0</v>
      </c>
      <c r="BF35" s="107">
        <f t="shared" si="5"/>
        <v>0</v>
      </c>
      <c r="BG35" s="107">
        <f t="shared" si="5"/>
        <v>0</v>
      </c>
      <c r="BH35" s="107">
        <f t="shared" si="5"/>
        <v>0</v>
      </c>
      <c r="BI35" s="107">
        <f t="shared" si="5"/>
        <v>0</v>
      </c>
      <c r="BJ35" s="107">
        <f t="shared" si="5"/>
        <v>0</v>
      </c>
      <c r="BK35" s="107">
        <f t="shared" si="5"/>
        <v>0</v>
      </c>
      <c r="BL35" s="107">
        <f t="shared" si="5"/>
        <v>0</v>
      </c>
      <c r="BM35" s="107">
        <f t="shared" si="5"/>
        <v>0</v>
      </c>
      <c r="BN35" s="107">
        <f t="shared" si="5"/>
        <v>0</v>
      </c>
      <c r="BO35" s="107">
        <f t="shared" si="5"/>
        <v>0</v>
      </c>
      <c r="BP35" s="107">
        <f t="shared" si="5"/>
        <v>0</v>
      </c>
      <c r="BQ35" s="107">
        <f t="shared" si="5"/>
        <v>0</v>
      </c>
      <c r="BR35" s="107">
        <f t="shared" si="5"/>
        <v>0</v>
      </c>
      <c r="BS35" s="107">
        <f t="shared" si="5"/>
        <v>0</v>
      </c>
      <c r="BT35" s="107">
        <f t="shared" si="5"/>
        <v>0</v>
      </c>
      <c r="BU35" s="107">
        <f t="shared" si="5"/>
        <v>0</v>
      </c>
      <c r="BV35" s="107">
        <f t="shared" si="5"/>
        <v>0</v>
      </c>
      <c r="BW35" s="107">
        <f t="shared" si="3"/>
        <v>0</v>
      </c>
      <c r="BX35" s="107">
        <f t="shared" si="3"/>
        <v>0</v>
      </c>
      <c r="BY35" s="107">
        <f t="shared" si="3"/>
        <v>0</v>
      </c>
      <c r="BZ35" s="107">
        <f t="shared" si="3"/>
        <v>0</v>
      </c>
      <c r="CA35" s="107">
        <f t="shared" si="3"/>
        <v>0</v>
      </c>
      <c r="CB35" s="107">
        <f t="shared" si="3"/>
        <v>0</v>
      </c>
      <c r="CC35" s="107">
        <f t="shared" si="3"/>
        <v>0</v>
      </c>
      <c r="CD35" s="107">
        <f t="shared" si="3"/>
        <v>0</v>
      </c>
      <c r="CE35" s="107">
        <f t="shared" si="3"/>
        <v>0</v>
      </c>
      <c r="CF35" s="107">
        <f t="shared" si="3"/>
        <v>0</v>
      </c>
      <c r="CG35" s="107">
        <f t="shared" si="3"/>
        <v>0</v>
      </c>
      <c r="CH35" s="107">
        <f t="shared" si="3"/>
        <v>0</v>
      </c>
      <c r="CI35" s="107">
        <f t="shared" si="3"/>
        <v>0</v>
      </c>
      <c r="CJ35" s="107">
        <f t="shared" si="3"/>
        <v>0</v>
      </c>
      <c r="CK35" s="107">
        <f t="shared" si="3"/>
        <v>0</v>
      </c>
      <c r="CL35" s="107">
        <f t="shared" si="3"/>
        <v>0</v>
      </c>
      <c r="CM35" s="107">
        <f t="shared" si="3"/>
        <v>0</v>
      </c>
      <c r="CN35" s="107">
        <f t="shared" si="3"/>
        <v>0</v>
      </c>
      <c r="CO35" s="107">
        <f t="shared" si="3"/>
        <v>1</v>
      </c>
      <c r="CP35" s="107">
        <f t="shared" si="3"/>
        <v>1</v>
      </c>
      <c r="CQ35" s="58"/>
      <c r="CR35" s="36"/>
    </row>
    <row r="36" spans="1:96" x14ac:dyDescent="0.35">
      <c r="A36" s="36"/>
      <c r="B36" s="36"/>
      <c r="C36" s="36"/>
      <c r="D36" s="36"/>
      <c r="E36" s="36"/>
      <c r="F36" s="94" t="s">
        <v>201</v>
      </c>
      <c r="G36" s="94" t="s">
        <v>190</v>
      </c>
      <c r="H36" s="111"/>
      <c r="I36" s="111"/>
      <c r="J36" s="111">
        <f>IF($F36 = J$29, 1, 0)</f>
        <v>0</v>
      </c>
      <c r="K36" s="111">
        <f t="shared" si="5"/>
        <v>0</v>
      </c>
      <c r="L36" s="111">
        <f t="shared" si="5"/>
        <v>0</v>
      </c>
      <c r="M36" s="111">
        <f t="shared" si="5"/>
        <v>0</v>
      </c>
      <c r="N36" s="111">
        <f t="shared" si="5"/>
        <v>0</v>
      </c>
      <c r="O36" s="111">
        <f t="shared" si="5"/>
        <v>0</v>
      </c>
      <c r="P36" s="111">
        <f t="shared" si="5"/>
        <v>0</v>
      </c>
      <c r="Q36" s="111">
        <f t="shared" si="5"/>
        <v>0</v>
      </c>
      <c r="R36" s="111">
        <f t="shared" si="5"/>
        <v>0</v>
      </c>
      <c r="S36" s="111">
        <f t="shared" si="5"/>
        <v>0</v>
      </c>
      <c r="T36" s="111">
        <f t="shared" si="5"/>
        <v>0</v>
      </c>
      <c r="U36" s="111">
        <f t="shared" si="5"/>
        <v>0</v>
      </c>
      <c r="V36" s="111">
        <f t="shared" si="5"/>
        <v>0</v>
      </c>
      <c r="W36" s="111">
        <f t="shared" si="5"/>
        <v>0</v>
      </c>
      <c r="X36" s="111">
        <f t="shared" si="5"/>
        <v>0</v>
      </c>
      <c r="Y36" s="111">
        <f t="shared" si="5"/>
        <v>0</v>
      </c>
      <c r="Z36" s="111">
        <f t="shared" si="5"/>
        <v>0</v>
      </c>
      <c r="AA36" s="111">
        <f t="shared" si="5"/>
        <v>0</v>
      </c>
      <c r="AB36" s="111">
        <f t="shared" si="5"/>
        <v>0</v>
      </c>
      <c r="AC36" s="111">
        <f t="shared" si="5"/>
        <v>0</v>
      </c>
      <c r="AD36" s="111">
        <f t="shared" si="5"/>
        <v>0</v>
      </c>
      <c r="AE36" s="111">
        <f t="shared" si="5"/>
        <v>0</v>
      </c>
      <c r="AF36" s="111">
        <f t="shared" si="5"/>
        <v>0</v>
      </c>
      <c r="AG36" s="111">
        <f t="shared" si="5"/>
        <v>0</v>
      </c>
      <c r="AH36" s="111">
        <f t="shared" si="5"/>
        <v>0</v>
      </c>
      <c r="AI36" s="111">
        <f t="shared" si="5"/>
        <v>0</v>
      </c>
      <c r="AJ36" s="111">
        <f t="shared" si="5"/>
        <v>0</v>
      </c>
      <c r="AK36" s="111">
        <f t="shared" si="5"/>
        <v>0</v>
      </c>
      <c r="AL36" s="111">
        <f t="shared" si="5"/>
        <v>0</v>
      </c>
      <c r="AM36" s="111">
        <f t="shared" si="5"/>
        <v>0</v>
      </c>
      <c r="AN36" s="111">
        <f t="shared" si="5"/>
        <v>0</v>
      </c>
      <c r="AO36" s="111">
        <f t="shared" si="5"/>
        <v>0</v>
      </c>
      <c r="AP36" s="111">
        <f t="shared" si="5"/>
        <v>0</v>
      </c>
      <c r="AQ36" s="111">
        <f t="shared" si="5"/>
        <v>0</v>
      </c>
      <c r="AR36" s="111">
        <f t="shared" si="5"/>
        <v>0</v>
      </c>
      <c r="AS36" s="111">
        <f t="shared" si="5"/>
        <v>0</v>
      </c>
      <c r="AT36" s="111">
        <f t="shared" si="5"/>
        <v>0</v>
      </c>
      <c r="AU36" s="111">
        <f t="shared" si="5"/>
        <v>0</v>
      </c>
      <c r="AV36" s="111">
        <f t="shared" si="5"/>
        <v>0</v>
      </c>
      <c r="AW36" s="111">
        <f t="shared" si="5"/>
        <v>0</v>
      </c>
      <c r="AX36" s="111">
        <f t="shared" si="5"/>
        <v>1</v>
      </c>
      <c r="AY36" s="111">
        <f t="shared" si="5"/>
        <v>1</v>
      </c>
      <c r="AZ36" s="111">
        <f t="shared" si="5"/>
        <v>1</v>
      </c>
      <c r="BA36" s="111">
        <f t="shared" si="5"/>
        <v>1</v>
      </c>
      <c r="BB36" s="111">
        <f t="shared" si="5"/>
        <v>1</v>
      </c>
      <c r="BC36" s="111">
        <f t="shared" si="5"/>
        <v>1</v>
      </c>
      <c r="BD36" s="111">
        <f t="shared" si="5"/>
        <v>1</v>
      </c>
      <c r="BE36" s="111">
        <f t="shared" si="5"/>
        <v>1</v>
      </c>
      <c r="BF36" s="111">
        <f t="shared" si="5"/>
        <v>1</v>
      </c>
      <c r="BG36" s="111">
        <f t="shared" si="5"/>
        <v>1</v>
      </c>
      <c r="BH36" s="111">
        <f t="shared" si="5"/>
        <v>1</v>
      </c>
      <c r="BI36" s="111">
        <f t="shared" si="5"/>
        <v>1</v>
      </c>
      <c r="BJ36" s="111">
        <f t="shared" si="5"/>
        <v>1</v>
      </c>
      <c r="BK36" s="111">
        <f t="shared" si="5"/>
        <v>1</v>
      </c>
      <c r="BL36" s="111">
        <f t="shared" si="5"/>
        <v>1</v>
      </c>
      <c r="BM36" s="111">
        <f t="shared" si="5"/>
        <v>1</v>
      </c>
      <c r="BN36" s="111">
        <f t="shared" si="5"/>
        <v>1</v>
      </c>
      <c r="BO36" s="111">
        <f t="shared" si="5"/>
        <v>1</v>
      </c>
      <c r="BP36" s="111">
        <f t="shared" si="5"/>
        <v>1</v>
      </c>
      <c r="BQ36" s="111">
        <f t="shared" si="5"/>
        <v>1</v>
      </c>
      <c r="BR36" s="111">
        <f t="shared" si="5"/>
        <v>1</v>
      </c>
      <c r="BS36" s="111">
        <f t="shared" si="5"/>
        <v>1</v>
      </c>
      <c r="BT36" s="111">
        <f t="shared" si="5"/>
        <v>1</v>
      </c>
      <c r="BU36" s="111">
        <f t="shared" si="5"/>
        <v>1</v>
      </c>
      <c r="BV36" s="111">
        <f t="shared" si="5"/>
        <v>1</v>
      </c>
      <c r="BW36" s="111">
        <f t="shared" si="3"/>
        <v>1</v>
      </c>
      <c r="BX36" s="111">
        <f t="shared" si="3"/>
        <v>1</v>
      </c>
      <c r="BY36" s="111">
        <f t="shared" si="3"/>
        <v>1</v>
      </c>
      <c r="BZ36" s="111">
        <f t="shared" si="3"/>
        <v>1</v>
      </c>
      <c r="CA36" s="111">
        <f t="shared" si="3"/>
        <v>1</v>
      </c>
      <c r="CB36" s="111">
        <f t="shared" si="3"/>
        <v>1</v>
      </c>
      <c r="CC36" s="111">
        <f t="shared" si="3"/>
        <v>1</v>
      </c>
      <c r="CD36" s="111">
        <f t="shared" si="3"/>
        <v>1</v>
      </c>
      <c r="CE36" s="111">
        <f t="shared" si="3"/>
        <v>1</v>
      </c>
      <c r="CF36" s="111">
        <f t="shared" si="3"/>
        <v>1</v>
      </c>
      <c r="CG36" s="111">
        <f t="shared" si="3"/>
        <v>1</v>
      </c>
      <c r="CH36" s="111">
        <f t="shared" si="3"/>
        <v>1</v>
      </c>
      <c r="CI36" s="111">
        <f t="shared" si="3"/>
        <v>1</v>
      </c>
      <c r="CJ36" s="111">
        <f t="shared" si="3"/>
        <v>1</v>
      </c>
      <c r="CK36" s="111">
        <f t="shared" si="3"/>
        <v>1</v>
      </c>
      <c r="CL36" s="111">
        <f t="shared" si="3"/>
        <v>1</v>
      </c>
      <c r="CM36" s="111">
        <f t="shared" si="3"/>
        <v>1</v>
      </c>
      <c r="CN36" s="111">
        <f t="shared" si="3"/>
        <v>1</v>
      </c>
      <c r="CO36" s="111">
        <f t="shared" si="3"/>
        <v>0</v>
      </c>
      <c r="CP36" s="111">
        <f t="shared" si="3"/>
        <v>0</v>
      </c>
      <c r="CQ36" s="58"/>
      <c r="CR36" s="36"/>
    </row>
    <row r="37" spans="1:96" x14ac:dyDescent="0.35">
      <c r="A37" s="36"/>
      <c r="B37" s="36"/>
      <c r="C37" s="36"/>
      <c r="D37" s="36"/>
      <c r="E37" s="36"/>
      <c r="F37" s="36"/>
      <c r="G37" s="36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36"/>
    </row>
    <row r="38" spans="1:96" x14ac:dyDescent="0.35">
      <c r="A38" s="36"/>
      <c r="B38" s="36"/>
      <c r="C38" s="36"/>
      <c r="D38" s="36"/>
      <c r="E38" s="92" t="s">
        <v>495</v>
      </c>
      <c r="F38" s="36"/>
      <c r="G38" s="92" t="s">
        <v>73</v>
      </c>
      <c r="H38" s="107"/>
      <c r="I38" s="107"/>
      <c r="J38" s="107">
        <f>IF(SUM(J32:J36) = 1, 0, 1)</f>
        <v>0</v>
      </c>
      <c r="K38" s="107">
        <f t="shared" ref="K38:BV38" si="6">IF(SUM(K32:K36) = 1, 0, 1)</f>
        <v>0</v>
      </c>
      <c r="L38" s="107">
        <f t="shared" si="6"/>
        <v>0</v>
      </c>
      <c r="M38" s="107">
        <f t="shared" si="6"/>
        <v>0</v>
      </c>
      <c r="N38" s="107">
        <f t="shared" si="6"/>
        <v>0</v>
      </c>
      <c r="O38" s="107">
        <f t="shared" si="6"/>
        <v>0</v>
      </c>
      <c r="P38" s="107">
        <f t="shared" si="6"/>
        <v>0</v>
      </c>
      <c r="Q38" s="107">
        <f t="shared" si="6"/>
        <v>0</v>
      </c>
      <c r="R38" s="107">
        <f t="shared" si="6"/>
        <v>0</v>
      </c>
      <c r="S38" s="107">
        <f t="shared" si="6"/>
        <v>0</v>
      </c>
      <c r="T38" s="107">
        <f t="shared" si="6"/>
        <v>0</v>
      </c>
      <c r="U38" s="107">
        <f t="shared" si="6"/>
        <v>0</v>
      </c>
      <c r="V38" s="107">
        <f t="shared" si="6"/>
        <v>0</v>
      </c>
      <c r="W38" s="107">
        <f t="shared" si="6"/>
        <v>0</v>
      </c>
      <c r="X38" s="107">
        <f t="shared" si="6"/>
        <v>0</v>
      </c>
      <c r="Y38" s="107">
        <f t="shared" si="6"/>
        <v>0</v>
      </c>
      <c r="Z38" s="107">
        <f t="shared" si="6"/>
        <v>0</v>
      </c>
      <c r="AA38" s="107">
        <f t="shared" si="6"/>
        <v>0</v>
      </c>
      <c r="AB38" s="107">
        <f t="shared" si="6"/>
        <v>0</v>
      </c>
      <c r="AC38" s="107">
        <f t="shared" si="6"/>
        <v>0</v>
      </c>
      <c r="AD38" s="107">
        <f t="shared" si="6"/>
        <v>0</v>
      </c>
      <c r="AE38" s="107">
        <f t="shared" si="6"/>
        <v>0</v>
      </c>
      <c r="AF38" s="107">
        <f t="shared" si="6"/>
        <v>0</v>
      </c>
      <c r="AG38" s="107">
        <f t="shared" si="6"/>
        <v>0</v>
      </c>
      <c r="AH38" s="107">
        <f t="shared" si="6"/>
        <v>0</v>
      </c>
      <c r="AI38" s="107">
        <f t="shared" si="6"/>
        <v>0</v>
      </c>
      <c r="AJ38" s="107">
        <f t="shared" si="6"/>
        <v>0</v>
      </c>
      <c r="AK38" s="107">
        <f t="shared" si="6"/>
        <v>0</v>
      </c>
      <c r="AL38" s="107">
        <f t="shared" si="6"/>
        <v>0</v>
      </c>
      <c r="AM38" s="107">
        <f t="shared" si="6"/>
        <v>0</v>
      </c>
      <c r="AN38" s="107">
        <f t="shared" si="6"/>
        <v>0</v>
      </c>
      <c r="AO38" s="107">
        <f t="shared" si="6"/>
        <v>0</v>
      </c>
      <c r="AP38" s="107">
        <f t="shared" si="6"/>
        <v>0</v>
      </c>
      <c r="AQ38" s="107">
        <f t="shared" si="6"/>
        <v>0</v>
      </c>
      <c r="AR38" s="107">
        <f t="shared" si="6"/>
        <v>0</v>
      </c>
      <c r="AS38" s="107">
        <f t="shared" si="6"/>
        <v>0</v>
      </c>
      <c r="AT38" s="107">
        <f t="shared" si="6"/>
        <v>0</v>
      </c>
      <c r="AU38" s="107">
        <f t="shared" si="6"/>
        <v>0</v>
      </c>
      <c r="AV38" s="107">
        <f t="shared" si="6"/>
        <v>0</v>
      </c>
      <c r="AW38" s="107">
        <f t="shared" si="6"/>
        <v>0</v>
      </c>
      <c r="AX38" s="107">
        <f t="shared" si="6"/>
        <v>0</v>
      </c>
      <c r="AY38" s="107">
        <f t="shared" si="6"/>
        <v>0</v>
      </c>
      <c r="AZ38" s="107">
        <f t="shared" si="6"/>
        <v>0</v>
      </c>
      <c r="BA38" s="107">
        <f t="shared" si="6"/>
        <v>0</v>
      </c>
      <c r="BB38" s="107">
        <f t="shared" si="6"/>
        <v>0</v>
      </c>
      <c r="BC38" s="107">
        <f t="shared" si="6"/>
        <v>0</v>
      </c>
      <c r="BD38" s="107">
        <f t="shared" si="6"/>
        <v>0</v>
      </c>
      <c r="BE38" s="107">
        <f t="shared" si="6"/>
        <v>0</v>
      </c>
      <c r="BF38" s="107">
        <f t="shared" si="6"/>
        <v>0</v>
      </c>
      <c r="BG38" s="107">
        <f t="shared" si="6"/>
        <v>0</v>
      </c>
      <c r="BH38" s="107">
        <f t="shared" si="6"/>
        <v>0</v>
      </c>
      <c r="BI38" s="107">
        <f t="shared" si="6"/>
        <v>0</v>
      </c>
      <c r="BJ38" s="107">
        <f t="shared" si="6"/>
        <v>0</v>
      </c>
      <c r="BK38" s="107">
        <f t="shared" si="6"/>
        <v>0</v>
      </c>
      <c r="BL38" s="107">
        <f t="shared" si="6"/>
        <v>0</v>
      </c>
      <c r="BM38" s="107">
        <f t="shared" si="6"/>
        <v>0</v>
      </c>
      <c r="BN38" s="107">
        <f t="shared" si="6"/>
        <v>0</v>
      </c>
      <c r="BO38" s="107">
        <f t="shared" si="6"/>
        <v>0</v>
      </c>
      <c r="BP38" s="107">
        <f t="shared" si="6"/>
        <v>0</v>
      </c>
      <c r="BQ38" s="107">
        <f t="shared" si="6"/>
        <v>0</v>
      </c>
      <c r="BR38" s="107">
        <f t="shared" si="6"/>
        <v>0</v>
      </c>
      <c r="BS38" s="107">
        <f t="shared" si="6"/>
        <v>0</v>
      </c>
      <c r="BT38" s="107">
        <f t="shared" si="6"/>
        <v>0</v>
      </c>
      <c r="BU38" s="107">
        <f t="shared" si="6"/>
        <v>0</v>
      </c>
      <c r="BV38" s="107">
        <f t="shared" si="6"/>
        <v>0</v>
      </c>
      <c r="BW38" s="107">
        <f t="shared" ref="BW38:CP38" si="7">IF(SUM(BW32:BW36) = 1, 0, 1)</f>
        <v>0</v>
      </c>
      <c r="BX38" s="107">
        <f t="shared" si="7"/>
        <v>0</v>
      </c>
      <c r="BY38" s="107">
        <f t="shared" si="7"/>
        <v>0</v>
      </c>
      <c r="BZ38" s="107">
        <f t="shared" si="7"/>
        <v>0</v>
      </c>
      <c r="CA38" s="107">
        <f t="shared" si="7"/>
        <v>0</v>
      </c>
      <c r="CB38" s="107">
        <f t="shared" si="7"/>
        <v>0</v>
      </c>
      <c r="CC38" s="107">
        <f t="shared" si="7"/>
        <v>0</v>
      </c>
      <c r="CD38" s="107">
        <f t="shared" si="7"/>
        <v>0</v>
      </c>
      <c r="CE38" s="107">
        <f t="shared" si="7"/>
        <v>0</v>
      </c>
      <c r="CF38" s="107">
        <f t="shared" si="7"/>
        <v>0</v>
      </c>
      <c r="CG38" s="107">
        <f t="shared" si="7"/>
        <v>0</v>
      </c>
      <c r="CH38" s="107">
        <f t="shared" si="7"/>
        <v>0</v>
      </c>
      <c r="CI38" s="107">
        <f t="shared" si="7"/>
        <v>0</v>
      </c>
      <c r="CJ38" s="107">
        <f t="shared" si="7"/>
        <v>0</v>
      </c>
      <c r="CK38" s="107">
        <f t="shared" si="7"/>
        <v>0</v>
      </c>
      <c r="CL38" s="107">
        <f t="shared" si="7"/>
        <v>0</v>
      </c>
      <c r="CM38" s="107">
        <f t="shared" si="7"/>
        <v>0</v>
      </c>
      <c r="CN38" s="107">
        <f t="shared" si="7"/>
        <v>0</v>
      </c>
      <c r="CO38" s="107">
        <f t="shared" si="7"/>
        <v>0</v>
      </c>
      <c r="CP38" s="107">
        <f t="shared" si="7"/>
        <v>0</v>
      </c>
      <c r="CQ38" s="58"/>
      <c r="CR38" s="36"/>
    </row>
    <row r="39" spans="1:96" x14ac:dyDescent="0.35">
      <c r="A39" s="36"/>
      <c r="B39" s="36"/>
      <c r="C39" s="36"/>
      <c r="D39" s="36"/>
      <c r="E39" s="92" t="s">
        <v>496</v>
      </c>
      <c r="F39" s="36"/>
      <c r="G39" s="92" t="s">
        <v>73</v>
      </c>
      <c r="H39" s="107">
        <f>SUM(J38:CP38)</f>
        <v>0</v>
      </c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07"/>
      <c r="BN39" s="107"/>
      <c r="BO39" s="107"/>
      <c r="BP39" s="107"/>
      <c r="BQ39" s="107"/>
      <c r="BR39" s="107"/>
      <c r="BS39" s="107"/>
      <c r="BT39" s="107"/>
      <c r="BU39" s="107"/>
      <c r="BV39" s="107"/>
      <c r="BW39" s="107"/>
      <c r="BX39" s="107"/>
      <c r="BY39" s="107"/>
      <c r="BZ39" s="107"/>
      <c r="CA39" s="107"/>
      <c r="CB39" s="107"/>
      <c r="CC39" s="107"/>
      <c r="CD39" s="107"/>
      <c r="CE39" s="107"/>
      <c r="CF39" s="107"/>
      <c r="CG39" s="107"/>
      <c r="CH39" s="107"/>
      <c r="CI39" s="107"/>
      <c r="CJ39" s="107"/>
      <c r="CK39" s="107"/>
      <c r="CL39" s="107"/>
      <c r="CM39" s="107"/>
      <c r="CN39" s="107"/>
      <c r="CO39" s="107"/>
      <c r="CP39" s="107"/>
      <c r="CQ39" s="58"/>
      <c r="CR39" s="36"/>
    </row>
    <row r="40" spans="1:96" x14ac:dyDescent="0.35">
      <c r="A40" s="36"/>
      <c r="B40" s="36"/>
      <c r="C40" s="36"/>
      <c r="D40" s="36"/>
      <c r="E40" s="86"/>
      <c r="F40" s="36"/>
      <c r="G40" s="36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36"/>
    </row>
    <row r="41" spans="1:96" x14ac:dyDescent="0.35">
      <c r="A41" s="36"/>
      <c r="B41" s="36"/>
      <c r="C41" s="36"/>
      <c r="D41" s="36"/>
      <c r="E41" s="92" t="str">
        <f>'Fixed inputs'!E288</f>
        <v>Extended mapping of MEAV asset categories to network levels</v>
      </c>
      <c r="F41" s="36"/>
      <c r="G41" s="92" t="str">
        <f>'Fixed inputs'!G289</f>
        <v>network level</v>
      </c>
      <c r="H41" s="101"/>
      <c r="I41" s="101"/>
      <c r="J41" s="119" t="str">
        <f>'Fixed inputs'!H289</f>
        <v>-</v>
      </c>
      <c r="K41" s="119" t="str">
        <f>'Fixed inputs'!H290</f>
        <v>-</v>
      </c>
      <c r="L41" s="119" t="str">
        <f>'Fixed inputs'!H291</f>
        <v>-</v>
      </c>
      <c r="M41" s="119" t="str">
        <f>'Fixed inputs'!H292</f>
        <v>-</v>
      </c>
      <c r="N41" s="119" t="str">
        <f>'Fixed inputs'!H293</f>
        <v>-</v>
      </c>
      <c r="O41" s="119" t="str">
        <f>'Fixed inputs'!H294</f>
        <v>-</v>
      </c>
      <c r="P41" s="119" t="str">
        <f>'Fixed inputs'!H295</f>
        <v>-</v>
      </c>
      <c r="Q41" s="119" t="str">
        <f>'Fixed inputs'!H296</f>
        <v>-</v>
      </c>
      <c r="R41" s="119" t="str">
        <f>'Fixed inputs'!H297</f>
        <v>-</v>
      </c>
      <c r="S41" s="119" t="str">
        <f>'Fixed inputs'!H298</f>
        <v>-</v>
      </c>
      <c r="T41" s="119" t="str">
        <f>'Fixed inputs'!H299</f>
        <v>-</v>
      </c>
      <c r="U41" s="119" t="str">
        <f>'Fixed inputs'!H300</f>
        <v>-</v>
      </c>
      <c r="V41" s="119" t="str">
        <f>'Fixed inputs'!H301</f>
        <v>-</v>
      </c>
      <c r="W41" s="119" t="str">
        <f>'Fixed inputs'!H302</f>
        <v>-</v>
      </c>
      <c r="X41" s="119" t="str">
        <f>'Fixed inputs'!H303</f>
        <v>-</v>
      </c>
      <c r="Y41" s="119" t="str">
        <f>'Fixed inputs'!H304</f>
        <v>-</v>
      </c>
      <c r="Z41" s="119" t="str">
        <f>'Fixed inputs'!H305</f>
        <v>-</v>
      </c>
      <c r="AA41" s="119" t="str">
        <f>'Fixed inputs'!H306</f>
        <v>-</v>
      </c>
      <c r="AB41" s="119" t="str">
        <f>'Fixed inputs'!H307</f>
        <v>-</v>
      </c>
      <c r="AC41" s="119" t="str">
        <f>'Fixed inputs'!H308</f>
        <v>-</v>
      </c>
      <c r="AD41" s="119" t="str">
        <f>'Fixed inputs'!H309</f>
        <v>-</v>
      </c>
      <c r="AE41" s="119" t="str">
        <f>'Fixed inputs'!H310</f>
        <v>-</v>
      </c>
      <c r="AF41" s="119" t="str">
        <f>'Fixed inputs'!H311</f>
        <v>EHV/HV</v>
      </c>
      <c r="AG41" s="119" t="str">
        <f>'Fixed inputs'!H312</f>
        <v>EHV/HV</v>
      </c>
      <c r="AH41" s="119" t="str">
        <f>'Fixed inputs'!H313</f>
        <v>-</v>
      </c>
      <c r="AI41" s="119" t="str">
        <f>'Fixed inputs'!H314</f>
        <v>-</v>
      </c>
      <c r="AJ41" s="119" t="str">
        <f>'Fixed inputs'!H315</f>
        <v>-</v>
      </c>
      <c r="AK41" s="119" t="str">
        <f>'Fixed inputs'!H316</f>
        <v>-</v>
      </c>
      <c r="AL41" s="119" t="str">
        <f>'Fixed inputs'!H317</f>
        <v>-</v>
      </c>
      <c r="AM41" s="119" t="str">
        <f>'Fixed inputs'!H318</f>
        <v>EHV/HV</v>
      </c>
      <c r="AN41" s="119" t="str">
        <f>'Fixed inputs'!H319</f>
        <v>EHV/HV</v>
      </c>
      <c r="AO41" s="119" t="str">
        <f>'Fixed inputs'!H320</f>
        <v>-</v>
      </c>
      <c r="AP41" s="119" t="str">
        <f>'Fixed inputs'!H321</f>
        <v>-</v>
      </c>
      <c r="AQ41" s="119" t="str">
        <f>'Fixed inputs'!H322</f>
        <v>-</v>
      </c>
      <c r="AR41" s="119" t="str">
        <f>'Fixed inputs'!H323</f>
        <v>-</v>
      </c>
      <c r="AS41" s="119" t="str">
        <f>'Fixed inputs'!H324</f>
        <v>-</v>
      </c>
      <c r="AT41" s="119" t="str">
        <f>'Fixed inputs'!H325</f>
        <v>-</v>
      </c>
      <c r="AU41" s="119" t="str">
        <f>'Fixed inputs'!H326</f>
        <v>-</v>
      </c>
      <c r="AV41" s="119" t="str">
        <f>'Fixed inputs'!H327</f>
        <v>-</v>
      </c>
      <c r="AW41" s="119" t="str">
        <f>'Fixed inputs'!H328</f>
        <v>-</v>
      </c>
      <c r="AX41" s="119" t="str">
        <f>'Fixed inputs'!H329</f>
        <v>EHV</v>
      </c>
      <c r="AY41" s="119" t="str">
        <f>'Fixed inputs'!H330</f>
        <v>EHV</v>
      </c>
      <c r="AZ41" s="119" t="str">
        <f>'Fixed inputs'!H331</f>
        <v>EHV</v>
      </c>
      <c r="BA41" s="119" t="str">
        <f>'Fixed inputs'!H332</f>
        <v>EHV</v>
      </c>
      <c r="BB41" s="119" t="str">
        <f>'Fixed inputs'!H333</f>
        <v>EHV</v>
      </c>
      <c r="BC41" s="119" t="str">
        <f>'Fixed inputs'!H334</f>
        <v>EHV</v>
      </c>
      <c r="BD41" s="119" t="str">
        <f>'Fixed inputs'!H335</f>
        <v>EHV</v>
      </c>
      <c r="BE41" s="119" t="str">
        <f>'Fixed inputs'!H336</f>
        <v>EHV</v>
      </c>
      <c r="BF41" s="119" t="str">
        <f>'Fixed inputs'!H337</f>
        <v>EHV</v>
      </c>
      <c r="BG41" s="119" t="str">
        <f>'Fixed inputs'!H338</f>
        <v>EHV</v>
      </c>
      <c r="BH41" s="119" t="str">
        <f>'Fixed inputs'!H339</f>
        <v>EHV</v>
      </c>
      <c r="BI41" s="119" t="str">
        <f>'Fixed inputs'!H340</f>
        <v>EHV</v>
      </c>
      <c r="BJ41" s="119" t="str">
        <f>'Fixed inputs'!H341</f>
        <v>EHV</v>
      </c>
      <c r="BK41" s="119" t="str">
        <f>'Fixed inputs'!H342</f>
        <v>EHV</v>
      </c>
      <c r="BL41" s="119" t="str">
        <f>'Fixed inputs'!H343</f>
        <v>EHV</v>
      </c>
      <c r="BM41" s="119" t="str">
        <f>'Fixed inputs'!H344</f>
        <v>132kV/EHV</v>
      </c>
      <c r="BN41" s="119" t="str">
        <f>'Fixed inputs'!H345</f>
        <v>132kV/EHV</v>
      </c>
      <c r="BO41" s="119" t="str">
        <f>'Fixed inputs'!H346</f>
        <v>132kV/EHV</v>
      </c>
      <c r="BP41" s="119" t="str">
        <f>'Fixed inputs'!H347</f>
        <v>132kV/EHV</v>
      </c>
      <c r="BQ41" s="119" t="str">
        <f>'Fixed inputs'!H348</f>
        <v>132kV/EHV</v>
      </c>
      <c r="BR41" s="119" t="str">
        <f>'Fixed inputs'!H349</f>
        <v>EHV/HV</v>
      </c>
      <c r="BS41" s="119" t="str">
        <f>'Fixed inputs'!H350</f>
        <v>132kV/EHV</v>
      </c>
      <c r="BT41" s="119" t="str">
        <f>'Fixed inputs'!H351</f>
        <v>EHV/HV</v>
      </c>
      <c r="BU41" s="119" t="str">
        <f>'Fixed inputs'!H352</f>
        <v>EHV/HV</v>
      </c>
      <c r="BV41" s="119" t="str">
        <f>'Fixed inputs'!H353</f>
        <v>EHV/HV</v>
      </c>
      <c r="BW41" s="119" t="str">
        <f>'Fixed inputs'!H354</f>
        <v>EHV/HV</v>
      </c>
      <c r="BX41" s="119" t="str">
        <f>'Fixed inputs'!H355</f>
        <v>EHV/HV</v>
      </c>
      <c r="BY41" s="119" t="str">
        <f>'Fixed inputs'!H356</f>
        <v>EHV/HV</v>
      </c>
      <c r="BZ41" s="119" t="str">
        <f>'Fixed inputs'!H357</f>
        <v>132kV</v>
      </c>
      <c r="CA41" s="119" t="str">
        <f>'Fixed inputs'!H358</f>
        <v>132kV</v>
      </c>
      <c r="CB41" s="119" t="str">
        <f>'Fixed inputs'!H359</f>
        <v>132kV</v>
      </c>
      <c r="CC41" s="119" t="str">
        <f>'Fixed inputs'!H360</f>
        <v>132kV</v>
      </c>
      <c r="CD41" s="119" t="str">
        <f>'Fixed inputs'!H361</f>
        <v>132kV</v>
      </c>
      <c r="CE41" s="119" t="str">
        <f>'Fixed inputs'!H362</f>
        <v>132kV</v>
      </c>
      <c r="CF41" s="119" t="str">
        <f>'Fixed inputs'!H363</f>
        <v>132kV</v>
      </c>
      <c r="CG41" s="119" t="str">
        <f>'Fixed inputs'!H364</f>
        <v>132kV</v>
      </c>
      <c r="CH41" s="119" t="str">
        <f>'Fixed inputs'!H365</f>
        <v>132kV</v>
      </c>
      <c r="CI41" s="119" t="str">
        <f>'Fixed inputs'!H366</f>
        <v>132kV</v>
      </c>
      <c r="CJ41" s="119" t="str">
        <f>'Fixed inputs'!H367</f>
        <v>132kV</v>
      </c>
      <c r="CK41" s="119" t="str">
        <f>'Fixed inputs'!H368</f>
        <v>132kV/EHV</v>
      </c>
      <c r="CL41" s="119" t="str">
        <f>'Fixed inputs'!H369</f>
        <v>132kV/EHV</v>
      </c>
      <c r="CM41" s="119" t="str">
        <f>'Fixed inputs'!H370</f>
        <v>EHV/HV</v>
      </c>
      <c r="CN41" s="119" t="str">
        <f>'Fixed inputs'!H371</f>
        <v>EHV/HV</v>
      </c>
      <c r="CO41" s="119" t="str">
        <f>'Fixed inputs'!H372</f>
        <v>-</v>
      </c>
      <c r="CP41" s="119" t="str">
        <f>'Fixed inputs'!H373</f>
        <v>-</v>
      </c>
      <c r="CQ41" s="58"/>
      <c r="CR41" s="36"/>
    </row>
    <row r="42" spans="1:96" x14ac:dyDescent="0.35">
      <c r="A42" s="36"/>
      <c r="B42" s="36"/>
      <c r="C42" s="36"/>
      <c r="D42" s="36"/>
      <c r="E42" s="86"/>
      <c r="F42" s="36"/>
      <c r="G42" s="36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36"/>
    </row>
    <row r="43" spans="1:96" x14ac:dyDescent="0.35">
      <c r="A43" s="92"/>
      <c r="B43" s="36"/>
      <c r="C43" s="36"/>
      <c r="D43" s="36"/>
      <c r="E43" s="89" t="s">
        <v>497</v>
      </c>
      <c r="F43" s="36"/>
      <c r="G43" s="36"/>
      <c r="H43" s="58"/>
      <c r="I43" s="103" t="s">
        <v>120</v>
      </c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92" t="s">
        <v>498</v>
      </c>
    </row>
    <row r="44" spans="1:96" x14ac:dyDescent="0.35">
      <c r="A44" s="36"/>
      <c r="B44" s="36"/>
      <c r="C44" s="36"/>
      <c r="D44" s="36"/>
      <c r="E44" s="36"/>
      <c r="F44" s="90" t="s">
        <v>295</v>
      </c>
      <c r="G44" s="90" t="s">
        <v>190</v>
      </c>
      <c r="H44" s="109"/>
      <c r="I44" s="109"/>
      <c r="J44" s="109">
        <f>IF($F44 = J$41, 1, 0)</f>
        <v>0</v>
      </c>
      <c r="K44" s="109">
        <f t="shared" ref="K44:Z47" si="8">IF($F44 = K$41, 1, 0)</f>
        <v>0</v>
      </c>
      <c r="L44" s="109">
        <f t="shared" si="8"/>
        <v>0</v>
      </c>
      <c r="M44" s="109">
        <f t="shared" si="8"/>
        <v>0</v>
      </c>
      <c r="N44" s="109">
        <f t="shared" si="8"/>
        <v>0</v>
      </c>
      <c r="O44" s="109">
        <f t="shared" si="8"/>
        <v>0</v>
      </c>
      <c r="P44" s="109">
        <f t="shared" si="8"/>
        <v>0</v>
      </c>
      <c r="Q44" s="109">
        <f t="shared" si="8"/>
        <v>0</v>
      </c>
      <c r="R44" s="109">
        <f t="shared" si="8"/>
        <v>0</v>
      </c>
      <c r="S44" s="109">
        <f t="shared" si="8"/>
        <v>0</v>
      </c>
      <c r="T44" s="109">
        <f t="shared" si="8"/>
        <v>0</v>
      </c>
      <c r="U44" s="109">
        <f t="shared" si="8"/>
        <v>0</v>
      </c>
      <c r="V44" s="109">
        <f t="shared" si="8"/>
        <v>0</v>
      </c>
      <c r="W44" s="109">
        <f t="shared" si="8"/>
        <v>0</v>
      </c>
      <c r="X44" s="109">
        <f t="shared" si="8"/>
        <v>0</v>
      </c>
      <c r="Y44" s="109">
        <f t="shared" si="8"/>
        <v>0</v>
      </c>
      <c r="Z44" s="109">
        <f t="shared" si="8"/>
        <v>0</v>
      </c>
      <c r="AA44" s="109">
        <f t="shared" ref="AA44:AP47" si="9">IF($F44 = AA$41, 1, 0)</f>
        <v>0</v>
      </c>
      <c r="AB44" s="109">
        <f t="shared" si="9"/>
        <v>0</v>
      </c>
      <c r="AC44" s="109">
        <f t="shared" si="9"/>
        <v>0</v>
      </c>
      <c r="AD44" s="109">
        <f t="shared" si="9"/>
        <v>0</v>
      </c>
      <c r="AE44" s="109">
        <f t="shared" si="9"/>
        <v>0</v>
      </c>
      <c r="AF44" s="109">
        <f t="shared" si="9"/>
        <v>1</v>
      </c>
      <c r="AG44" s="109">
        <f t="shared" si="9"/>
        <v>1</v>
      </c>
      <c r="AH44" s="109">
        <f t="shared" si="9"/>
        <v>0</v>
      </c>
      <c r="AI44" s="109">
        <f t="shared" si="9"/>
        <v>0</v>
      </c>
      <c r="AJ44" s="109">
        <f t="shared" si="9"/>
        <v>0</v>
      </c>
      <c r="AK44" s="109">
        <f t="shared" si="9"/>
        <v>0</v>
      </c>
      <c r="AL44" s="109">
        <f t="shared" si="9"/>
        <v>0</v>
      </c>
      <c r="AM44" s="109">
        <f t="shared" si="9"/>
        <v>1</v>
      </c>
      <c r="AN44" s="109">
        <f t="shared" si="9"/>
        <v>1</v>
      </c>
      <c r="AO44" s="109">
        <f t="shared" si="9"/>
        <v>0</v>
      </c>
      <c r="AP44" s="109">
        <f t="shared" si="9"/>
        <v>0</v>
      </c>
      <c r="AQ44" s="109">
        <f t="shared" ref="AQ44:BF47" si="10">IF($F44 = AQ$41, 1, 0)</f>
        <v>0</v>
      </c>
      <c r="AR44" s="109">
        <f t="shared" si="10"/>
        <v>0</v>
      </c>
      <c r="AS44" s="109">
        <f t="shared" si="10"/>
        <v>0</v>
      </c>
      <c r="AT44" s="109">
        <f t="shared" si="10"/>
        <v>0</v>
      </c>
      <c r="AU44" s="109">
        <f t="shared" si="10"/>
        <v>0</v>
      </c>
      <c r="AV44" s="109">
        <f t="shared" si="10"/>
        <v>0</v>
      </c>
      <c r="AW44" s="109">
        <f t="shared" si="10"/>
        <v>0</v>
      </c>
      <c r="AX44" s="109">
        <f t="shared" si="10"/>
        <v>0</v>
      </c>
      <c r="AY44" s="109">
        <f t="shared" si="10"/>
        <v>0</v>
      </c>
      <c r="AZ44" s="109">
        <f t="shared" si="10"/>
        <v>0</v>
      </c>
      <c r="BA44" s="109">
        <f t="shared" si="10"/>
        <v>0</v>
      </c>
      <c r="BB44" s="109">
        <f t="shared" si="10"/>
        <v>0</v>
      </c>
      <c r="BC44" s="109">
        <f t="shared" si="10"/>
        <v>0</v>
      </c>
      <c r="BD44" s="109">
        <f t="shared" si="10"/>
        <v>0</v>
      </c>
      <c r="BE44" s="109">
        <f t="shared" si="10"/>
        <v>0</v>
      </c>
      <c r="BF44" s="109">
        <f t="shared" si="10"/>
        <v>0</v>
      </c>
      <c r="BG44" s="109">
        <f t="shared" ref="BG44:BV47" si="11">IF($F44 = BG$41, 1, 0)</f>
        <v>0</v>
      </c>
      <c r="BH44" s="109">
        <f t="shared" si="11"/>
        <v>0</v>
      </c>
      <c r="BI44" s="109">
        <f t="shared" si="11"/>
        <v>0</v>
      </c>
      <c r="BJ44" s="109">
        <f t="shared" si="11"/>
        <v>0</v>
      </c>
      <c r="BK44" s="109">
        <f t="shared" si="11"/>
        <v>0</v>
      </c>
      <c r="BL44" s="109">
        <f t="shared" si="11"/>
        <v>0</v>
      </c>
      <c r="BM44" s="109">
        <f t="shared" si="11"/>
        <v>0</v>
      </c>
      <c r="BN44" s="109">
        <f t="shared" si="11"/>
        <v>0</v>
      </c>
      <c r="BO44" s="109">
        <f t="shared" si="11"/>
        <v>0</v>
      </c>
      <c r="BP44" s="109">
        <f t="shared" si="11"/>
        <v>0</v>
      </c>
      <c r="BQ44" s="109">
        <f t="shared" si="11"/>
        <v>0</v>
      </c>
      <c r="BR44" s="109">
        <f t="shared" si="11"/>
        <v>1</v>
      </c>
      <c r="BS44" s="109">
        <f t="shared" si="11"/>
        <v>0</v>
      </c>
      <c r="BT44" s="109">
        <f t="shared" si="11"/>
        <v>1</v>
      </c>
      <c r="BU44" s="109">
        <f t="shared" si="11"/>
        <v>1</v>
      </c>
      <c r="BV44" s="109">
        <f t="shared" si="11"/>
        <v>1</v>
      </c>
      <c r="BW44" s="109">
        <f t="shared" ref="BW44:CL47" si="12">IF($F44 = BW$41, 1, 0)</f>
        <v>1</v>
      </c>
      <c r="BX44" s="109">
        <f t="shared" si="12"/>
        <v>1</v>
      </c>
      <c r="BY44" s="109">
        <f t="shared" si="12"/>
        <v>1</v>
      </c>
      <c r="BZ44" s="109">
        <f t="shared" si="12"/>
        <v>0</v>
      </c>
      <c r="CA44" s="109">
        <f t="shared" si="12"/>
        <v>0</v>
      </c>
      <c r="CB44" s="109">
        <f t="shared" si="12"/>
        <v>0</v>
      </c>
      <c r="CC44" s="109">
        <f t="shared" si="12"/>
        <v>0</v>
      </c>
      <c r="CD44" s="109">
        <f t="shared" si="12"/>
        <v>0</v>
      </c>
      <c r="CE44" s="109">
        <f t="shared" si="12"/>
        <v>0</v>
      </c>
      <c r="CF44" s="109">
        <f t="shared" si="12"/>
        <v>0</v>
      </c>
      <c r="CG44" s="109">
        <f t="shared" si="12"/>
        <v>0</v>
      </c>
      <c r="CH44" s="109">
        <f t="shared" si="12"/>
        <v>0</v>
      </c>
      <c r="CI44" s="109">
        <f t="shared" si="12"/>
        <v>0</v>
      </c>
      <c r="CJ44" s="109">
        <f t="shared" si="12"/>
        <v>0</v>
      </c>
      <c r="CK44" s="109">
        <f t="shared" si="12"/>
        <v>0</v>
      </c>
      <c r="CL44" s="109">
        <f t="shared" si="12"/>
        <v>0</v>
      </c>
      <c r="CM44" s="109">
        <f t="shared" ref="CM44:CP47" si="13">IF($F44 = CM$41, 1, 0)</f>
        <v>1</v>
      </c>
      <c r="CN44" s="109">
        <f t="shared" si="13"/>
        <v>1</v>
      </c>
      <c r="CO44" s="109">
        <f t="shared" si="13"/>
        <v>0</v>
      </c>
      <c r="CP44" s="109">
        <f t="shared" si="13"/>
        <v>0</v>
      </c>
      <c r="CQ44" s="58"/>
      <c r="CR44" s="36"/>
    </row>
    <row r="45" spans="1:96" x14ac:dyDescent="0.35">
      <c r="A45" s="36"/>
      <c r="B45" s="36"/>
      <c r="C45" s="36"/>
      <c r="D45" s="36"/>
      <c r="E45" s="36"/>
      <c r="F45" s="92" t="s">
        <v>293</v>
      </c>
      <c r="G45" s="92" t="s">
        <v>190</v>
      </c>
      <c r="H45" s="107"/>
      <c r="I45" s="107"/>
      <c r="J45" s="107">
        <f>IF($F45 = J$41, 1, 0)</f>
        <v>0</v>
      </c>
      <c r="K45" s="107">
        <f t="shared" si="8"/>
        <v>0</v>
      </c>
      <c r="L45" s="107">
        <f t="shared" si="8"/>
        <v>0</v>
      </c>
      <c r="M45" s="107">
        <f t="shared" si="8"/>
        <v>0</v>
      </c>
      <c r="N45" s="107">
        <f t="shared" si="8"/>
        <v>0</v>
      </c>
      <c r="O45" s="107">
        <f t="shared" si="8"/>
        <v>0</v>
      </c>
      <c r="P45" s="107">
        <f t="shared" si="8"/>
        <v>0</v>
      </c>
      <c r="Q45" s="107">
        <f t="shared" si="8"/>
        <v>0</v>
      </c>
      <c r="R45" s="107">
        <f t="shared" si="8"/>
        <v>0</v>
      </c>
      <c r="S45" s="107">
        <f t="shared" si="8"/>
        <v>0</v>
      </c>
      <c r="T45" s="107">
        <f t="shared" si="8"/>
        <v>0</v>
      </c>
      <c r="U45" s="107">
        <f t="shared" si="8"/>
        <v>0</v>
      </c>
      <c r="V45" s="107">
        <f t="shared" si="8"/>
        <v>0</v>
      </c>
      <c r="W45" s="107">
        <f t="shared" si="8"/>
        <v>0</v>
      </c>
      <c r="X45" s="107">
        <f t="shared" si="8"/>
        <v>0</v>
      </c>
      <c r="Y45" s="107">
        <f t="shared" si="8"/>
        <v>0</v>
      </c>
      <c r="Z45" s="107">
        <f t="shared" si="8"/>
        <v>0</v>
      </c>
      <c r="AA45" s="107">
        <f t="shared" si="9"/>
        <v>0</v>
      </c>
      <c r="AB45" s="107">
        <f t="shared" si="9"/>
        <v>0</v>
      </c>
      <c r="AC45" s="107">
        <f t="shared" si="9"/>
        <v>0</v>
      </c>
      <c r="AD45" s="107">
        <f t="shared" si="9"/>
        <v>0</v>
      </c>
      <c r="AE45" s="107">
        <f t="shared" si="9"/>
        <v>0</v>
      </c>
      <c r="AF45" s="107">
        <f t="shared" si="9"/>
        <v>0</v>
      </c>
      <c r="AG45" s="107">
        <f t="shared" si="9"/>
        <v>0</v>
      </c>
      <c r="AH45" s="107">
        <f t="shared" si="9"/>
        <v>0</v>
      </c>
      <c r="AI45" s="107">
        <f t="shared" si="9"/>
        <v>0</v>
      </c>
      <c r="AJ45" s="107">
        <f t="shared" si="9"/>
        <v>0</v>
      </c>
      <c r="AK45" s="107">
        <f t="shared" si="9"/>
        <v>0</v>
      </c>
      <c r="AL45" s="107">
        <f t="shared" si="9"/>
        <v>0</v>
      </c>
      <c r="AM45" s="107">
        <f t="shared" si="9"/>
        <v>0</v>
      </c>
      <c r="AN45" s="107">
        <f t="shared" si="9"/>
        <v>0</v>
      </c>
      <c r="AO45" s="107">
        <f t="shared" si="9"/>
        <v>0</v>
      </c>
      <c r="AP45" s="107">
        <f t="shared" si="9"/>
        <v>0</v>
      </c>
      <c r="AQ45" s="107">
        <f t="shared" si="10"/>
        <v>0</v>
      </c>
      <c r="AR45" s="107">
        <f t="shared" si="10"/>
        <v>0</v>
      </c>
      <c r="AS45" s="107">
        <f t="shared" si="10"/>
        <v>0</v>
      </c>
      <c r="AT45" s="107">
        <f t="shared" si="10"/>
        <v>0</v>
      </c>
      <c r="AU45" s="107">
        <f t="shared" si="10"/>
        <v>0</v>
      </c>
      <c r="AV45" s="107">
        <f t="shared" si="10"/>
        <v>0</v>
      </c>
      <c r="AW45" s="107">
        <f t="shared" si="10"/>
        <v>0</v>
      </c>
      <c r="AX45" s="107">
        <f t="shared" si="10"/>
        <v>1</v>
      </c>
      <c r="AY45" s="107">
        <f t="shared" si="10"/>
        <v>1</v>
      </c>
      <c r="AZ45" s="107">
        <f t="shared" si="10"/>
        <v>1</v>
      </c>
      <c r="BA45" s="107">
        <f t="shared" si="10"/>
        <v>1</v>
      </c>
      <c r="BB45" s="107">
        <f t="shared" si="10"/>
        <v>1</v>
      </c>
      <c r="BC45" s="107">
        <f t="shared" si="10"/>
        <v>1</v>
      </c>
      <c r="BD45" s="107">
        <f t="shared" si="10"/>
        <v>1</v>
      </c>
      <c r="BE45" s="107">
        <f t="shared" si="10"/>
        <v>1</v>
      </c>
      <c r="BF45" s="107">
        <f t="shared" si="10"/>
        <v>1</v>
      </c>
      <c r="BG45" s="107">
        <f t="shared" si="11"/>
        <v>1</v>
      </c>
      <c r="BH45" s="107">
        <f t="shared" si="11"/>
        <v>1</v>
      </c>
      <c r="BI45" s="107">
        <f t="shared" si="11"/>
        <v>1</v>
      </c>
      <c r="BJ45" s="107">
        <f t="shared" si="11"/>
        <v>1</v>
      </c>
      <c r="BK45" s="107">
        <f t="shared" si="11"/>
        <v>1</v>
      </c>
      <c r="BL45" s="107">
        <f t="shared" si="11"/>
        <v>1</v>
      </c>
      <c r="BM45" s="107">
        <f t="shared" si="11"/>
        <v>0</v>
      </c>
      <c r="BN45" s="107">
        <f t="shared" si="11"/>
        <v>0</v>
      </c>
      <c r="BO45" s="107">
        <f t="shared" si="11"/>
        <v>0</v>
      </c>
      <c r="BP45" s="107">
        <f t="shared" si="11"/>
        <v>0</v>
      </c>
      <c r="BQ45" s="107">
        <f t="shared" si="11"/>
        <v>0</v>
      </c>
      <c r="BR45" s="107">
        <f t="shared" si="11"/>
        <v>0</v>
      </c>
      <c r="BS45" s="107">
        <f t="shared" si="11"/>
        <v>0</v>
      </c>
      <c r="BT45" s="107">
        <f t="shared" si="11"/>
        <v>0</v>
      </c>
      <c r="BU45" s="107">
        <f t="shared" si="11"/>
        <v>0</v>
      </c>
      <c r="BV45" s="107">
        <f t="shared" si="11"/>
        <v>0</v>
      </c>
      <c r="BW45" s="107">
        <f t="shared" si="12"/>
        <v>0</v>
      </c>
      <c r="BX45" s="107">
        <f t="shared" si="12"/>
        <v>0</v>
      </c>
      <c r="BY45" s="107">
        <f t="shared" si="12"/>
        <v>0</v>
      </c>
      <c r="BZ45" s="107">
        <f t="shared" si="12"/>
        <v>0</v>
      </c>
      <c r="CA45" s="107">
        <f t="shared" si="12"/>
        <v>0</v>
      </c>
      <c r="CB45" s="107">
        <f t="shared" si="12"/>
        <v>0</v>
      </c>
      <c r="CC45" s="107">
        <f t="shared" si="12"/>
        <v>0</v>
      </c>
      <c r="CD45" s="107">
        <f t="shared" si="12"/>
        <v>0</v>
      </c>
      <c r="CE45" s="107">
        <f t="shared" si="12"/>
        <v>0</v>
      </c>
      <c r="CF45" s="107">
        <f t="shared" si="12"/>
        <v>0</v>
      </c>
      <c r="CG45" s="107">
        <f t="shared" si="12"/>
        <v>0</v>
      </c>
      <c r="CH45" s="107">
        <f t="shared" si="12"/>
        <v>0</v>
      </c>
      <c r="CI45" s="107">
        <f t="shared" si="12"/>
        <v>0</v>
      </c>
      <c r="CJ45" s="107">
        <f t="shared" si="12"/>
        <v>0</v>
      </c>
      <c r="CK45" s="107">
        <f t="shared" si="12"/>
        <v>0</v>
      </c>
      <c r="CL45" s="107">
        <f t="shared" si="12"/>
        <v>0</v>
      </c>
      <c r="CM45" s="107">
        <f t="shared" si="13"/>
        <v>0</v>
      </c>
      <c r="CN45" s="107">
        <f t="shared" si="13"/>
        <v>0</v>
      </c>
      <c r="CO45" s="107">
        <f t="shared" si="13"/>
        <v>0</v>
      </c>
      <c r="CP45" s="107">
        <f t="shared" si="13"/>
        <v>0</v>
      </c>
      <c r="CQ45" s="58"/>
      <c r="CR45" s="36"/>
    </row>
    <row r="46" spans="1:96" x14ac:dyDescent="0.35">
      <c r="A46" s="36"/>
      <c r="B46" s="36"/>
      <c r="C46" s="36"/>
      <c r="D46" s="36"/>
      <c r="E46" s="36"/>
      <c r="F46" s="92" t="s">
        <v>294</v>
      </c>
      <c r="G46" s="92" t="s">
        <v>190</v>
      </c>
      <c r="H46" s="107"/>
      <c r="I46" s="107"/>
      <c r="J46" s="107">
        <f>IF($F46 = J$41, 1, 0)</f>
        <v>0</v>
      </c>
      <c r="K46" s="107">
        <f t="shared" si="8"/>
        <v>0</v>
      </c>
      <c r="L46" s="107">
        <f t="shared" si="8"/>
        <v>0</v>
      </c>
      <c r="M46" s="107">
        <f t="shared" si="8"/>
        <v>0</v>
      </c>
      <c r="N46" s="107">
        <f t="shared" si="8"/>
        <v>0</v>
      </c>
      <c r="O46" s="107">
        <f t="shared" si="8"/>
        <v>0</v>
      </c>
      <c r="P46" s="107">
        <f t="shared" si="8"/>
        <v>0</v>
      </c>
      <c r="Q46" s="107">
        <f t="shared" si="8"/>
        <v>0</v>
      </c>
      <c r="R46" s="107">
        <f t="shared" si="8"/>
        <v>0</v>
      </c>
      <c r="S46" s="107">
        <f t="shared" si="8"/>
        <v>0</v>
      </c>
      <c r="T46" s="107">
        <f t="shared" si="8"/>
        <v>0</v>
      </c>
      <c r="U46" s="107">
        <f t="shared" si="8"/>
        <v>0</v>
      </c>
      <c r="V46" s="107">
        <f t="shared" si="8"/>
        <v>0</v>
      </c>
      <c r="W46" s="107">
        <f t="shared" si="8"/>
        <v>0</v>
      </c>
      <c r="X46" s="107">
        <f t="shared" si="8"/>
        <v>0</v>
      </c>
      <c r="Y46" s="107">
        <f t="shared" si="8"/>
        <v>0</v>
      </c>
      <c r="Z46" s="107">
        <f t="shared" si="8"/>
        <v>0</v>
      </c>
      <c r="AA46" s="107">
        <f t="shared" si="9"/>
        <v>0</v>
      </c>
      <c r="AB46" s="107">
        <f t="shared" si="9"/>
        <v>0</v>
      </c>
      <c r="AC46" s="107">
        <f t="shared" si="9"/>
        <v>0</v>
      </c>
      <c r="AD46" s="107">
        <f t="shared" si="9"/>
        <v>0</v>
      </c>
      <c r="AE46" s="107">
        <f t="shared" si="9"/>
        <v>0</v>
      </c>
      <c r="AF46" s="107">
        <f t="shared" si="9"/>
        <v>0</v>
      </c>
      <c r="AG46" s="107">
        <f t="shared" si="9"/>
        <v>0</v>
      </c>
      <c r="AH46" s="107">
        <f t="shared" si="9"/>
        <v>0</v>
      </c>
      <c r="AI46" s="107">
        <f t="shared" si="9"/>
        <v>0</v>
      </c>
      <c r="AJ46" s="107">
        <f t="shared" si="9"/>
        <v>0</v>
      </c>
      <c r="AK46" s="107">
        <f t="shared" si="9"/>
        <v>0</v>
      </c>
      <c r="AL46" s="107">
        <f t="shared" si="9"/>
        <v>0</v>
      </c>
      <c r="AM46" s="107">
        <f t="shared" si="9"/>
        <v>0</v>
      </c>
      <c r="AN46" s="107">
        <f t="shared" si="9"/>
        <v>0</v>
      </c>
      <c r="AO46" s="107">
        <f t="shared" si="9"/>
        <v>0</v>
      </c>
      <c r="AP46" s="107">
        <f t="shared" si="9"/>
        <v>0</v>
      </c>
      <c r="AQ46" s="107">
        <f t="shared" si="10"/>
        <v>0</v>
      </c>
      <c r="AR46" s="107">
        <f t="shared" si="10"/>
        <v>0</v>
      </c>
      <c r="AS46" s="107">
        <f t="shared" si="10"/>
        <v>0</v>
      </c>
      <c r="AT46" s="107">
        <f t="shared" si="10"/>
        <v>0</v>
      </c>
      <c r="AU46" s="107">
        <f t="shared" si="10"/>
        <v>0</v>
      </c>
      <c r="AV46" s="107">
        <f t="shared" si="10"/>
        <v>0</v>
      </c>
      <c r="AW46" s="107">
        <f t="shared" si="10"/>
        <v>0</v>
      </c>
      <c r="AX46" s="107">
        <f t="shared" si="10"/>
        <v>0</v>
      </c>
      <c r="AY46" s="107">
        <f t="shared" si="10"/>
        <v>0</v>
      </c>
      <c r="AZ46" s="107">
        <f t="shared" si="10"/>
        <v>0</v>
      </c>
      <c r="BA46" s="107">
        <f t="shared" si="10"/>
        <v>0</v>
      </c>
      <c r="BB46" s="107">
        <f t="shared" si="10"/>
        <v>0</v>
      </c>
      <c r="BC46" s="107">
        <f t="shared" si="10"/>
        <v>0</v>
      </c>
      <c r="BD46" s="107">
        <f t="shared" si="10"/>
        <v>0</v>
      </c>
      <c r="BE46" s="107">
        <f t="shared" si="10"/>
        <v>0</v>
      </c>
      <c r="BF46" s="107">
        <f t="shared" si="10"/>
        <v>0</v>
      </c>
      <c r="BG46" s="107">
        <f t="shared" si="11"/>
        <v>0</v>
      </c>
      <c r="BH46" s="107">
        <f t="shared" si="11"/>
        <v>0</v>
      </c>
      <c r="BI46" s="107">
        <f t="shared" si="11"/>
        <v>0</v>
      </c>
      <c r="BJ46" s="107">
        <f t="shared" si="11"/>
        <v>0</v>
      </c>
      <c r="BK46" s="107">
        <f t="shared" si="11"/>
        <v>0</v>
      </c>
      <c r="BL46" s="107">
        <f t="shared" si="11"/>
        <v>0</v>
      </c>
      <c r="BM46" s="107">
        <f t="shared" si="11"/>
        <v>1</v>
      </c>
      <c r="BN46" s="107">
        <f t="shared" si="11"/>
        <v>1</v>
      </c>
      <c r="BO46" s="107">
        <f t="shared" si="11"/>
        <v>1</v>
      </c>
      <c r="BP46" s="107">
        <f t="shared" si="11"/>
        <v>1</v>
      </c>
      <c r="BQ46" s="107">
        <f t="shared" si="11"/>
        <v>1</v>
      </c>
      <c r="BR46" s="107">
        <f t="shared" si="11"/>
        <v>0</v>
      </c>
      <c r="BS46" s="107">
        <f t="shared" si="11"/>
        <v>1</v>
      </c>
      <c r="BT46" s="107">
        <f t="shared" si="11"/>
        <v>0</v>
      </c>
      <c r="BU46" s="107">
        <f t="shared" si="11"/>
        <v>0</v>
      </c>
      <c r="BV46" s="107">
        <f t="shared" si="11"/>
        <v>0</v>
      </c>
      <c r="BW46" s="107">
        <f t="shared" si="12"/>
        <v>0</v>
      </c>
      <c r="BX46" s="107">
        <f t="shared" si="12"/>
        <v>0</v>
      </c>
      <c r="BY46" s="107">
        <f t="shared" si="12"/>
        <v>0</v>
      </c>
      <c r="BZ46" s="107">
        <f t="shared" si="12"/>
        <v>0</v>
      </c>
      <c r="CA46" s="107">
        <f t="shared" si="12"/>
        <v>0</v>
      </c>
      <c r="CB46" s="107">
        <f t="shared" si="12"/>
        <v>0</v>
      </c>
      <c r="CC46" s="107">
        <f t="shared" si="12"/>
        <v>0</v>
      </c>
      <c r="CD46" s="107">
        <f t="shared" si="12"/>
        <v>0</v>
      </c>
      <c r="CE46" s="107">
        <f t="shared" si="12"/>
        <v>0</v>
      </c>
      <c r="CF46" s="107">
        <f t="shared" si="12"/>
        <v>0</v>
      </c>
      <c r="CG46" s="107">
        <f t="shared" si="12"/>
        <v>0</v>
      </c>
      <c r="CH46" s="107">
        <f t="shared" si="12"/>
        <v>0</v>
      </c>
      <c r="CI46" s="107">
        <f t="shared" si="12"/>
        <v>0</v>
      </c>
      <c r="CJ46" s="107">
        <f t="shared" si="12"/>
        <v>0</v>
      </c>
      <c r="CK46" s="107">
        <f t="shared" si="12"/>
        <v>1</v>
      </c>
      <c r="CL46" s="107">
        <f t="shared" si="12"/>
        <v>1</v>
      </c>
      <c r="CM46" s="107">
        <f t="shared" si="13"/>
        <v>0</v>
      </c>
      <c r="CN46" s="107">
        <f t="shared" si="13"/>
        <v>0</v>
      </c>
      <c r="CO46" s="107">
        <f t="shared" si="13"/>
        <v>0</v>
      </c>
      <c r="CP46" s="107">
        <f t="shared" si="13"/>
        <v>0</v>
      </c>
      <c r="CQ46" s="58"/>
      <c r="CR46" s="36"/>
    </row>
    <row r="47" spans="1:96" x14ac:dyDescent="0.35">
      <c r="A47" s="36"/>
      <c r="B47" s="36"/>
      <c r="C47" s="36"/>
      <c r="D47" s="36"/>
      <c r="E47" s="36"/>
      <c r="F47" s="94" t="s">
        <v>296</v>
      </c>
      <c r="G47" s="94" t="s">
        <v>190</v>
      </c>
      <c r="H47" s="111"/>
      <c r="I47" s="111"/>
      <c r="J47" s="111">
        <f>IF($F47 = J$41, 1, 0)</f>
        <v>0</v>
      </c>
      <c r="K47" s="111">
        <f t="shared" si="8"/>
        <v>0</v>
      </c>
      <c r="L47" s="111">
        <f t="shared" si="8"/>
        <v>0</v>
      </c>
      <c r="M47" s="111">
        <f t="shared" si="8"/>
        <v>0</v>
      </c>
      <c r="N47" s="111">
        <f t="shared" si="8"/>
        <v>0</v>
      </c>
      <c r="O47" s="111">
        <f t="shared" si="8"/>
        <v>0</v>
      </c>
      <c r="P47" s="111">
        <f t="shared" si="8"/>
        <v>0</v>
      </c>
      <c r="Q47" s="111">
        <f t="shared" si="8"/>
        <v>0</v>
      </c>
      <c r="R47" s="111">
        <f t="shared" si="8"/>
        <v>0</v>
      </c>
      <c r="S47" s="111">
        <f t="shared" si="8"/>
        <v>0</v>
      </c>
      <c r="T47" s="111">
        <f t="shared" si="8"/>
        <v>0</v>
      </c>
      <c r="U47" s="111">
        <f t="shared" si="8"/>
        <v>0</v>
      </c>
      <c r="V47" s="111">
        <f t="shared" si="8"/>
        <v>0</v>
      </c>
      <c r="W47" s="111">
        <f t="shared" si="8"/>
        <v>0</v>
      </c>
      <c r="X47" s="111">
        <f t="shared" si="8"/>
        <v>0</v>
      </c>
      <c r="Y47" s="111">
        <f t="shared" si="8"/>
        <v>0</v>
      </c>
      <c r="Z47" s="111">
        <f t="shared" si="8"/>
        <v>0</v>
      </c>
      <c r="AA47" s="111">
        <f t="shared" si="9"/>
        <v>0</v>
      </c>
      <c r="AB47" s="111">
        <f t="shared" si="9"/>
        <v>0</v>
      </c>
      <c r="AC47" s="111">
        <f t="shared" si="9"/>
        <v>0</v>
      </c>
      <c r="AD47" s="111">
        <f t="shared" si="9"/>
        <v>0</v>
      </c>
      <c r="AE47" s="111">
        <f t="shared" si="9"/>
        <v>0</v>
      </c>
      <c r="AF47" s="111">
        <f t="shared" si="9"/>
        <v>0</v>
      </c>
      <c r="AG47" s="111">
        <f t="shared" si="9"/>
        <v>0</v>
      </c>
      <c r="AH47" s="111">
        <f t="shared" si="9"/>
        <v>0</v>
      </c>
      <c r="AI47" s="111">
        <f t="shared" si="9"/>
        <v>0</v>
      </c>
      <c r="AJ47" s="111">
        <f t="shared" si="9"/>
        <v>0</v>
      </c>
      <c r="AK47" s="111">
        <f t="shared" si="9"/>
        <v>0</v>
      </c>
      <c r="AL47" s="111">
        <f t="shared" si="9"/>
        <v>0</v>
      </c>
      <c r="AM47" s="111">
        <f t="shared" si="9"/>
        <v>0</v>
      </c>
      <c r="AN47" s="111">
        <f t="shared" si="9"/>
        <v>0</v>
      </c>
      <c r="AO47" s="111">
        <f t="shared" si="9"/>
        <v>0</v>
      </c>
      <c r="AP47" s="111">
        <f t="shared" si="9"/>
        <v>0</v>
      </c>
      <c r="AQ47" s="111">
        <f t="shared" si="10"/>
        <v>0</v>
      </c>
      <c r="AR47" s="111">
        <f t="shared" si="10"/>
        <v>0</v>
      </c>
      <c r="AS47" s="111">
        <f t="shared" si="10"/>
        <v>0</v>
      </c>
      <c r="AT47" s="111">
        <f t="shared" si="10"/>
        <v>0</v>
      </c>
      <c r="AU47" s="111">
        <f t="shared" si="10"/>
        <v>0</v>
      </c>
      <c r="AV47" s="111">
        <f t="shared" si="10"/>
        <v>0</v>
      </c>
      <c r="AW47" s="111">
        <f t="shared" si="10"/>
        <v>0</v>
      </c>
      <c r="AX47" s="111">
        <f t="shared" si="10"/>
        <v>0</v>
      </c>
      <c r="AY47" s="111">
        <f t="shared" si="10"/>
        <v>0</v>
      </c>
      <c r="AZ47" s="111">
        <f t="shared" si="10"/>
        <v>0</v>
      </c>
      <c r="BA47" s="111">
        <f t="shared" si="10"/>
        <v>0</v>
      </c>
      <c r="BB47" s="111">
        <f t="shared" si="10"/>
        <v>0</v>
      </c>
      <c r="BC47" s="111">
        <f t="shared" si="10"/>
        <v>0</v>
      </c>
      <c r="BD47" s="111">
        <f t="shared" si="10"/>
        <v>0</v>
      </c>
      <c r="BE47" s="111">
        <f t="shared" si="10"/>
        <v>0</v>
      </c>
      <c r="BF47" s="111">
        <f t="shared" si="10"/>
        <v>0</v>
      </c>
      <c r="BG47" s="111">
        <f t="shared" si="11"/>
        <v>0</v>
      </c>
      <c r="BH47" s="111">
        <f t="shared" si="11"/>
        <v>0</v>
      </c>
      <c r="BI47" s="111">
        <f t="shared" si="11"/>
        <v>0</v>
      </c>
      <c r="BJ47" s="111">
        <f t="shared" si="11"/>
        <v>0</v>
      </c>
      <c r="BK47" s="111">
        <f t="shared" si="11"/>
        <v>0</v>
      </c>
      <c r="BL47" s="111">
        <f t="shared" si="11"/>
        <v>0</v>
      </c>
      <c r="BM47" s="111">
        <f t="shared" si="11"/>
        <v>0</v>
      </c>
      <c r="BN47" s="111">
        <f t="shared" si="11"/>
        <v>0</v>
      </c>
      <c r="BO47" s="111">
        <f t="shared" si="11"/>
        <v>0</v>
      </c>
      <c r="BP47" s="111">
        <f t="shared" si="11"/>
        <v>0</v>
      </c>
      <c r="BQ47" s="111">
        <f t="shared" si="11"/>
        <v>0</v>
      </c>
      <c r="BR47" s="111">
        <f t="shared" si="11"/>
        <v>0</v>
      </c>
      <c r="BS47" s="111">
        <f t="shared" si="11"/>
        <v>0</v>
      </c>
      <c r="BT47" s="111">
        <f t="shared" si="11"/>
        <v>0</v>
      </c>
      <c r="BU47" s="111">
        <f t="shared" si="11"/>
        <v>0</v>
      </c>
      <c r="BV47" s="111">
        <f t="shared" si="11"/>
        <v>0</v>
      </c>
      <c r="BW47" s="111">
        <f t="shared" si="12"/>
        <v>0</v>
      </c>
      <c r="BX47" s="111">
        <f t="shared" si="12"/>
        <v>0</v>
      </c>
      <c r="BY47" s="111">
        <f t="shared" si="12"/>
        <v>0</v>
      </c>
      <c r="BZ47" s="111">
        <f t="shared" si="12"/>
        <v>1</v>
      </c>
      <c r="CA47" s="111">
        <f t="shared" si="12"/>
        <v>1</v>
      </c>
      <c r="CB47" s="111">
        <f t="shared" si="12"/>
        <v>1</v>
      </c>
      <c r="CC47" s="111">
        <f t="shared" si="12"/>
        <v>1</v>
      </c>
      <c r="CD47" s="111">
        <f t="shared" si="12"/>
        <v>1</v>
      </c>
      <c r="CE47" s="111">
        <f t="shared" si="12"/>
        <v>1</v>
      </c>
      <c r="CF47" s="111">
        <f t="shared" si="12"/>
        <v>1</v>
      </c>
      <c r="CG47" s="111">
        <f t="shared" si="12"/>
        <v>1</v>
      </c>
      <c r="CH47" s="111">
        <f t="shared" si="12"/>
        <v>1</v>
      </c>
      <c r="CI47" s="111">
        <f t="shared" si="12"/>
        <v>1</v>
      </c>
      <c r="CJ47" s="111">
        <f t="shared" si="12"/>
        <v>1</v>
      </c>
      <c r="CK47" s="111">
        <f t="shared" si="12"/>
        <v>0</v>
      </c>
      <c r="CL47" s="111">
        <f t="shared" si="12"/>
        <v>0</v>
      </c>
      <c r="CM47" s="111">
        <f t="shared" si="13"/>
        <v>0</v>
      </c>
      <c r="CN47" s="111">
        <f t="shared" si="13"/>
        <v>0</v>
      </c>
      <c r="CO47" s="111">
        <f t="shared" si="13"/>
        <v>0</v>
      </c>
      <c r="CP47" s="111">
        <f t="shared" si="13"/>
        <v>0</v>
      </c>
      <c r="CQ47" s="58"/>
      <c r="CR47" s="36"/>
    </row>
    <row r="48" spans="1:96" x14ac:dyDescent="0.35">
      <c r="A48" s="36"/>
      <c r="B48" s="36"/>
      <c r="C48" s="36"/>
      <c r="D48" s="36"/>
      <c r="E48" s="36"/>
      <c r="F48" s="36"/>
      <c r="G48" s="36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8"/>
      <c r="CH48" s="58"/>
      <c r="CI48" s="58"/>
      <c r="CJ48" s="58"/>
      <c r="CK48" s="58"/>
      <c r="CL48" s="58"/>
      <c r="CM48" s="58"/>
      <c r="CN48" s="58"/>
      <c r="CO48" s="58"/>
      <c r="CP48" s="58"/>
      <c r="CQ48" s="58"/>
      <c r="CR48" s="36"/>
    </row>
    <row r="49" spans="1:96" x14ac:dyDescent="0.35">
      <c r="A49" s="36"/>
      <c r="B49" s="36"/>
      <c r="C49" s="87" t="s">
        <v>499</v>
      </c>
      <c r="D49" s="87"/>
      <c r="E49" s="87"/>
      <c r="F49" s="87"/>
      <c r="G49" s="87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8"/>
      <c r="BR49" s="88"/>
      <c r="BS49" s="88"/>
      <c r="BT49" s="88"/>
      <c r="BU49" s="88"/>
      <c r="BV49" s="88"/>
      <c r="BW49" s="88"/>
      <c r="BX49" s="88"/>
      <c r="BY49" s="88"/>
      <c r="BZ49" s="88"/>
      <c r="CA49" s="88"/>
      <c r="CB49" s="88"/>
      <c r="CC49" s="88"/>
      <c r="CD49" s="88"/>
      <c r="CE49" s="88"/>
      <c r="CF49" s="88"/>
      <c r="CG49" s="88"/>
      <c r="CH49" s="88"/>
      <c r="CI49" s="88"/>
      <c r="CJ49" s="88"/>
      <c r="CK49" s="88"/>
      <c r="CL49" s="88"/>
      <c r="CM49" s="88"/>
      <c r="CN49" s="88"/>
      <c r="CO49" s="88"/>
      <c r="CP49" s="88"/>
      <c r="CQ49" s="88"/>
      <c r="CR49" s="87"/>
    </row>
    <row r="50" spans="1:96" x14ac:dyDescent="0.35">
      <c r="A50" s="36"/>
      <c r="B50" s="36"/>
      <c r="C50" s="86"/>
      <c r="D50" s="86"/>
      <c r="E50" s="36"/>
      <c r="F50" s="36"/>
      <c r="G50" s="36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36"/>
    </row>
    <row r="51" spans="1:96" x14ac:dyDescent="0.35">
      <c r="A51" s="92"/>
      <c r="B51" s="36"/>
      <c r="C51" s="36"/>
      <c r="D51" s="86"/>
      <c r="E51" s="89" t="s">
        <v>500</v>
      </c>
      <c r="F51" s="36"/>
      <c r="G51" s="36"/>
      <c r="H51" s="58"/>
      <c r="I51" s="103" t="s">
        <v>120</v>
      </c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8"/>
      <c r="BW51" s="58"/>
      <c r="BX51" s="58"/>
      <c r="BY51" s="58"/>
      <c r="BZ51" s="58"/>
      <c r="CA51" s="58"/>
      <c r="CB51" s="58"/>
      <c r="CC51" s="58"/>
      <c r="CD51" s="58"/>
      <c r="CE51" s="58"/>
      <c r="CF51" s="58"/>
      <c r="CG51" s="58"/>
      <c r="CH51" s="58"/>
      <c r="CI51" s="58"/>
      <c r="CJ51" s="58"/>
      <c r="CK51" s="58"/>
      <c r="CL51" s="58"/>
      <c r="CM51" s="58"/>
      <c r="CN51" s="58"/>
      <c r="CO51" s="58"/>
      <c r="CP51" s="58"/>
      <c r="CQ51" s="58"/>
      <c r="CR51" s="92" t="s">
        <v>360</v>
      </c>
    </row>
    <row r="52" spans="1:96" x14ac:dyDescent="0.35">
      <c r="A52" s="36"/>
      <c r="B52" s="36"/>
      <c r="C52" s="36"/>
      <c r="D52" s="36"/>
      <c r="E52" s="36"/>
      <c r="F52" s="90" t="s">
        <v>196</v>
      </c>
      <c r="G52" s="90" t="str">
        <f>G$24</f>
        <v>£m</v>
      </c>
      <c r="H52" s="114">
        <f>SUMPRODUCT(J32:CP32, J$24:CP$24)</f>
        <v>5991.5683951622896</v>
      </c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1"/>
      <c r="AP52" s="101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  <c r="BB52" s="101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1"/>
      <c r="BN52" s="101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1"/>
      <c r="BZ52" s="101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1"/>
      <c r="CM52" s="101"/>
      <c r="CN52" s="101"/>
      <c r="CO52" s="101"/>
      <c r="CP52" s="101"/>
      <c r="CQ52" s="58"/>
      <c r="CR52" s="36"/>
    </row>
    <row r="53" spans="1:96" x14ac:dyDescent="0.35">
      <c r="A53" s="36"/>
      <c r="B53" s="36"/>
      <c r="C53" s="36"/>
      <c r="D53" s="36"/>
      <c r="E53" s="36"/>
      <c r="F53" s="92" t="s">
        <v>197</v>
      </c>
      <c r="G53" s="92" t="str">
        <f>G$24</f>
        <v>£m</v>
      </c>
      <c r="H53" s="101">
        <f>SUMPRODUCT(J33:CP33, J$24:CP$24)</f>
        <v>6189.9308935325689</v>
      </c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1"/>
      <c r="AP53" s="101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1"/>
      <c r="BB53" s="101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1"/>
      <c r="BN53" s="101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1"/>
      <c r="BZ53" s="101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1"/>
      <c r="CM53" s="101"/>
      <c r="CN53" s="101"/>
      <c r="CO53" s="101"/>
      <c r="CP53" s="101"/>
      <c r="CQ53" s="58"/>
      <c r="CR53" s="36"/>
    </row>
    <row r="54" spans="1:96" x14ac:dyDescent="0.35">
      <c r="A54" s="36"/>
      <c r="B54" s="36"/>
      <c r="C54" s="36"/>
      <c r="D54" s="36"/>
      <c r="E54" s="36"/>
      <c r="F54" s="92" t="s">
        <v>198</v>
      </c>
      <c r="G54" s="92" t="str">
        <f>G$24</f>
        <v>£m</v>
      </c>
      <c r="H54" s="101">
        <f>SUMPRODUCT(J34:CP34, J$24:CP$24)</f>
        <v>1536.897633832411</v>
      </c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101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1"/>
      <c r="BB54" s="101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1"/>
      <c r="BN54" s="101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1"/>
      <c r="BZ54" s="101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1"/>
      <c r="CM54" s="101"/>
      <c r="CN54" s="101"/>
      <c r="CO54" s="101"/>
      <c r="CP54" s="101"/>
      <c r="CQ54" s="58"/>
      <c r="CR54" s="36"/>
    </row>
    <row r="55" spans="1:96" x14ac:dyDescent="0.35">
      <c r="A55" s="36"/>
      <c r="B55" s="36"/>
      <c r="C55" s="36"/>
      <c r="D55" s="36"/>
      <c r="E55" s="36"/>
      <c r="F55" s="92" t="s">
        <v>199</v>
      </c>
      <c r="G55" s="92" t="str">
        <f>G$24</f>
        <v>£m</v>
      </c>
      <c r="H55" s="101">
        <f>SUMPRODUCT(J35:CP35, J$24:CP$24)</f>
        <v>4610.9119956708473</v>
      </c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101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1"/>
      <c r="BB55" s="101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1"/>
      <c r="BN55" s="101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1"/>
      <c r="BZ55" s="101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1"/>
      <c r="CM55" s="101"/>
      <c r="CN55" s="101"/>
      <c r="CO55" s="101"/>
      <c r="CP55" s="101"/>
      <c r="CQ55" s="58"/>
      <c r="CR55" s="36"/>
    </row>
    <row r="56" spans="1:96" x14ac:dyDescent="0.35">
      <c r="A56" s="36"/>
      <c r="B56" s="36"/>
      <c r="C56" s="36"/>
      <c r="D56" s="36"/>
      <c r="E56" s="36"/>
      <c r="F56" s="94" t="s">
        <v>201</v>
      </c>
      <c r="G56" s="94" t="str">
        <f>G$24</f>
        <v>£m</v>
      </c>
      <c r="H56" s="115">
        <f>SUMPRODUCT(J36:CP36, J$24:CP$24)</f>
        <v>4083.1106580115388</v>
      </c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101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1"/>
      <c r="BB56" s="101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1"/>
      <c r="BN56" s="101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1"/>
      <c r="BZ56" s="101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1"/>
      <c r="CM56" s="101"/>
      <c r="CN56" s="101"/>
      <c r="CO56" s="101"/>
      <c r="CP56" s="101"/>
      <c r="CQ56" s="58"/>
      <c r="CR56" s="36"/>
    </row>
    <row r="57" spans="1:96" x14ac:dyDescent="0.35">
      <c r="A57" s="36"/>
      <c r="B57" s="36"/>
      <c r="C57" s="36"/>
      <c r="D57" s="36"/>
      <c r="E57" s="36"/>
      <c r="F57" s="36"/>
      <c r="G57" s="36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58"/>
      <c r="CQ57" s="58"/>
      <c r="CR57" s="36"/>
    </row>
    <row r="58" spans="1:96" x14ac:dyDescent="0.35">
      <c r="A58" s="36"/>
      <c r="B58" s="36"/>
      <c r="C58" s="36"/>
      <c r="D58" s="36"/>
      <c r="E58" s="92" t="s">
        <v>492</v>
      </c>
      <c r="F58" s="36"/>
      <c r="G58" s="92" t="str">
        <f>G$24</f>
        <v>£m</v>
      </c>
      <c r="H58" s="101">
        <f>SUM(H52:H56)</f>
        <v>22412.419576209657</v>
      </c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1"/>
      <c r="AP58" s="101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1"/>
      <c r="BB58" s="101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1"/>
      <c r="BN58" s="101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1"/>
      <c r="BZ58" s="101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1"/>
      <c r="CM58" s="101"/>
      <c r="CN58" s="101"/>
      <c r="CO58" s="101"/>
      <c r="CP58" s="101"/>
      <c r="CQ58" s="58"/>
      <c r="CR58" s="36"/>
    </row>
    <row r="59" spans="1:96" x14ac:dyDescent="0.35">
      <c r="A59" s="36"/>
      <c r="B59" s="36"/>
      <c r="C59" s="36"/>
      <c r="D59" s="36"/>
      <c r="E59" s="92" t="s">
        <v>501</v>
      </c>
      <c r="F59" s="36"/>
      <c r="G59" s="92" t="s">
        <v>502</v>
      </c>
      <c r="H59" s="101" t="b">
        <f>H52 + H53 &gt; 0</f>
        <v>1</v>
      </c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1"/>
      <c r="BB59" s="101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1"/>
      <c r="BN59" s="101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1"/>
      <c r="BZ59" s="101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1"/>
      <c r="CM59" s="101"/>
      <c r="CN59" s="101"/>
      <c r="CO59" s="101"/>
      <c r="CP59" s="101"/>
      <c r="CQ59" s="58"/>
      <c r="CR59" s="36"/>
    </row>
    <row r="60" spans="1:96" x14ac:dyDescent="0.35">
      <c r="A60" s="36"/>
      <c r="B60" s="36"/>
      <c r="C60" s="36"/>
      <c r="D60" s="36"/>
      <c r="E60" s="92" t="s">
        <v>503</v>
      </c>
      <c r="F60" s="36"/>
      <c r="G60" s="92" t="s">
        <v>502</v>
      </c>
      <c r="H60" s="101" t="b">
        <f>H58 &gt; 0</f>
        <v>1</v>
      </c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1"/>
      <c r="AP60" s="101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1"/>
      <c r="BB60" s="101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1"/>
      <c r="BN60" s="101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1"/>
      <c r="BZ60" s="101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1"/>
      <c r="CM60" s="101"/>
      <c r="CN60" s="101"/>
      <c r="CO60" s="101"/>
      <c r="CP60" s="101"/>
      <c r="CQ60" s="58"/>
      <c r="CR60" s="36"/>
    </row>
    <row r="61" spans="1:96" x14ac:dyDescent="0.35">
      <c r="A61" s="36"/>
      <c r="B61" s="36"/>
      <c r="C61" s="36"/>
      <c r="D61" s="36"/>
      <c r="E61" s="92"/>
      <c r="F61" s="36"/>
      <c r="G61" s="92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1"/>
      <c r="AP61" s="101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1"/>
      <c r="BB61" s="101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1"/>
      <c r="BN61" s="101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1"/>
      <c r="BZ61" s="101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1"/>
      <c r="CM61" s="101"/>
      <c r="CN61" s="101"/>
      <c r="CO61" s="101"/>
      <c r="CP61" s="101"/>
      <c r="CQ61" s="58"/>
      <c r="CR61" s="36"/>
    </row>
    <row r="62" spans="1:96" x14ac:dyDescent="0.35">
      <c r="A62" s="36"/>
      <c r="B62" s="36"/>
      <c r="C62" s="36"/>
      <c r="D62" s="36"/>
      <c r="E62" s="92" t="s">
        <v>504</v>
      </c>
      <c r="F62" s="36"/>
      <c r="G62" s="92" t="str">
        <f>G$24</f>
        <v>£m</v>
      </c>
      <c r="H62" s="101">
        <f>H58 - H25</f>
        <v>0</v>
      </c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1"/>
      <c r="AP62" s="101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1"/>
      <c r="BB62" s="101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1"/>
      <c r="BN62" s="101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1"/>
      <c r="BZ62" s="101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1"/>
      <c r="CM62" s="101"/>
      <c r="CN62" s="101"/>
      <c r="CO62" s="101"/>
      <c r="CP62" s="101"/>
      <c r="CQ62" s="58"/>
      <c r="CR62" s="36"/>
    </row>
    <row r="63" spans="1:96" x14ac:dyDescent="0.35">
      <c r="A63" s="36"/>
      <c r="B63" s="36"/>
      <c r="C63" s="36"/>
      <c r="D63" s="36"/>
      <c r="E63" s="92" t="s">
        <v>505</v>
      </c>
      <c r="F63" s="36"/>
      <c r="G63" s="92" t="s">
        <v>73</v>
      </c>
      <c r="H63" s="107">
        <f>IF(H62 = 0, 0, 1)</f>
        <v>0</v>
      </c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07"/>
      <c r="BM63" s="107"/>
      <c r="BN63" s="107"/>
      <c r="BO63" s="107"/>
      <c r="BP63" s="107"/>
      <c r="BQ63" s="107"/>
      <c r="BR63" s="107"/>
      <c r="BS63" s="107"/>
      <c r="BT63" s="107"/>
      <c r="BU63" s="107"/>
      <c r="BV63" s="107"/>
      <c r="BW63" s="107"/>
      <c r="BX63" s="107"/>
      <c r="BY63" s="107"/>
      <c r="BZ63" s="107"/>
      <c r="CA63" s="107"/>
      <c r="CB63" s="107"/>
      <c r="CC63" s="107"/>
      <c r="CD63" s="107"/>
      <c r="CE63" s="107"/>
      <c r="CF63" s="107"/>
      <c r="CG63" s="107"/>
      <c r="CH63" s="107"/>
      <c r="CI63" s="107"/>
      <c r="CJ63" s="107"/>
      <c r="CK63" s="107"/>
      <c r="CL63" s="107"/>
      <c r="CM63" s="107"/>
      <c r="CN63" s="107"/>
      <c r="CO63" s="107"/>
      <c r="CP63" s="107"/>
      <c r="CQ63" s="58"/>
      <c r="CR63" s="36"/>
    </row>
    <row r="64" spans="1:96" x14ac:dyDescent="0.35">
      <c r="A64" s="36"/>
      <c r="B64" s="36"/>
      <c r="C64" s="36"/>
      <c r="D64" s="36"/>
      <c r="E64" s="86"/>
      <c r="F64" s="36"/>
      <c r="G64" s="36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58"/>
      <c r="CH64" s="58"/>
      <c r="CI64" s="58"/>
      <c r="CJ64" s="58"/>
      <c r="CK64" s="58"/>
      <c r="CL64" s="58"/>
      <c r="CM64" s="58"/>
      <c r="CN64" s="58"/>
      <c r="CO64" s="58"/>
      <c r="CP64" s="58"/>
      <c r="CQ64" s="58"/>
      <c r="CR64" s="36"/>
    </row>
    <row r="65" spans="1:96" x14ac:dyDescent="0.35">
      <c r="A65" s="92"/>
      <c r="B65" s="36"/>
      <c r="C65" s="36"/>
      <c r="D65" s="36"/>
      <c r="E65" s="89" t="s">
        <v>506</v>
      </c>
      <c r="F65" s="36"/>
      <c r="G65" s="36"/>
      <c r="H65" s="58"/>
      <c r="I65" s="103" t="s">
        <v>120</v>
      </c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D65" s="58"/>
      <c r="CE65" s="58"/>
      <c r="CF65" s="58"/>
      <c r="CG65" s="58"/>
      <c r="CH65" s="58"/>
      <c r="CI65" s="58"/>
      <c r="CJ65" s="58"/>
      <c r="CK65" s="58"/>
      <c r="CL65" s="58"/>
      <c r="CM65" s="58"/>
      <c r="CN65" s="58"/>
      <c r="CO65" s="58"/>
      <c r="CP65" s="58"/>
      <c r="CQ65" s="58"/>
      <c r="CR65" s="92" t="s">
        <v>360</v>
      </c>
    </row>
    <row r="66" spans="1:96" x14ac:dyDescent="0.35">
      <c r="A66" s="36"/>
      <c r="B66" s="36"/>
      <c r="C66" s="36"/>
      <c r="D66" s="36"/>
      <c r="E66" s="36"/>
      <c r="F66" s="90" t="s">
        <v>196</v>
      </c>
      <c r="G66" s="90" t="s">
        <v>119</v>
      </c>
      <c r="H66" s="120">
        <f>IF(H$60, H52 / H$58, 0)</f>
        <v>0.26733251065503977</v>
      </c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  <c r="AS66" s="106"/>
      <c r="AT66" s="106"/>
      <c r="AU66" s="106"/>
      <c r="AV66" s="106"/>
      <c r="AW66" s="106"/>
      <c r="AX66" s="106"/>
      <c r="AY66" s="106"/>
      <c r="AZ66" s="106"/>
      <c r="BA66" s="106"/>
      <c r="BB66" s="106"/>
      <c r="BC66" s="106"/>
      <c r="BD66" s="106"/>
      <c r="BE66" s="106"/>
      <c r="BF66" s="106"/>
      <c r="BG66" s="106"/>
      <c r="BH66" s="106"/>
      <c r="BI66" s="106"/>
      <c r="BJ66" s="106"/>
      <c r="BK66" s="106"/>
      <c r="BL66" s="106"/>
      <c r="BM66" s="106"/>
      <c r="BN66" s="106"/>
      <c r="BO66" s="106"/>
      <c r="BP66" s="106"/>
      <c r="BQ66" s="106"/>
      <c r="BR66" s="106"/>
      <c r="BS66" s="106"/>
      <c r="BT66" s="106"/>
      <c r="BU66" s="106"/>
      <c r="BV66" s="106"/>
      <c r="BW66" s="106"/>
      <c r="BX66" s="106"/>
      <c r="BY66" s="106"/>
      <c r="BZ66" s="106"/>
      <c r="CA66" s="106"/>
      <c r="CB66" s="106"/>
      <c r="CC66" s="106"/>
      <c r="CD66" s="106"/>
      <c r="CE66" s="106"/>
      <c r="CF66" s="106"/>
      <c r="CG66" s="106"/>
      <c r="CH66" s="106"/>
      <c r="CI66" s="106"/>
      <c r="CJ66" s="106"/>
      <c r="CK66" s="106"/>
      <c r="CL66" s="106"/>
      <c r="CM66" s="106"/>
      <c r="CN66" s="106"/>
      <c r="CO66" s="106"/>
      <c r="CP66" s="106"/>
      <c r="CQ66" s="58"/>
      <c r="CR66" s="36"/>
    </row>
    <row r="67" spans="1:96" x14ac:dyDescent="0.35">
      <c r="A67" s="36"/>
      <c r="B67" s="36"/>
      <c r="C67" s="36"/>
      <c r="D67" s="36"/>
      <c r="E67" s="36"/>
      <c r="F67" s="92" t="s">
        <v>197</v>
      </c>
      <c r="G67" s="92" t="s">
        <v>119</v>
      </c>
      <c r="H67" s="121">
        <f>IF(H$60, H53 / H$58, 0)</f>
        <v>0.2761830721794562</v>
      </c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106"/>
      <c r="AK67" s="106"/>
      <c r="AL67" s="106"/>
      <c r="AM67" s="106"/>
      <c r="AN67" s="106"/>
      <c r="AO67" s="106"/>
      <c r="AP67" s="106"/>
      <c r="AQ67" s="106"/>
      <c r="AR67" s="106"/>
      <c r="AS67" s="106"/>
      <c r="AT67" s="106"/>
      <c r="AU67" s="106"/>
      <c r="AV67" s="106"/>
      <c r="AW67" s="106"/>
      <c r="AX67" s="106"/>
      <c r="AY67" s="106"/>
      <c r="AZ67" s="106"/>
      <c r="BA67" s="106"/>
      <c r="BB67" s="106"/>
      <c r="BC67" s="106"/>
      <c r="BD67" s="106"/>
      <c r="BE67" s="106"/>
      <c r="BF67" s="106"/>
      <c r="BG67" s="106"/>
      <c r="BH67" s="106"/>
      <c r="BI67" s="106"/>
      <c r="BJ67" s="106"/>
      <c r="BK67" s="106"/>
      <c r="BL67" s="106"/>
      <c r="BM67" s="106"/>
      <c r="BN67" s="106"/>
      <c r="BO67" s="106"/>
      <c r="BP67" s="106"/>
      <c r="BQ67" s="106"/>
      <c r="BR67" s="106"/>
      <c r="BS67" s="106"/>
      <c r="BT67" s="106"/>
      <c r="BU67" s="106"/>
      <c r="BV67" s="106"/>
      <c r="BW67" s="106"/>
      <c r="BX67" s="106"/>
      <c r="BY67" s="106"/>
      <c r="BZ67" s="106"/>
      <c r="CA67" s="106"/>
      <c r="CB67" s="106"/>
      <c r="CC67" s="106"/>
      <c r="CD67" s="106"/>
      <c r="CE67" s="106"/>
      <c r="CF67" s="106"/>
      <c r="CG67" s="106"/>
      <c r="CH67" s="106"/>
      <c r="CI67" s="106"/>
      <c r="CJ67" s="106"/>
      <c r="CK67" s="106"/>
      <c r="CL67" s="106"/>
      <c r="CM67" s="106"/>
      <c r="CN67" s="106"/>
      <c r="CO67" s="106"/>
      <c r="CP67" s="106"/>
      <c r="CQ67" s="58"/>
      <c r="CR67" s="36"/>
    </row>
    <row r="68" spans="1:96" x14ac:dyDescent="0.35">
      <c r="A68" s="36"/>
      <c r="B68" s="36"/>
      <c r="C68" s="36"/>
      <c r="D68" s="36"/>
      <c r="E68" s="36"/>
      <c r="F68" s="92" t="s">
        <v>198</v>
      </c>
      <c r="G68" s="92" t="s">
        <v>119</v>
      </c>
      <c r="H68" s="121">
        <f>IF(H$60, H54 / H$58, 0)</f>
        <v>6.8573481261425137E-2</v>
      </c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  <c r="AJ68" s="106"/>
      <c r="AK68" s="106"/>
      <c r="AL68" s="106"/>
      <c r="AM68" s="106"/>
      <c r="AN68" s="106"/>
      <c r="AO68" s="106"/>
      <c r="AP68" s="106"/>
      <c r="AQ68" s="106"/>
      <c r="AR68" s="106"/>
      <c r="AS68" s="106"/>
      <c r="AT68" s="106"/>
      <c r="AU68" s="106"/>
      <c r="AV68" s="106"/>
      <c r="AW68" s="106"/>
      <c r="AX68" s="106"/>
      <c r="AY68" s="106"/>
      <c r="AZ68" s="106"/>
      <c r="BA68" s="106"/>
      <c r="BB68" s="106"/>
      <c r="BC68" s="106"/>
      <c r="BD68" s="106"/>
      <c r="BE68" s="106"/>
      <c r="BF68" s="106"/>
      <c r="BG68" s="106"/>
      <c r="BH68" s="106"/>
      <c r="BI68" s="106"/>
      <c r="BJ68" s="106"/>
      <c r="BK68" s="106"/>
      <c r="BL68" s="106"/>
      <c r="BM68" s="106"/>
      <c r="BN68" s="106"/>
      <c r="BO68" s="106"/>
      <c r="BP68" s="106"/>
      <c r="BQ68" s="106"/>
      <c r="BR68" s="106"/>
      <c r="BS68" s="106"/>
      <c r="BT68" s="106"/>
      <c r="BU68" s="106"/>
      <c r="BV68" s="106"/>
      <c r="BW68" s="106"/>
      <c r="BX68" s="106"/>
      <c r="BY68" s="106"/>
      <c r="BZ68" s="106"/>
      <c r="CA68" s="106"/>
      <c r="CB68" s="106"/>
      <c r="CC68" s="106"/>
      <c r="CD68" s="106"/>
      <c r="CE68" s="106"/>
      <c r="CF68" s="106"/>
      <c r="CG68" s="106"/>
      <c r="CH68" s="106"/>
      <c r="CI68" s="106"/>
      <c r="CJ68" s="106"/>
      <c r="CK68" s="106"/>
      <c r="CL68" s="106"/>
      <c r="CM68" s="106"/>
      <c r="CN68" s="106"/>
      <c r="CO68" s="106"/>
      <c r="CP68" s="106"/>
      <c r="CQ68" s="58"/>
      <c r="CR68" s="36"/>
    </row>
    <row r="69" spans="1:96" x14ac:dyDescent="0.35">
      <c r="A69" s="36"/>
      <c r="B69" s="36"/>
      <c r="C69" s="36"/>
      <c r="D69" s="36"/>
      <c r="E69" s="36"/>
      <c r="F69" s="92" t="s">
        <v>199</v>
      </c>
      <c r="G69" s="92" t="s">
        <v>119</v>
      </c>
      <c r="H69" s="121">
        <f>IF(H$60, H55 / H$58, 0)</f>
        <v>0.20573021935414951</v>
      </c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  <c r="AS69" s="106"/>
      <c r="AT69" s="106"/>
      <c r="AU69" s="106"/>
      <c r="AV69" s="106"/>
      <c r="AW69" s="106"/>
      <c r="AX69" s="106"/>
      <c r="AY69" s="106"/>
      <c r="AZ69" s="106"/>
      <c r="BA69" s="106"/>
      <c r="BB69" s="106"/>
      <c r="BC69" s="106"/>
      <c r="BD69" s="106"/>
      <c r="BE69" s="106"/>
      <c r="BF69" s="106"/>
      <c r="BG69" s="106"/>
      <c r="BH69" s="106"/>
      <c r="BI69" s="106"/>
      <c r="BJ69" s="106"/>
      <c r="BK69" s="106"/>
      <c r="BL69" s="106"/>
      <c r="BM69" s="106"/>
      <c r="BN69" s="106"/>
      <c r="BO69" s="106"/>
      <c r="BP69" s="106"/>
      <c r="BQ69" s="106"/>
      <c r="BR69" s="106"/>
      <c r="BS69" s="106"/>
      <c r="BT69" s="106"/>
      <c r="BU69" s="106"/>
      <c r="BV69" s="106"/>
      <c r="BW69" s="106"/>
      <c r="BX69" s="106"/>
      <c r="BY69" s="106"/>
      <c r="BZ69" s="106"/>
      <c r="CA69" s="106"/>
      <c r="CB69" s="106"/>
      <c r="CC69" s="106"/>
      <c r="CD69" s="106"/>
      <c r="CE69" s="106"/>
      <c r="CF69" s="106"/>
      <c r="CG69" s="106"/>
      <c r="CH69" s="106"/>
      <c r="CI69" s="106"/>
      <c r="CJ69" s="106"/>
      <c r="CK69" s="106"/>
      <c r="CL69" s="106"/>
      <c r="CM69" s="106"/>
      <c r="CN69" s="106"/>
      <c r="CO69" s="106"/>
      <c r="CP69" s="106"/>
      <c r="CQ69" s="58"/>
      <c r="CR69" s="36"/>
    </row>
    <row r="70" spans="1:96" x14ac:dyDescent="0.35">
      <c r="A70" s="36"/>
      <c r="B70" s="36"/>
      <c r="C70" s="36"/>
      <c r="D70" s="36"/>
      <c r="E70" s="36"/>
      <c r="F70" s="94" t="s">
        <v>201</v>
      </c>
      <c r="G70" s="94" t="s">
        <v>119</v>
      </c>
      <c r="H70" s="122">
        <f>IF(H$60, H56 / H$58, 0)</f>
        <v>0.18218071654992934</v>
      </c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6"/>
      <c r="Z70" s="106"/>
      <c r="AA70" s="106"/>
      <c r="AB70" s="106"/>
      <c r="AC70" s="106"/>
      <c r="AD70" s="106"/>
      <c r="AE70" s="106"/>
      <c r="AF70" s="106"/>
      <c r="AG70" s="106"/>
      <c r="AH70" s="106"/>
      <c r="AI70" s="106"/>
      <c r="AJ70" s="106"/>
      <c r="AK70" s="106"/>
      <c r="AL70" s="106"/>
      <c r="AM70" s="106"/>
      <c r="AN70" s="106"/>
      <c r="AO70" s="106"/>
      <c r="AP70" s="106"/>
      <c r="AQ70" s="106"/>
      <c r="AR70" s="106"/>
      <c r="AS70" s="106"/>
      <c r="AT70" s="106"/>
      <c r="AU70" s="106"/>
      <c r="AV70" s="106"/>
      <c r="AW70" s="106"/>
      <c r="AX70" s="106"/>
      <c r="AY70" s="106"/>
      <c r="AZ70" s="106"/>
      <c r="BA70" s="106"/>
      <c r="BB70" s="106"/>
      <c r="BC70" s="106"/>
      <c r="BD70" s="106"/>
      <c r="BE70" s="106"/>
      <c r="BF70" s="106"/>
      <c r="BG70" s="106"/>
      <c r="BH70" s="106"/>
      <c r="BI70" s="106"/>
      <c r="BJ70" s="106"/>
      <c r="BK70" s="106"/>
      <c r="BL70" s="106"/>
      <c r="BM70" s="106"/>
      <c r="BN70" s="106"/>
      <c r="BO70" s="106"/>
      <c r="BP70" s="106"/>
      <c r="BQ70" s="106"/>
      <c r="BR70" s="106"/>
      <c r="BS70" s="106"/>
      <c r="BT70" s="106"/>
      <c r="BU70" s="106"/>
      <c r="BV70" s="106"/>
      <c r="BW70" s="106"/>
      <c r="BX70" s="106"/>
      <c r="BY70" s="106"/>
      <c r="BZ70" s="106"/>
      <c r="CA70" s="106"/>
      <c r="CB70" s="106"/>
      <c r="CC70" s="106"/>
      <c r="CD70" s="106"/>
      <c r="CE70" s="106"/>
      <c r="CF70" s="106"/>
      <c r="CG70" s="106"/>
      <c r="CH70" s="106"/>
      <c r="CI70" s="106"/>
      <c r="CJ70" s="106"/>
      <c r="CK70" s="106"/>
      <c r="CL70" s="106"/>
      <c r="CM70" s="106"/>
      <c r="CN70" s="106"/>
      <c r="CO70" s="106"/>
      <c r="CP70" s="106"/>
      <c r="CQ70" s="58"/>
      <c r="CR70" s="36"/>
    </row>
    <row r="71" spans="1:96" x14ac:dyDescent="0.35">
      <c r="A71" s="36"/>
      <c r="B71" s="36"/>
      <c r="C71" s="36"/>
      <c r="D71" s="36"/>
      <c r="E71" s="36"/>
      <c r="F71" s="36"/>
      <c r="G71" s="36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  <c r="CJ71" s="58"/>
      <c r="CK71" s="58"/>
      <c r="CL71" s="58"/>
      <c r="CM71" s="58"/>
      <c r="CN71" s="58"/>
      <c r="CO71" s="58"/>
      <c r="CP71" s="58"/>
      <c r="CQ71" s="58"/>
      <c r="CR71" s="36"/>
    </row>
    <row r="72" spans="1:96" x14ac:dyDescent="0.35">
      <c r="A72" s="36"/>
      <c r="B72" s="36"/>
      <c r="C72" s="36"/>
      <c r="D72" s="36"/>
      <c r="E72" s="92" t="s">
        <v>507</v>
      </c>
      <c r="F72" s="36"/>
      <c r="G72" s="92" t="s">
        <v>73</v>
      </c>
      <c r="H72" s="107">
        <f>IF(SUM(H66:H70)= 1, 0, 1)</f>
        <v>0</v>
      </c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  <c r="AR72" s="107"/>
      <c r="AS72" s="107"/>
      <c r="AT72" s="107"/>
      <c r="AU72" s="107"/>
      <c r="AV72" s="107"/>
      <c r="AW72" s="107"/>
      <c r="AX72" s="107"/>
      <c r="AY72" s="107"/>
      <c r="AZ72" s="107"/>
      <c r="BA72" s="107"/>
      <c r="BB72" s="107"/>
      <c r="BC72" s="107"/>
      <c r="BD72" s="107"/>
      <c r="BE72" s="107"/>
      <c r="BF72" s="107"/>
      <c r="BG72" s="107"/>
      <c r="BH72" s="107"/>
      <c r="BI72" s="107"/>
      <c r="BJ72" s="107"/>
      <c r="BK72" s="107"/>
      <c r="BL72" s="107"/>
      <c r="BM72" s="107"/>
      <c r="BN72" s="107"/>
      <c r="BO72" s="107"/>
      <c r="BP72" s="107"/>
      <c r="BQ72" s="107"/>
      <c r="BR72" s="107"/>
      <c r="BS72" s="107"/>
      <c r="BT72" s="107"/>
      <c r="BU72" s="107"/>
      <c r="BV72" s="107"/>
      <c r="BW72" s="107"/>
      <c r="BX72" s="107"/>
      <c r="BY72" s="107"/>
      <c r="BZ72" s="107"/>
      <c r="CA72" s="107"/>
      <c r="CB72" s="107"/>
      <c r="CC72" s="107"/>
      <c r="CD72" s="107"/>
      <c r="CE72" s="107"/>
      <c r="CF72" s="107"/>
      <c r="CG72" s="107"/>
      <c r="CH72" s="107"/>
      <c r="CI72" s="107"/>
      <c r="CJ72" s="107"/>
      <c r="CK72" s="107"/>
      <c r="CL72" s="107"/>
      <c r="CM72" s="107"/>
      <c r="CN72" s="107"/>
      <c r="CO72" s="107"/>
      <c r="CP72" s="107"/>
      <c r="CQ72" s="58"/>
      <c r="CR72" s="36"/>
    </row>
    <row r="73" spans="1:96" x14ac:dyDescent="0.35">
      <c r="A73" s="36"/>
      <c r="B73" s="36"/>
      <c r="C73" s="36"/>
      <c r="D73" s="36"/>
      <c r="E73" s="86"/>
      <c r="F73" s="36"/>
      <c r="G73" s="36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58"/>
      <c r="CG73" s="58"/>
      <c r="CH73" s="58"/>
      <c r="CI73" s="58"/>
      <c r="CJ73" s="58"/>
      <c r="CK73" s="58"/>
      <c r="CL73" s="58"/>
      <c r="CM73" s="58"/>
      <c r="CN73" s="58"/>
      <c r="CO73" s="58"/>
      <c r="CP73" s="58"/>
      <c r="CQ73" s="58"/>
      <c r="CR73" s="36"/>
    </row>
    <row r="74" spans="1:96" x14ac:dyDescent="0.35">
      <c r="A74" s="92"/>
      <c r="B74" s="36"/>
      <c r="C74" s="36"/>
      <c r="D74" s="36"/>
      <c r="E74" s="89" t="s">
        <v>508</v>
      </c>
      <c r="F74" s="36"/>
      <c r="G74" s="36"/>
      <c r="H74" s="58"/>
      <c r="I74" s="103" t="s">
        <v>120</v>
      </c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92" t="s">
        <v>509</v>
      </c>
    </row>
    <row r="75" spans="1:96" x14ac:dyDescent="0.35">
      <c r="A75" s="36"/>
      <c r="B75" s="36"/>
      <c r="C75" s="36"/>
      <c r="D75" s="36"/>
      <c r="E75" s="36"/>
      <c r="F75" s="90" t="s">
        <v>510</v>
      </c>
      <c r="G75" s="90" t="s">
        <v>119</v>
      </c>
      <c r="H75" s="120">
        <f>IF(H$59, H66 / (H$66 + H$67), 0)</f>
        <v>0.49185804252542331</v>
      </c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06"/>
      <c r="Z75" s="106"/>
      <c r="AA75" s="106"/>
      <c r="AB75" s="106"/>
      <c r="AC75" s="106"/>
      <c r="AD75" s="106"/>
      <c r="AE75" s="106"/>
      <c r="AF75" s="106"/>
      <c r="AG75" s="106"/>
      <c r="AH75" s="106"/>
      <c r="AI75" s="106"/>
      <c r="AJ75" s="106"/>
      <c r="AK75" s="106"/>
      <c r="AL75" s="106"/>
      <c r="AM75" s="106"/>
      <c r="AN75" s="106"/>
      <c r="AO75" s="106"/>
      <c r="AP75" s="106"/>
      <c r="AQ75" s="106"/>
      <c r="AR75" s="106"/>
      <c r="AS75" s="106"/>
      <c r="AT75" s="106"/>
      <c r="AU75" s="106"/>
      <c r="AV75" s="106"/>
      <c r="AW75" s="106"/>
      <c r="AX75" s="106"/>
      <c r="AY75" s="106"/>
      <c r="AZ75" s="106"/>
      <c r="BA75" s="106"/>
      <c r="BB75" s="106"/>
      <c r="BC75" s="106"/>
      <c r="BD75" s="106"/>
      <c r="BE75" s="106"/>
      <c r="BF75" s="106"/>
      <c r="BG75" s="106"/>
      <c r="BH75" s="106"/>
      <c r="BI75" s="106"/>
      <c r="BJ75" s="106"/>
      <c r="BK75" s="106"/>
      <c r="BL75" s="106"/>
      <c r="BM75" s="106"/>
      <c r="BN75" s="106"/>
      <c r="BO75" s="106"/>
      <c r="BP75" s="106"/>
      <c r="BQ75" s="106"/>
      <c r="BR75" s="106"/>
      <c r="BS75" s="106"/>
      <c r="BT75" s="106"/>
      <c r="BU75" s="106"/>
      <c r="BV75" s="106"/>
      <c r="BW75" s="106"/>
      <c r="BX75" s="106"/>
      <c r="BY75" s="106"/>
      <c r="BZ75" s="106"/>
      <c r="CA75" s="106"/>
      <c r="CB75" s="106"/>
      <c r="CC75" s="106"/>
      <c r="CD75" s="106"/>
      <c r="CE75" s="106"/>
      <c r="CF75" s="106"/>
      <c r="CG75" s="106"/>
      <c r="CH75" s="106"/>
      <c r="CI75" s="106"/>
      <c r="CJ75" s="106"/>
      <c r="CK75" s="106"/>
      <c r="CL75" s="106"/>
      <c r="CM75" s="106"/>
      <c r="CN75" s="106"/>
      <c r="CO75" s="106"/>
      <c r="CP75" s="106"/>
      <c r="CQ75" s="58"/>
      <c r="CR75" s="36"/>
    </row>
    <row r="76" spans="1:96" x14ac:dyDescent="0.35">
      <c r="A76" s="36"/>
      <c r="B76" s="36"/>
      <c r="C76" s="36"/>
      <c r="D76" s="36"/>
      <c r="E76" s="36"/>
      <c r="F76" s="94" t="s">
        <v>511</v>
      </c>
      <c r="G76" s="94" t="s">
        <v>119</v>
      </c>
      <c r="H76" s="118">
        <f>IF(H$59, H67 / (H$66 + H$67), 0)</f>
        <v>0.50814195747457669</v>
      </c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6"/>
      <c r="AL76" s="106"/>
      <c r="AM76" s="106"/>
      <c r="AN76" s="106"/>
      <c r="AO76" s="106"/>
      <c r="AP76" s="106"/>
      <c r="AQ76" s="106"/>
      <c r="AR76" s="106"/>
      <c r="AS76" s="106"/>
      <c r="AT76" s="106"/>
      <c r="AU76" s="106"/>
      <c r="AV76" s="106"/>
      <c r="AW76" s="106"/>
      <c r="AX76" s="106"/>
      <c r="AY76" s="106"/>
      <c r="AZ76" s="106"/>
      <c r="BA76" s="106"/>
      <c r="BB76" s="106"/>
      <c r="BC76" s="106"/>
      <c r="BD76" s="106"/>
      <c r="BE76" s="106"/>
      <c r="BF76" s="106"/>
      <c r="BG76" s="106"/>
      <c r="BH76" s="106"/>
      <c r="BI76" s="106"/>
      <c r="BJ76" s="106"/>
      <c r="BK76" s="106"/>
      <c r="BL76" s="106"/>
      <c r="BM76" s="106"/>
      <c r="BN76" s="106"/>
      <c r="BO76" s="106"/>
      <c r="BP76" s="106"/>
      <c r="BQ76" s="106"/>
      <c r="BR76" s="106"/>
      <c r="BS76" s="106"/>
      <c r="BT76" s="106"/>
      <c r="BU76" s="106"/>
      <c r="BV76" s="106"/>
      <c r="BW76" s="106"/>
      <c r="BX76" s="106"/>
      <c r="BY76" s="106"/>
      <c r="BZ76" s="106"/>
      <c r="CA76" s="106"/>
      <c r="CB76" s="106"/>
      <c r="CC76" s="106"/>
      <c r="CD76" s="106"/>
      <c r="CE76" s="106"/>
      <c r="CF76" s="106"/>
      <c r="CG76" s="106"/>
      <c r="CH76" s="106"/>
      <c r="CI76" s="106"/>
      <c r="CJ76" s="106"/>
      <c r="CK76" s="106"/>
      <c r="CL76" s="106"/>
      <c r="CM76" s="106"/>
      <c r="CN76" s="106"/>
      <c r="CO76" s="106"/>
      <c r="CP76" s="106"/>
      <c r="CQ76" s="58"/>
      <c r="CR76" s="36"/>
    </row>
    <row r="77" spans="1:96" x14ac:dyDescent="0.35">
      <c r="A77" s="36"/>
      <c r="B77" s="36"/>
      <c r="C77" s="36"/>
      <c r="D77" s="36"/>
      <c r="E77" s="36"/>
      <c r="F77" s="36"/>
      <c r="G77" s="36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58"/>
      <c r="CQ77" s="58"/>
      <c r="CR77" s="36"/>
    </row>
    <row r="78" spans="1:96" x14ac:dyDescent="0.35">
      <c r="A78" s="36"/>
      <c r="B78" s="36"/>
      <c r="C78" s="36"/>
      <c r="D78" s="36"/>
      <c r="E78" s="92" t="s">
        <v>507</v>
      </c>
      <c r="F78" s="36"/>
      <c r="G78" s="92" t="s">
        <v>73</v>
      </c>
      <c r="H78" s="107">
        <f>IF(SUM(H75:H76)= 1, 0, 1)</f>
        <v>0</v>
      </c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  <c r="AK78" s="107"/>
      <c r="AL78" s="107"/>
      <c r="AM78" s="107"/>
      <c r="AN78" s="107"/>
      <c r="AO78" s="107"/>
      <c r="AP78" s="107"/>
      <c r="AQ78" s="107"/>
      <c r="AR78" s="107"/>
      <c r="AS78" s="107"/>
      <c r="AT78" s="107"/>
      <c r="AU78" s="107"/>
      <c r="AV78" s="107"/>
      <c r="AW78" s="107"/>
      <c r="AX78" s="107"/>
      <c r="AY78" s="107"/>
      <c r="AZ78" s="107"/>
      <c r="BA78" s="107"/>
      <c r="BB78" s="107"/>
      <c r="BC78" s="107"/>
      <c r="BD78" s="107"/>
      <c r="BE78" s="107"/>
      <c r="BF78" s="107"/>
      <c r="BG78" s="107"/>
      <c r="BH78" s="107"/>
      <c r="BI78" s="107"/>
      <c r="BJ78" s="107"/>
      <c r="BK78" s="107"/>
      <c r="BL78" s="107"/>
      <c r="BM78" s="107"/>
      <c r="BN78" s="107"/>
      <c r="BO78" s="107"/>
      <c r="BP78" s="107"/>
      <c r="BQ78" s="107"/>
      <c r="BR78" s="107"/>
      <c r="BS78" s="107"/>
      <c r="BT78" s="107"/>
      <c r="BU78" s="107"/>
      <c r="BV78" s="107"/>
      <c r="BW78" s="107"/>
      <c r="BX78" s="107"/>
      <c r="BY78" s="107"/>
      <c r="BZ78" s="107"/>
      <c r="CA78" s="107"/>
      <c r="CB78" s="107"/>
      <c r="CC78" s="107"/>
      <c r="CD78" s="107"/>
      <c r="CE78" s="107"/>
      <c r="CF78" s="107"/>
      <c r="CG78" s="107"/>
      <c r="CH78" s="107"/>
      <c r="CI78" s="107"/>
      <c r="CJ78" s="107"/>
      <c r="CK78" s="107"/>
      <c r="CL78" s="107"/>
      <c r="CM78" s="107"/>
      <c r="CN78" s="107"/>
      <c r="CO78" s="107"/>
      <c r="CP78" s="107"/>
      <c r="CQ78" s="58"/>
      <c r="CR78" s="36"/>
    </row>
    <row r="79" spans="1:96" x14ac:dyDescent="0.35">
      <c r="A79" s="36"/>
      <c r="B79" s="36"/>
      <c r="C79" s="36"/>
      <c r="D79" s="36"/>
      <c r="E79" s="86"/>
      <c r="F79" s="36"/>
      <c r="G79" s="36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58"/>
      <c r="CC79" s="58"/>
      <c r="CD79" s="58"/>
      <c r="CE79" s="58"/>
      <c r="CF79" s="58"/>
      <c r="CG79" s="58"/>
      <c r="CH79" s="58"/>
      <c r="CI79" s="58"/>
      <c r="CJ79" s="58"/>
      <c r="CK79" s="58"/>
      <c r="CL79" s="58"/>
      <c r="CM79" s="58"/>
      <c r="CN79" s="58"/>
      <c r="CO79" s="58"/>
      <c r="CP79" s="58"/>
      <c r="CQ79" s="58"/>
      <c r="CR79" s="36"/>
    </row>
    <row r="80" spans="1:96" x14ac:dyDescent="0.35">
      <c r="A80" s="36"/>
      <c r="B80" s="36"/>
      <c r="C80" s="87" t="s">
        <v>512</v>
      </c>
      <c r="D80" s="87"/>
      <c r="E80" s="87"/>
      <c r="F80" s="87"/>
      <c r="G80" s="87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8"/>
      <c r="BM80" s="88"/>
      <c r="BN80" s="88"/>
      <c r="BO80" s="88"/>
      <c r="BP80" s="88"/>
      <c r="BQ80" s="88"/>
      <c r="BR80" s="88"/>
      <c r="BS80" s="88"/>
      <c r="BT80" s="88"/>
      <c r="BU80" s="88"/>
      <c r="BV80" s="88"/>
      <c r="BW80" s="88"/>
      <c r="BX80" s="88"/>
      <c r="BY80" s="88"/>
      <c r="BZ80" s="88"/>
      <c r="CA80" s="88"/>
      <c r="CB80" s="88"/>
      <c r="CC80" s="88"/>
      <c r="CD80" s="88"/>
      <c r="CE80" s="88"/>
      <c r="CF80" s="88"/>
      <c r="CG80" s="88"/>
      <c r="CH80" s="88"/>
      <c r="CI80" s="88"/>
      <c r="CJ80" s="88"/>
      <c r="CK80" s="88"/>
      <c r="CL80" s="88"/>
      <c r="CM80" s="88"/>
      <c r="CN80" s="88"/>
      <c r="CO80" s="88"/>
      <c r="CP80" s="88"/>
      <c r="CQ80" s="88"/>
      <c r="CR80" s="87"/>
    </row>
    <row r="81" spans="1:96" x14ac:dyDescent="0.35">
      <c r="A81" s="36"/>
      <c r="B81" s="36"/>
      <c r="C81" s="86"/>
      <c r="D81" s="86"/>
      <c r="E81" s="36"/>
      <c r="F81" s="36"/>
      <c r="G81" s="36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8"/>
      <c r="CD81" s="58"/>
      <c r="CE81" s="58"/>
      <c r="CF81" s="58"/>
      <c r="CG81" s="58"/>
      <c r="CH81" s="58"/>
      <c r="CI81" s="58"/>
      <c r="CJ81" s="58"/>
      <c r="CK81" s="58"/>
      <c r="CL81" s="58"/>
      <c r="CM81" s="58"/>
      <c r="CN81" s="58"/>
      <c r="CO81" s="58"/>
      <c r="CP81" s="58"/>
      <c r="CQ81" s="58"/>
      <c r="CR81" s="36"/>
    </row>
    <row r="82" spans="1:96" x14ac:dyDescent="0.35">
      <c r="A82" s="92"/>
      <c r="B82" s="36"/>
      <c r="C82" s="36"/>
      <c r="D82" s="36"/>
      <c r="E82" s="89" t="s">
        <v>513</v>
      </c>
      <c r="F82" s="36"/>
      <c r="G82" s="36"/>
      <c r="H82" s="58"/>
      <c r="I82" s="103" t="s">
        <v>120</v>
      </c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58"/>
      <c r="BC82" s="58"/>
      <c r="BD82" s="58"/>
      <c r="BE82" s="58"/>
      <c r="BF82" s="58"/>
      <c r="BG82" s="58"/>
      <c r="BH82" s="58"/>
      <c r="BI82" s="58"/>
      <c r="BJ82" s="58"/>
      <c r="BK82" s="58"/>
      <c r="BL82" s="58"/>
      <c r="BM82" s="58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8"/>
      <c r="CA82" s="58"/>
      <c r="CB82" s="58"/>
      <c r="CC82" s="58"/>
      <c r="CD82" s="58"/>
      <c r="CE82" s="58"/>
      <c r="CF82" s="58"/>
      <c r="CG82" s="58"/>
      <c r="CH82" s="58"/>
      <c r="CI82" s="58"/>
      <c r="CJ82" s="58"/>
      <c r="CK82" s="58"/>
      <c r="CL82" s="58"/>
      <c r="CM82" s="58"/>
      <c r="CN82" s="58"/>
      <c r="CO82" s="58"/>
      <c r="CP82" s="58"/>
      <c r="CQ82" s="58"/>
      <c r="CR82" s="92" t="s">
        <v>514</v>
      </c>
    </row>
    <row r="83" spans="1:96" x14ac:dyDescent="0.35">
      <c r="A83" s="36"/>
      <c r="B83" s="36"/>
      <c r="C83" s="36"/>
      <c r="D83" s="36"/>
      <c r="E83" s="36"/>
      <c r="F83" s="90" t="s">
        <v>295</v>
      </c>
      <c r="G83" s="90" t="str">
        <f>G$24</f>
        <v>£m</v>
      </c>
      <c r="H83" s="114">
        <f>SUMPRODUCT(J44:CP44, J$24:CP$24)</f>
        <v>941.21066615447148</v>
      </c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1"/>
      <c r="AD83" s="101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1"/>
      <c r="AP83" s="101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1"/>
      <c r="BB83" s="101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1"/>
      <c r="BN83" s="101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1"/>
      <c r="BZ83" s="101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1"/>
      <c r="CM83" s="101"/>
      <c r="CN83" s="101"/>
      <c r="CO83" s="101"/>
      <c r="CP83" s="101"/>
      <c r="CQ83" s="58"/>
      <c r="CR83" s="36"/>
    </row>
    <row r="84" spans="1:96" x14ac:dyDescent="0.35">
      <c r="A84" s="36"/>
      <c r="B84" s="36"/>
      <c r="C84" s="36"/>
      <c r="D84" s="36"/>
      <c r="E84" s="36"/>
      <c r="F84" s="92" t="s">
        <v>293</v>
      </c>
      <c r="G84" s="92" t="str">
        <f>G$24</f>
        <v>£m</v>
      </c>
      <c r="H84" s="101">
        <f>SUMPRODUCT(J45:CP45, J$24:CP$24)</f>
        <v>1198.1766950153594</v>
      </c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1"/>
      <c r="AP84" s="101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1"/>
      <c r="BB84" s="101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1"/>
      <c r="BN84" s="101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1"/>
      <c r="BZ84" s="101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1"/>
      <c r="CM84" s="101"/>
      <c r="CN84" s="101"/>
      <c r="CO84" s="101"/>
      <c r="CP84" s="101"/>
      <c r="CQ84" s="58"/>
      <c r="CR84" s="36"/>
    </row>
    <row r="85" spans="1:96" x14ac:dyDescent="0.35">
      <c r="A85" s="36"/>
      <c r="B85" s="36"/>
      <c r="C85" s="36"/>
      <c r="D85" s="36"/>
      <c r="E85" s="36"/>
      <c r="F85" s="92" t="s">
        <v>294</v>
      </c>
      <c r="G85" s="92" t="str">
        <f>G$24</f>
        <v>£m</v>
      </c>
      <c r="H85" s="101">
        <f>SUMPRODUCT(J46:CP46, J$24:CP$24)</f>
        <v>507.62369563325933</v>
      </c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1"/>
      <c r="AD85" s="101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1"/>
      <c r="AP85" s="101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1"/>
      <c r="BB85" s="101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1"/>
      <c r="BN85" s="101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1"/>
      <c r="BZ85" s="101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1"/>
      <c r="CM85" s="101"/>
      <c r="CN85" s="101"/>
      <c r="CO85" s="101"/>
      <c r="CP85" s="101"/>
      <c r="CQ85" s="58"/>
      <c r="CR85" s="36"/>
    </row>
    <row r="86" spans="1:96" x14ac:dyDescent="0.35">
      <c r="A86" s="36"/>
      <c r="B86" s="36"/>
      <c r="C86" s="36"/>
      <c r="D86" s="36"/>
      <c r="E86" s="36"/>
      <c r="F86" s="94" t="s">
        <v>296</v>
      </c>
      <c r="G86" s="94" t="str">
        <f>G$24</f>
        <v>£m</v>
      </c>
      <c r="H86" s="115">
        <f>SUMPRODUCT(J47:CP47, J$24:CP$24)</f>
        <v>1841.7618612102551</v>
      </c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1"/>
      <c r="AD86" s="101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1"/>
      <c r="AP86" s="101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1"/>
      <c r="BB86" s="101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1"/>
      <c r="BN86" s="101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1"/>
      <c r="BZ86" s="101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1"/>
      <c r="CM86" s="101"/>
      <c r="CN86" s="101"/>
      <c r="CO86" s="101"/>
      <c r="CP86" s="101"/>
      <c r="CQ86" s="58"/>
      <c r="CR86" s="36"/>
    </row>
    <row r="87" spans="1:96" x14ac:dyDescent="0.35">
      <c r="A87" s="36"/>
      <c r="B87" s="36"/>
      <c r="C87" s="36"/>
      <c r="D87" s="36"/>
      <c r="E87" s="36"/>
      <c r="F87" s="36"/>
      <c r="G87" s="36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58"/>
      <c r="AS87" s="58"/>
      <c r="AT87" s="58"/>
      <c r="AU87" s="58"/>
      <c r="AV87" s="58"/>
      <c r="AW87" s="58"/>
      <c r="AX87" s="58"/>
      <c r="AY87" s="58"/>
      <c r="AZ87" s="58"/>
      <c r="BA87" s="58"/>
      <c r="BB87" s="58"/>
      <c r="BC87" s="58"/>
      <c r="BD87" s="58"/>
      <c r="BE87" s="58"/>
      <c r="BF87" s="58"/>
      <c r="BG87" s="58"/>
      <c r="BH87" s="58"/>
      <c r="BI87" s="58"/>
      <c r="BJ87" s="58"/>
      <c r="BK87" s="58"/>
      <c r="BL87" s="58"/>
      <c r="BM87" s="58"/>
      <c r="BN87" s="58"/>
      <c r="BO87" s="58"/>
      <c r="BP87" s="58"/>
      <c r="BQ87" s="58"/>
      <c r="BR87" s="58"/>
      <c r="BS87" s="58"/>
      <c r="BT87" s="58"/>
      <c r="BU87" s="58"/>
      <c r="BV87" s="58"/>
      <c r="BW87" s="58"/>
      <c r="BX87" s="58"/>
      <c r="BY87" s="58"/>
      <c r="BZ87" s="58"/>
      <c r="CA87" s="58"/>
      <c r="CB87" s="58"/>
      <c r="CC87" s="58"/>
      <c r="CD87" s="58"/>
      <c r="CE87" s="58"/>
      <c r="CF87" s="58"/>
      <c r="CG87" s="58"/>
      <c r="CH87" s="58"/>
      <c r="CI87" s="58"/>
      <c r="CJ87" s="58"/>
      <c r="CK87" s="58"/>
      <c r="CL87" s="58"/>
      <c r="CM87" s="58"/>
      <c r="CN87" s="58"/>
      <c r="CO87" s="58"/>
      <c r="CP87" s="58"/>
      <c r="CQ87" s="58"/>
      <c r="CR87" s="36"/>
    </row>
    <row r="88" spans="1:96" x14ac:dyDescent="0.35">
      <c r="A88" s="92"/>
      <c r="B88" s="36"/>
      <c r="C88" s="36"/>
      <c r="D88" s="36"/>
      <c r="E88" s="92" t="s">
        <v>515</v>
      </c>
      <c r="F88" s="36"/>
      <c r="G88" s="92" t="str">
        <f>G$24</f>
        <v>£m</v>
      </c>
      <c r="H88" s="101">
        <f>SUM(H83:H86)</f>
        <v>4488.7729180133456</v>
      </c>
      <c r="I88" s="112" t="s">
        <v>120</v>
      </c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1"/>
      <c r="BB88" s="101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1"/>
      <c r="BN88" s="101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1"/>
      <c r="BZ88" s="101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1"/>
      <c r="CM88" s="101"/>
      <c r="CN88" s="101"/>
      <c r="CO88" s="101"/>
      <c r="CP88" s="101"/>
      <c r="CQ88" s="58"/>
      <c r="CR88" s="92" t="s">
        <v>514</v>
      </c>
    </row>
    <row r="89" spans="1:96" x14ac:dyDescent="0.35">
      <c r="A89" s="36"/>
      <c r="B89" s="36"/>
      <c r="C89" s="36"/>
      <c r="D89" s="36"/>
      <c r="E89" s="92" t="s">
        <v>516</v>
      </c>
      <c r="F89" s="36"/>
      <c r="G89" s="92" t="s">
        <v>502</v>
      </c>
      <c r="H89" s="101" t="b">
        <f>H88 &gt; 0</f>
        <v>1</v>
      </c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1"/>
      <c r="AP89" s="101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1"/>
      <c r="BB89" s="101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1"/>
      <c r="BN89" s="101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1"/>
      <c r="BZ89" s="101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1"/>
      <c r="CM89" s="101"/>
      <c r="CN89" s="101"/>
      <c r="CO89" s="101"/>
      <c r="CP89" s="101"/>
      <c r="CQ89" s="58"/>
      <c r="CR89" s="36"/>
    </row>
    <row r="90" spans="1:96" x14ac:dyDescent="0.35">
      <c r="A90" s="36"/>
      <c r="B90" s="36"/>
      <c r="C90" s="36"/>
      <c r="D90" s="36"/>
      <c r="E90" s="86"/>
      <c r="F90" s="36"/>
      <c r="G90" s="36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/>
      <c r="AQ90" s="58"/>
      <c r="AR90" s="58"/>
      <c r="AS90" s="58"/>
      <c r="AT90" s="58"/>
      <c r="AU90" s="58"/>
      <c r="AV90" s="58"/>
      <c r="AW90" s="58"/>
      <c r="AX90" s="58"/>
      <c r="AY90" s="58"/>
      <c r="AZ90" s="58"/>
      <c r="BA90" s="58"/>
      <c r="BB90" s="58"/>
      <c r="BC90" s="58"/>
      <c r="BD90" s="58"/>
      <c r="BE90" s="58"/>
      <c r="BF90" s="58"/>
      <c r="BG90" s="58"/>
      <c r="BH90" s="58"/>
      <c r="BI90" s="58"/>
      <c r="BJ90" s="58"/>
      <c r="BK90" s="58"/>
      <c r="BL90" s="58"/>
      <c r="BM90" s="58"/>
      <c r="BN90" s="58"/>
      <c r="BO90" s="58"/>
      <c r="BP90" s="58"/>
      <c r="BQ90" s="58"/>
      <c r="BR90" s="58"/>
      <c r="BS90" s="58"/>
      <c r="BT90" s="58"/>
      <c r="BU90" s="58"/>
      <c r="BV90" s="58"/>
      <c r="BW90" s="58"/>
      <c r="BX90" s="58"/>
      <c r="BY90" s="58"/>
      <c r="BZ90" s="58"/>
      <c r="CA90" s="58"/>
      <c r="CB90" s="58"/>
      <c r="CC90" s="58"/>
      <c r="CD90" s="58"/>
      <c r="CE90" s="58"/>
      <c r="CF90" s="58"/>
      <c r="CG90" s="58"/>
      <c r="CH90" s="58"/>
      <c r="CI90" s="58"/>
      <c r="CJ90" s="58"/>
      <c r="CK90" s="58"/>
      <c r="CL90" s="58"/>
      <c r="CM90" s="58"/>
      <c r="CN90" s="58"/>
      <c r="CO90" s="58"/>
      <c r="CP90" s="58"/>
      <c r="CQ90" s="58"/>
      <c r="CR90" s="36"/>
    </row>
    <row r="91" spans="1:96" x14ac:dyDescent="0.35">
      <c r="A91" s="92"/>
      <c r="B91" s="36"/>
      <c r="C91" s="36"/>
      <c r="D91" s="36"/>
      <c r="E91" s="89" t="s">
        <v>513</v>
      </c>
      <c r="F91" s="36"/>
      <c r="G91" s="36"/>
      <c r="H91" s="58"/>
      <c r="I91" s="103" t="s">
        <v>120</v>
      </c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  <c r="BG91" s="58"/>
      <c r="BH91" s="58"/>
      <c r="BI91" s="58"/>
      <c r="BJ91" s="58"/>
      <c r="BK91" s="58"/>
      <c r="BL91" s="58"/>
      <c r="BM91" s="58"/>
      <c r="BN91" s="58"/>
      <c r="BO91" s="58"/>
      <c r="BP91" s="58"/>
      <c r="BQ91" s="58"/>
      <c r="BR91" s="58"/>
      <c r="BS91" s="58"/>
      <c r="BT91" s="58"/>
      <c r="BU91" s="58"/>
      <c r="BV91" s="58"/>
      <c r="BW91" s="58"/>
      <c r="BX91" s="58"/>
      <c r="BY91" s="58"/>
      <c r="BZ91" s="58"/>
      <c r="CA91" s="58"/>
      <c r="CB91" s="58"/>
      <c r="CC91" s="58"/>
      <c r="CD91" s="58"/>
      <c r="CE91" s="58"/>
      <c r="CF91" s="58"/>
      <c r="CG91" s="58"/>
      <c r="CH91" s="58"/>
      <c r="CI91" s="58"/>
      <c r="CJ91" s="58"/>
      <c r="CK91" s="58"/>
      <c r="CL91" s="58"/>
      <c r="CM91" s="58"/>
      <c r="CN91" s="58"/>
      <c r="CO91" s="58"/>
      <c r="CP91" s="58"/>
      <c r="CQ91" s="58"/>
      <c r="CR91" s="92" t="s">
        <v>514</v>
      </c>
    </row>
    <row r="92" spans="1:96" x14ac:dyDescent="0.35">
      <c r="A92" s="36"/>
      <c r="B92" s="36"/>
      <c r="C92" s="36"/>
      <c r="D92" s="36"/>
      <c r="E92" s="36"/>
      <c r="F92" s="90" t="s">
        <v>295</v>
      </c>
      <c r="G92" s="90" t="s">
        <v>119</v>
      </c>
      <c r="H92" s="120">
        <f>IF(H$89, H83 / H$88, 0)</f>
        <v>0.20968106058059077</v>
      </c>
      <c r="I92" s="102" t="s">
        <v>120</v>
      </c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06"/>
      <c r="AO92" s="106"/>
      <c r="AP92" s="106"/>
      <c r="AQ92" s="106"/>
      <c r="AR92" s="106"/>
      <c r="AS92" s="106"/>
      <c r="AT92" s="106"/>
      <c r="AU92" s="106"/>
      <c r="AV92" s="106"/>
      <c r="AW92" s="106"/>
      <c r="AX92" s="106"/>
      <c r="AY92" s="106"/>
      <c r="AZ92" s="106"/>
      <c r="BA92" s="106"/>
      <c r="BB92" s="106"/>
      <c r="BC92" s="106"/>
      <c r="BD92" s="106"/>
      <c r="BE92" s="106"/>
      <c r="BF92" s="106"/>
      <c r="BG92" s="106"/>
      <c r="BH92" s="106"/>
      <c r="BI92" s="106"/>
      <c r="BJ92" s="106"/>
      <c r="BK92" s="106"/>
      <c r="BL92" s="106"/>
      <c r="BM92" s="106"/>
      <c r="BN92" s="106"/>
      <c r="BO92" s="106"/>
      <c r="BP92" s="106"/>
      <c r="BQ92" s="106"/>
      <c r="BR92" s="106"/>
      <c r="BS92" s="106"/>
      <c r="BT92" s="106"/>
      <c r="BU92" s="106"/>
      <c r="BV92" s="106"/>
      <c r="BW92" s="106"/>
      <c r="BX92" s="106"/>
      <c r="BY92" s="106"/>
      <c r="BZ92" s="106"/>
      <c r="CA92" s="106"/>
      <c r="CB92" s="106"/>
      <c r="CC92" s="106"/>
      <c r="CD92" s="106"/>
      <c r="CE92" s="106"/>
      <c r="CF92" s="106"/>
      <c r="CG92" s="106"/>
      <c r="CH92" s="106"/>
      <c r="CI92" s="106"/>
      <c r="CJ92" s="106"/>
      <c r="CK92" s="106"/>
      <c r="CL92" s="106"/>
      <c r="CM92" s="106"/>
      <c r="CN92" s="106"/>
      <c r="CO92" s="106"/>
      <c r="CP92" s="106"/>
      <c r="CQ92" s="58"/>
      <c r="CR92" s="92" t="s">
        <v>517</v>
      </c>
    </row>
    <row r="93" spans="1:96" x14ac:dyDescent="0.35">
      <c r="A93" s="36"/>
      <c r="B93" s="36"/>
      <c r="C93" s="36"/>
      <c r="D93" s="36"/>
      <c r="E93" s="36"/>
      <c r="F93" s="92" t="s">
        <v>293</v>
      </c>
      <c r="G93" s="92" t="s">
        <v>119</v>
      </c>
      <c r="H93" s="121">
        <f>IF(H$89, H84 / H$88, 0)</f>
        <v>0.26692744696598553</v>
      </c>
      <c r="I93" s="102" t="s">
        <v>120</v>
      </c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106"/>
      <c r="AR93" s="106"/>
      <c r="AS93" s="106"/>
      <c r="AT93" s="106"/>
      <c r="AU93" s="106"/>
      <c r="AV93" s="106"/>
      <c r="AW93" s="106"/>
      <c r="AX93" s="106"/>
      <c r="AY93" s="106"/>
      <c r="AZ93" s="106"/>
      <c r="BA93" s="106"/>
      <c r="BB93" s="106"/>
      <c r="BC93" s="106"/>
      <c r="BD93" s="106"/>
      <c r="BE93" s="106"/>
      <c r="BF93" s="106"/>
      <c r="BG93" s="106"/>
      <c r="BH93" s="106"/>
      <c r="BI93" s="106"/>
      <c r="BJ93" s="106"/>
      <c r="BK93" s="106"/>
      <c r="BL93" s="106"/>
      <c r="BM93" s="106"/>
      <c r="BN93" s="106"/>
      <c r="BO93" s="106"/>
      <c r="BP93" s="106"/>
      <c r="BQ93" s="106"/>
      <c r="BR93" s="106"/>
      <c r="BS93" s="106"/>
      <c r="BT93" s="106"/>
      <c r="BU93" s="106"/>
      <c r="BV93" s="106"/>
      <c r="BW93" s="106"/>
      <c r="BX93" s="106"/>
      <c r="BY93" s="106"/>
      <c r="BZ93" s="106"/>
      <c r="CA93" s="106"/>
      <c r="CB93" s="106"/>
      <c r="CC93" s="106"/>
      <c r="CD93" s="106"/>
      <c r="CE93" s="106"/>
      <c r="CF93" s="106"/>
      <c r="CG93" s="106"/>
      <c r="CH93" s="106"/>
      <c r="CI93" s="106"/>
      <c r="CJ93" s="106"/>
      <c r="CK93" s="106"/>
      <c r="CL93" s="106"/>
      <c r="CM93" s="106"/>
      <c r="CN93" s="106"/>
      <c r="CO93" s="106"/>
      <c r="CP93" s="106"/>
      <c r="CQ93" s="58"/>
      <c r="CR93" s="92" t="s">
        <v>518</v>
      </c>
    </row>
    <row r="94" spans="1:96" x14ac:dyDescent="0.35">
      <c r="A94" s="36"/>
      <c r="B94" s="36"/>
      <c r="C94" s="36"/>
      <c r="D94" s="36"/>
      <c r="E94" s="36"/>
      <c r="F94" s="92" t="s">
        <v>294</v>
      </c>
      <c r="G94" s="92" t="s">
        <v>119</v>
      </c>
      <c r="H94" s="121">
        <f>IF(H$89, H85 / H$88, 0)</f>
        <v>0.11308740827502696</v>
      </c>
      <c r="I94" s="102" t="s">
        <v>120</v>
      </c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106"/>
      <c r="AN94" s="106"/>
      <c r="AO94" s="106"/>
      <c r="AP94" s="106"/>
      <c r="AQ94" s="106"/>
      <c r="AR94" s="106"/>
      <c r="AS94" s="106"/>
      <c r="AT94" s="106"/>
      <c r="AU94" s="106"/>
      <c r="AV94" s="106"/>
      <c r="AW94" s="106"/>
      <c r="AX94" s="106"/>
      <c r="AY94" s="106"/>
      <c r="AZ94" s="106"/>
      <c r="BA94" s="106"/>
      <c r="BB94" s="106"/>
      <c r="BC94" s="106"/>
      <c r="BD94" s="106"/>
      <c r="BE94" s="106"/>
      <c r="BF94" s="106"/>
      <c r="BG94" s="106"/>
      <c r="BH94" s="106"/>
      <c r="BI94" s="106"/>
      <c r="BJ94" s="106"/>
      <c r="BK94" s="106"/>
      <c r="BL94" s="106"/>
      <c r="BM94" s="106"/>
      <c r="BN94" s="106"/>
      <c r="BO94" s="106"/>
      <c r="BP94" s="106"/>
      <c r="BQ94" s="106"/>
      <c r="BR94" s="106"/>
      <c r="BS94" s="106"/>
      <c r="BT94" s="106"/>
      <c r="BU94" s="106"/>
      <c r="BV94" s="106"/>
      <c r="BW94" s="106"/>
      <c r="BX94" s="106"/>
      <c r="BY94" s="106"/>
      <c r="BZ94" s="106"/>
      <c r="CA94" s="106"/>
      <c r="CB94" s="106"/>
      <c r="CC94" s="106"/>
      <c r="CD94" s="106"/>
      <c r="CE94" s="106"/>
      <c r="CF94" s="106"/>
      <c r="CG94" s="106"/>
      <c r="CH94" s="106"/>
      <c r="CI94" s="106"/>
      <c r="CJ94" s="106"/>
      <c r="CK94" s="106"/>
      <c r="CL94" s="106"/>
      <c r="CM94" s="106"/>
      <c r="CN94" s="106"/>
      <c r="CO94" s="106"/>
      <c r="CP94" s="106"/>
      <c r="CQ94" s="58"/>
      <c r="CR94" s="92" t="s">
        <v>519</v>
      </c>
    </row>
    <row r="95" spans="1:96" x14ac:dyDescent="0.35">
      <c r="A95" s="36"/>
      <c r="B95" s="36"/>
      <c r="C95" s="36"/>
      <c r="D95" s="36"/>
      <c r="E95" s="36"/>
      <c r="F95" s="94" t="s">
        <v>296</v>
      </c>
      <c r="G95" s="94" t="s">
        <v>119</v>
      </c>
      <c r="H95" s="122">
        <f>IF(H$89, H86 / H$88, 0)</f>
        <v>0.4103040841783967</v>
      </c>
      <c r="I95" s="102" t="s">
        <v>120</v>
      </c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N95" s="106"/>
      <c r="AO95" s="106"/>
      <c r="AP95" s="106"/>
      <c r="AQ95" s="106"/>
      <c r="AR95" s="106"/>
      <c r="AS95" s="106"/>
      <c r="AT95" s="106"/>
      <c r="AU95" s="106"/>
      <c r="AV95" s="106"/>
      <c r="AW95" s="106"/>
      <c r="AX95" s="106"/>
      <c r="AY95" s="106"/>
      <c r="AZ95" s="106"/>
      <c r="BA95" s="106"/>
      <c r="BB95" s="106"/>
      <c r="BC95" s="106"/>
      <c r="BD95" s="106"/>
      <c r="BE95" s="106"/>
      <c r="BF95" s="106"/>
      <c r="BG95" s="106"/>
      <c r="BH95" s="106"/>
      <c r="BI95" s="106"/>
      <c r="BJ95" s="106"/>
      <c r="BK95" s="106"/>
      <c r="BL95" s="106"/>
      <c r="BM95" s="106"/>
      <c r="BN95" s="106"/>
      <c r="BO95" s="106"/>
      <c r="BP95" s="106"/>
      <c r="BQ95" s="106"/>
      <c r="BR95" s="106"/>
      <c r="BS95" s="106"/>
      <c r="BT95" s="106"/>
      <c r="BU95" s="106"/>
      <c r="BV95" s="106"/>
      <c r="BW95" s="106"/>
      <c r="BX95" s="106"/>
      <c r="BY95" s="106"/>
      <c r="BZ95" s="106"/>
      <c r="CA95" s="106"/>
      <c r="CB95" s="106"/>
      <c r="CC95" s="106"/>
      <c r="CD95" s="106"/>
      <c r="CE95" s="106"/>
      <c r="CF95" s="106"/>
      <c r="CG95" s="106"/>
      <c r="CH95" s="106"/>
      <c r="CI95" s="106"/>
      <c r="CJ95" s="106"/>
      <c r="CK95" s="106"/>
      <c r="CL95" s="106"/>
      <c r="CM95" s="106"/>
      <c r="CN95" s="106"/>
      <c r="CO95" s="106"/>
      <c r="CP95" s="106"/>
      <c r="CQ95" s="58"/>
      <c r="CR95" s="92" t="s">
        <v>520</v>
      </c>
    </row>
    <row r="96" spans="1:96" x14ac:dyDescent="0.35">
      <c r="A96" s="36"/>
      <c r="B96" s="36"/>
      <c r="C96" s="36"/>
      <c r="D96" s="36"/>
      <c r="E96" s="36"/>
      <c r="F96" s="36"/>
      <c r="G96" s="36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58"/>
      <c r="AS96" s="58"/>
      <c r="AT96" s="58"/>
      <c r="AU96" s="58"/>
      <c r="AV96" s="58"/>
      <c r="AW96" s="58"/>
      <c r="AX96" s="58"/>
      <c r="AY96" s="58"/>
      <c r="AZ96" s="58"/>
      <c r="BA96" s="58"/>
      <c r="BB96" s="58"/>
      <c r="BC96" s="58"/>
      <c r="BD96" s="58"/>
      <c r="BE96" s="58"/>
      <c r="BF96" s="58"/>
      <c r="BG96" s="58"/>
      <c r="BH96" s="58"/>
      <c r="BI96" s="58"/>
      <c r="BJ96" s="58"/>
      <c r="BK96" s="58"/>
      <c r="BL96" s="58"/>
      <c r="BM96" s="58"/>
      <c r="BN96" s="58"/>
      <c r="BO96" s="58"/>
      <c r="BP96" s="58"/>
      <c r="BQ96" s="58"/>
      <c r="BR96" s="58"/>
      <c r="BS96" s="58"/>
      <c r="BT96" s="58"/>
      <c r="BU96" s="58"/>
      <c r="BV96" s="58"/>
      <c r="BW96" s="58"/>
      <c r="BX96" s="58"/>
      <c r="BY96" s="58"/>
      <c r="BZ96" s="58"/>
      <c r="CA96" s="58"/>
      <c r="CB96" s="58"/>
      <c r="CC96" s="58"/>
      <c r="CD96" s="58"/>
      <c r="CE96" s="58"/>
      <c r="CF96" s="58"/>
      <c r="CG96" s="58"/>
      <c r="CH96" s="58"/>
      <c r="CI96" s="58"/>
      <c r="CJ96" s="58"/>
      <c r="CK96" s="58"/>
      <c r="CL96" s="58"/>
      <c r="CM96" s="58"/>
      <c r="CN96" s="58"/>
      <c r="CO96" s="58"/>
      <c r="CP96" s="58"/>
      <c r="CQ96" s="58"/>
      <c r="CR96" s="36"/>
    </row>
    <row r="97" spans="1:96" x14ac:dyDescent="0.35">
      <c r="A97" s="36"/>
      <c r="B97" s="36"/>
      <c r="C97" s="36"/>
      <c r="D97" s="36"/>
      <c r="E97" s="92" t="s">
        <v>507</v>
      </c>
      <c r="F97" s="36"/>
      <c r="G97" s="92" t="s">
        <v>73</v>
      </c>
      <c r="H97" s="107">
        <f>IF(SUM(H92:H95) = 1, 0, 1)</f>
        <v>0</v>
      </c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  <c r="AW97" s="107"/>
      <c r="AX97" s="107"/>
      <c r="AY97" s="107"/>
      <c r="AZ97" s="107"/>
      <c r="BA97" s="107"/>
      <c r="BB97" s="107"/>
      <c r="BC97" s="107"/>
      <c r="BD97" s="107"/>
      <c r="BE97" s="107"/>
      <c r="BF97" s="107"/>
      <c r="BG97" s="107"/>
      <c r="BH97" s="107"/>
      <c r="BI97" s="107"/>
      <c r="BJ97" s="107"/>
      <c r="BK97" s="107"/>
      <c r="BL97" s="107"/>
      <c r="BM97" s="107"/>
      <c r="BN97" s="107"/>
      <c r="BO97" s="107"/>
      <c r="BP97" s="107"/>
      <c r="BQ97" s="107"/>
      <c r="BR97" s="107"/>
      <c r="BS97" s="107"/>
      <c r="BT97" s="107"/>
      <c r="BU97" s="107"/>
      <c r="BV97" s="107"/>
      <c r="BW97" s="107"/>
      <c r="BX97" s="107"/>
      <c r="BY97" s="107"/>
      <c r="BZ97" s="107"/>
      <c r="CA97" s="107"/>
      <c r="CB97" s="107"/>
      <c r="CC97" s="107"/>
      <c r="CD97" s="107"/>
      <c r="CE97" s="107"/>
      <c r="CF97" s="107"/>
      <c r="CG97" s="107"/>
      <c r="CH97" s="107"/>
      <c r="CI97" s="107"/>
      <c r="CJ97" s="107"/>
      <c r="CK97" s="107"/>
      <c r="CL97" s="107"/>
      <c r="CM97" s="107"/>
      <c r="CN97" s="107"/>
      <c r="CO97" s="107"/>
      <c r="CP97" s="107"/>
      <c r="CQ97" s="58"/>
      <c r="CR97" s="36"/>
    </row>
    <row r="98" spans="1:96" x14ac:dyDescent="0.35">
      <c r="A98" s="36"/>
      <c r="B98" s="36"/>
      <c r="C98" s="36"/>
      <c r="D98" s="36"/>
      <c r="E98" s="86"/>
      <c r="F98" s="36"/>
      <c r="G98" s="36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58"/>
      <c r="AS98" s="58"/>
      <c r="AT98" s="58"/>
      <c r="AU98" s="58"/>
      <c r="AV98" s="58"/>
      <c r="AW98" s="58"/>
      <c r="AX98" s="58"/>
      <c r="AY98" s="58"/>
      <c r="AZ98" s="58"/>
      <c r="BA98" s="58"/>
      <c r="BB98" s="58"/>
      <c r="BC98" s="58"/>
      <c r="BD98" s="58"/>
      <c r="BE98" s="58"/>
      <c r="BF98" s="58"/>
      <c r="BG98" s="58"/>
      <c r="BH98" s="58"/>
      <c r="BI98" s="58"/>
      <c r="BJ98" s="58"/>
      <c r="BK98" s="58"/>
      <c r="BL98" s="58"/>
      <c r="BM98" s="58"/>
      <c r="BN98" s="58"/>
      <c r="BO98" s="58"/>
      <c r="BP98" s="58"/>
      <c r="BQ98" s="58"/>
      <c r="BR98" s="58"/>
      <c r="BS98" s="58"/>
      <c r="BT98" s="58"/>
      <c r="BU98" s="58"/>
      <c r="BV98" s="58"/>
      <c r="BW98" s="58"/>
      <c r="BX98" s="58"/>
      <c r="BY98" s="58"/>
      <c r="BZ98" s="58"/>
      <c r="CA98" s="58"/>
      <c r="CB98" s="58"/>
      <c r="CC98" s="58"/>
      <c r="CD98" s="58"/>
      <c r="CE98" s="58"/>
      <c r="CF98" s="58"/>
      <c r="CG98" s="58"/>
      <c r="CH98" s="58"/>
      <c r="CI98" s="58"/>
      <c r="CJ98" s="58"/>
      <c r="CK98" s="58"/>
      <c r="CL98" s="58"/>
      <c r="CM98" s="58"/>
      <c r="CN98" s="58"/>
      <c r="CO98" s="58"/>
      <c r="CP98" s="58"/>
      <c r="CQ98" s="58"/>
      <c r="CR98" s="36"/>
    </row>
    <row r="99" spans="1:96" x14ac:dyDescent="0.35">
      <c r="A99" s="36"/>
      <c r="B99" s="84" t="s">
        <v>521</v>
      </c>
      <c r="C99" s="84"/>
      <c r="D99" s="84"/>
      <c r="E99" s="84"/>
      <c r="F99" s="84"/>
      <c r="G99" s="84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4"/>
    </row>
    <row r="100" spans="1:96" x14ac:dyDescent="0.35">
      <c r="A100" s="36"/>
      <c r="B100" s="36"/>
      <c r="C100" s="36"/>
      <c r="D100" s="36"/>
      <c r="E100" s="36"/>
      <c r="F100" s="36"/>
      <c r="G100" s="36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/>
      <c r="AY100" s="58"/>
      <c r="AZ100" s="58"/>
      <c r="BA100" s="58"/>
      <c r="BB100" s="58"/>
      <c r="BC100" s="58"/>
      <c r="BD100" s="58"/>
      <c r="BE100" s="58"/>
      <c r="BF100" s="58"/>
      <c r="BG100" s="58"/>
      <c r="BH100" s="58"/>
      <c r="BI100" s="58"/>
      <c r="BJ100" s="58"/>
      <c r="BK100" s="58"/>
      <c r="BL100" s="58"/>
      <c r="BM100" s="58"/>
      <c r="BN100" s="58"/>
      <c r="BO100" s="58"/>
      <c r="BP100" s="58"/>
      <c r="BQ100" s="58"/>
      <c r="BR100" s="58"/>
      <c r="BS100" s="58"/>
      <c r="BT100" s="58"/>
      <c r="BU100" s="58"/>
      <c r="BV100" s="58"/>
      <c r="BW100" s="58"/>
      <c r="BX100" s="58"/>
      <c r="BY100" s="58"/>
      <c r="BZ100" s="58"/>
      <c r="CA100" s="58"/>
      <c r="CB100" s="58"/>
      <c r="CC100" s="58"/>
      <c r="CD100" s="58"/>
      <c r="CE100" s="58"/>
      <c r="CF100" s="58"/>
      <c r="CG100" s="58"/>
      <c r="CH100" s="58"/>
      <c r="CI100" s="58"/>
      <c r="CJ100" s="58"/>
      <c r="CK100" s="58"/>
      <c r="CL100" s="58"/>
      <c r="CM100" s="58"/>
      <c r="CN100" s="58"/>
      <c r="CO100" s="58"/>
      <c r="CP100" s="58"/>
      <c r="CQ100" s="58"/>
      <c r="CR100" s="36"/>
    </row>
    <row r="101" spans="1:96" x14ac:dyDescent="0.35">
      <c r="A101" s="36"/>
      <c r="B101" s="36"/>
      <c r="C101" s="86" t="s">
        <v>522</v>
      </c>
      <c r="D101" s="86"/>
      <c r="E101" s="36"/>
      <c r="F101" s="36"/>
      <c r="G101" s="36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58"/>
      <c r="AS101" s="58"/>
      <c r="AT101" s="58"/>
      <c r="AU101" s="58"/>
      <c r="AV101" s="58"/>
      <c r="AW101" s="58"/>
      <c r="AX101" s="58"/>
      <c r="AY101" s="58"/>
      <c r="AZ101" s="58"/>
      <c r="BA101" s="58"/>
      <c r="BB101" s="58"/>
      <c r="BC101" s="58"/>
      <c r="BD101" s="58"/>
      <c r="BE101" s="58"/>
      <c r="BF101" s="58"/>
      <c r="BG101" s="58"/>
      <c r="BH101" s="58"/>
      <c r="BI101" s="58"/>
      <c r="BJ101" s="58"/>
      <c r="BK101" s="58"/>
      <c r="BL101" s="58"/>
      <c r="BM101" s="58"/>
      <c r="BN101" s="58"/>
      <c r="BO101" s="58"/>
      <c r="BP101" s="58"/>
      <c r="BQ101" s="58"/>
      <c r="BR101" s="58"/>
      <c r="BS101" s="58"/>
      <c r="BT101" s="58"/>
      <c r="BU101" s="58"/>
      <c r="BV101" s="58"/>
      <c r="BW101" s="58"/>
      <c r="BX101" s="58"/>
      <c r="BY101" s="58"/>
      <c r="BZ101" s="58"/>
      <c r="CA101" s="58"/>
      <c r="CB101" s="58"/>
      <c r="CC101" s="58"/>
      <c r="CD101" s="58"/>
      <c r="CE101" s="58"/>
      <c r="CF101" s="58"/>
      <c r="CG101" s="58"/>
      <c r="CH101" s="58"/>
      <c r="CI101" s="58"/>
      <c r="CJ101" s="58"/>
      <c r="CK101" s="58"/>
      <c r="CL101" s="58"/>
      <c r="CM101" s="58"/>
      <c r="CN101" s="58"/>
      <c r="CO101" s="58"/>
      <c r="CP101" s="58"/>
      <c r="CQ101" s="58"/>
      <c r="CR101" s="36"/>
    </row>
    <row r="102" spans="1:96" x14ac:dyDescent="0.35">
      <c r="A102" s="36"/>
      <c r="B102" s="36"/>
      <c r="C102" s="86"/>
      <c r="D102" s="86"/>
      <c r="E102" s="36"/>
      <c r="F102" s="36"/>
      <c r="G102" s="36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  <c r="BC102" s="58"/>
      <c r="BD102" s="58"/>
      <c r="BE102" s="58"/>
      <c r="BF102" s="58"/>
      <c r="BG102" s="58"/>
      <c r="BH102" s="58"/>
      <c r="BI102" s="58"/>
      <c r="BJ102" s="58"/>
      <c r="BK102" s="58"/>
      <c r="BL102" s="58"/>
      <c r="BM102" s="58"/>
      <c r="BN102" s="58"/>
      <c r="BO102" s="58"/>
      <c r="BP102" s="58"/>
      <c r="BQ102" s="58"/>
      <c r="BR102" s="58"/>
      <c r="BS102" s="58"/>
      <c r="BT102" s="58"/>
      <c r="BU102" s="58"/>
      <c r="BV102" s="58"/>
      <c r="BW102" s="58"/>
      <c r="BX102" s="58"/>
      <c r="BY102" s="58"/>
      <c r="BZ102" s="58"/>
      <c r="CA102" s="58"/>
      <c r="CB102" s="58"/>
      <c r="CC102" s="58"/>
      <c r="CD102" s="58"/>
      <c r="CE102" s="58"/>
      <c r="CF102" s="58"/>
      <c r="CG102" s="58"/>
      <c r="CH102" s="58"/>
      <c r="CI102" s="58"/>
      <c r="CJ102" s="58"/>
      <c r="CK102" s="58"/>
      <c r="CL102" s="58"/>
      <c r="CM102" s="58"/>
      <c r="CN102" s="58"/>
      <c r="CO102" s="58"/>
      <c r="CP102" s="58"/>
      <c r="CQ102" s="58"/>
      <c r="CR102" s="36"/>
    </row>
    <row r="103" spans="1:96" x14ac:dyDescent="0.35">
      <c r="A103" s="36"/>
      <c r="B103" s="36"/>
      <c r="C103" s="87" t="s">
        <v>523</v>
      </c>
      <c r="D103" s="87"/>
      <c r="E103" s="87"/>
      <c r="F103" s="87"/>
      <c r="G103" s="87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88"/>
      <c r="BE103" s="88"/>
      <c r="BF103" s="88"/>
      <c r="BG103" s="88"/>
      <c r="BH103" s="88"/>
      <c r="BI103" s="88"/>
      <c r="BJ103" s="88"/>
      <c r="BK103" s="88"/>
      <c r="BL103" s="88"/>
      <c r="BM103" s="88"/>
      <c r="BN103" s="88"/>
      <c r="BO103" s="88"/>
      <c r="BP103" s="88"/>
      <c r="BQ103" s="88"/>
      <c r="BR103" s="88"/>
      <c r="BS103" s="88"/>
      <c r="BT103" s="88"/>
      <c r="BU103" s="88"/>
      <c r="BV103" s="88"/>
      <c r="BW103" s="88"/>
      <c r="BX103" s="88"/>
      <c r="BY103" s="88"/>
      <c r="BZ103" s="88"/>
      <c r="CA103" s="88"/>
      <c r="CB103" s="88"/>
      <c r="CC103" s="88"/>
      <c r="CD103" s="88"/>
      <c r="CE103" s="88"/>
      <c r="CF103" s="88"/>
      <c r="CG103" s="88"/>
      <c r="CH103" s="88"/>
      <c r="CI103" s="88"/>
      <c r="CJ103" s="88"/>
      <c r="CK103" s="88"/>
      <c r="CL103" s="88"/>
      <c r="CM103" s="88"/>
      <c r="CN103" s="88"/>
      <c r="CO103" s="88"/>
      <c r="CP103" s="88"/>
      <c r="CQ103" s="88"/>
      <c r="CR103" s="87"/>
    </row>
    <row r="104" spans="1:96" x14ac:dyDescent="0.35">
      <c r="A104" s="36"/>
      <c r="B104" s="36"/>
      <c r="C104" s="86"/>
      <c r="D104" s="86"/>
      <c r="E104" s="36"/>
      <c r="F104" s="36"/>
      <c r="G104" s="36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  <c r="AQ104" s="58"/>
      <c r="AR104" s="58"/>
      <c r="AS104" s="58"/>
      <c r="AT104" s="58"/>
      <c r="AU104" s="58"/>
      <c r="AV104" s="58"/>
      <c r="AW104" s="58"/>
      <c r="AX104" s="58"/>
      <c r="AY104" s="58"/>
      <c r="AZ104" s="58"/>
      <c r="BA104" s="58"/>
      <c r="BB104" s="58"/>
      <c r="BC104" s="58"/>
      <c r="BD104" s="58"/>
      <c r="BE104" s="58"/>
      <c r="BF104" s="58"/>
      <c r="BG104" s="58"/>
      <c r="BH104" s="58"/>
      <c r="BI104" s="58"/>
      <c r="BJ104" s="58"/>
      <c r="BK104" s="58"/>
      <c r="BL104" s="58"/>
      <c r="BM104" s="58"/>
      <c r="BN104" s="58"/>
      <c r="BO104" s="58"/>
      <c r="BP104" s="58"/>
      <c r="BQ104" s="58"/>
      <c r="BR104" s="58"/>
      <c r="BS104" s="58"/>
      <c r="BT104" s="58"/>
      <c r="BU104" s="58"/>
      <c r="BV104" s="58"/>
      <c r="BW104" s="58"/>
      <c r="BX104" s="58"/>
      <c r="BY104" s="58"/>
      <c r="BZ104" s="58"/>
      <c r="CA104" s="58"/>
      <c r="CB104" s="58"/>
      <c r="CC104" s="58"/>
      <c r="CD104" s="58"/>
      <c r="CE104" s="58"/>
      <c r="CF104" s="58"/>
      <c r="CG104" s="58"/>
      <c r="CH104" s="58"/>
      <c r="CI104" s="58"/>
      <c r="CJ104" s="58"/>
      <c r="CK104" s="58"/>
      <c r="CL104" s="58"/>
      <c r="CM104" s="58"/>
      <c r="CN104" s="58"/>
      <c r="CO104" s="58"/>
      <c r="CP104" s="58"/>
      <c r="CQ104" s="58"/>
      <c r="CR104" s="36"/>
    </row>
    <row r="105" spans="1:96" x14ac:dyDescent="0.35">
      <c r="A105" s="36"/>
      <c r="B105" s="36"/>
      <c r="C105" s="36"/>
      <c r="D105" s="86"/>
      <c r="E105" s="92" t="s">
        <v>524</v>
      </c>
      <c r="F105" s="36"/>
      <c r="G105" s="92" t="str">
        <f>G56</f>
        <v>£m</v>
      </c>
      <c r="H105" s="101">
        <f>H56</f>
        <v>4083.1106580115388</v>
      </c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1"/>
      <c r="AD105" s="10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1"/>
      <c r="BB105" s="101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1"/>
      <c r="BN105" s="101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1"/>
      <c r="BZ105" s="101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1"/>
      <c r="CM105" s="101"/>
      <c r="CN105" s="101"/>
      <c r="CO105" s="101"/>
      <c r="CP105" s="101"/>
      <c r="CQ105" s="58"/>
      <c r="CR105" s="36"/>
    </row>
    <row r="106" spans="1:96" x14ac:dyDescent="0.35">
      <c r="A106" s="36"/>
      <c r="B106" s="36"/>
      <c r="C106" s="36"/>
      <c r="D106" s="36"/>
      <c r="E106" s="86"/>
      <c r="F106" s="36"/>
      <c r="G106" s="36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  <c r="AN106" s="58"/>
      <c r="AO106" s="58"/>
      <c r="AP106" s="58"/>
      <c r="AQ106" s="58"/>
      <c r="AR106" s="58"/>
      <c r="AS106" s="58"/>
      <c r="AT106" s="58"/>
      <c r="AU106" s="58"/>
      <c r="AV106" s="58"/>
      <c r="AW106" s="58"/>
      <c r="AX106" s="58"/>
      <c r="AY106" s="58"/>
      <c r="AZ106" s="58"/>
      <c r="BA106" s="58"/>
      <c r="BB106" s="58"/>
      <c r="BC106" s="58"/>
      <c r="BD106" s="58"/>
      <c r="BE106" s="58"/>
      <c r="BF106" s="58"/>
      <c r="BG106" s="58"/>
      <c r="BH106" s="58"/>
      <c r="BI106" s="58"/>
      <c r="BJ106" s="58"/>
      <c r="BK106" s="58"/>
      <c r="BL106" s="58"/>
      <c r="BM106" s="58"/>
      <c r="BN106" s="58"/>
      <c r="BO106" s="58"/>
      <c r="BP106" s="58"/>
      <c r="BQ106" s="58"/>
      <c r="BR106" s="58"/>
      <c r="BS106" s="58"/>
      <c r="BT106" s="58"/>
      <c r="BU106" s="58"/>
      <c r="BV106" s="58"/>
      <c r="BW106" s="58"/>
      <c r="BX106" s="58"/>
      <c r="BY106" s="58"/>
      <c r="BZ106" s="58"/>
      <c r="CA106" s="58"/>
      <c r="CB106" s="58"/>
      <c r="CC106" s="58"/>
      <c r="CD106" s="58"/>
      <c r="CE106" s="58"/>
      <c r="CF106" s="58"/>
      <c r="CG106" s="58"/>
      <c r="CH106" s="58"/>
      <c r="CI106" s="58"/>
      <c r="CJ106" s="58"/>
      <c r="CK106" s="58"/>
      <c r="CL106" s="58"/>
      <c r="CM106" s="58"/>
      <c r="CN106" s="58"/>
      <c r="CO106" s="58"/>
      <c r="CP106" s="58"/>
      <c r="CQ106" s="58"/>
      <c r="CR106" s="36"/>
    </row>
    <row r="107" spans="1:96" x14ac:dyDescent="0.35">
      <c r="A107" s="36"/>
      <c r="B107" s="36"/>
      <c r="C107" s="36"/>
      <c r="D107" s="36"/>
      <c r="E107" s="89" t="str">
        <f>'DNO inputs'!E37</f>
        <v>CDCM notional EHV asset values</v>
      </c>
      <c r="F107" s="36"/>
      <c r="G107" s="36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  <c r="AM107" s="58"/>
      <c r="AN107" s="58"/>
      <c r="AO107" s="58"/>
      <c r="AP107" s="58"/>
      <c r="AQ107" s="58"/>
      <c r="AR107" s="58"/>
      <c r="AS107" s="58"/>
      <c r="AT107" s="58"/>
      <c r="AU107" s="58"/>
      <c r="AV107" s="58"/>
      <c r="AW107" s="58"/>
      <c r="AX107" s="58"/>
      <c r="AY107" s="58"/>
      <c r="AZ107" s="58"/>
      <c r="BA107" s="58"/>
      <c r="BB107" s="58"/>
      <c r="BC107" s="58"/>
      <c r="BD107" s="58"/>
      <c r="BE107" s="58"/>
      <c r="BF107" s="58"/>
      <c r="BG107" s="58"/>
      <c r="BH107" s="58"/>
      <c r="BI107" s="58"/>
      <c r="BJ107" s="58"/>
      <c r="BK107" s="58"/>
      <c r="BL107" s="58"/>
      <c r="BM107" s="58"/>
      <c r="BN107" s="58"/>
      <c r="BO107" s="58"/>
      <c r="BP107" s="58"/>
      <c r="BQ107" s="58"/>
      <c r="BR107" s="58"/>
      <c r="BS107" s="58"/>
      <c r="BT107" s="58"/>
      <c r="BU107" s="58"/>
      <c r="BV107" s="58"/>
      <c r="BW107" s="58"/>
      <c r="BX107" s="58"/>
      <c r="BY107" s="58"/>
      <c r="BZ107" s="58"/>
      <c r="CA107" s="58"/>
      <c r="CB107" s="58"/>
      <c r="CC107" s="58"/>
      <c r="CD107" s="58"/>
      <c r="CE107" s="58"/>
      <c r="CF107" s="58"/>
      <c r="CG107" s="58"/>
      <c r="CH107" s="58"/>
      <c r="CI107" s="58"/>
      <c r="CJ107" s="58"/>
      <c r="CK107" s="58"/>
      <c r="CL107" s="58"/>
      <c r="CM107" s="58"/>
      <c r="CN107" s="58"/>
      <c r="CO107" s="58"/>
      <c r="CP107" s="58"/>
      <c r="CQ107" s="58"/>
      <c r="CR107" s="36"/>
    </row>
    <row r="108" spans="1:96" x14ac:dyDescent="0.35">
      <c r="A108" s="36"/>
      <c r="B108" s="36"/>
      <c r="C108" s="36"/>
      <c r="D108" s="36"/>
      <c r="E108" s="36"/>
      <c r="F108" s="90" t="str">
        <f>'DNO inputs'!F38</f>
        <v>132kV</v>
      </c>
      <c r="G108" s="90" t="str">
        <f>'DNO inputs'!G38</f>
        <v>£</v>
      </c>
      <c r="H108" s="123">
        <f>'DNO inputs'!H38</f>
        <v>942489173.62997806</v>
      </c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1"/>
      <c r="AD108" s="101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1"/>
      <c r="AP108" s="101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1"/>
      <c r="BB108" s="101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1"/>
      <c r="BN108" s="101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1"/>
      <c r="BZ108" s="101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1"/>
      <c r="CM108" s="101"/>
      <c r="CN108" s="101"/>
      <c r="CO108" s="101"/>
      <c r="CP108" s="101"/>
      <c r="CQ108" s="58"/>
      <c r="CR108" s="36"/>
    </row>
    <row r="109" spans="1:96" x14ac:dyDescent="0.35">
      <c r="A109" s="36"/>
      <c r="B109" s="36"/>
      <c r="C109" s="36"/>
      <c r="D109" s="36"/>
      <c r="E109" s="36"/>
      <c r="F109" s="92" t="str">
        <f>'DNO inputs'!F39</f>
        <v>132kV/EHV</v>
      </c>
      <c r="G109" s="92" t="str">
        <f>'DNO inputs'!G39</f>
        <v>£</v>
      </c>
      <c r="H109" s="119">
        <f>'DNO inputs'!H39</f>
        <v>243867060.92481834</v>
      </c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1"/>
      <c r="AD109" s="101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1"/>
      <c r="AP109" s="101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1"/>
      <c r="BB109" s="101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1"/>
      <c r="BN109" s="101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1"/>
      <c r="BZ109" s="101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1"/>
      <c r="CM109" s="101"/>
      <c r="CN109" s="101"/>
      <c r="CO109" s="101"/>
      <c r="CP109" s="101"/>
      <c r="CQ109" s="58"/>
      <c r="CR109" s="36"/>
    </row>
    <row r="110" spans="1:96" x14ac:dyDescent="0.35">
      <c r="A110" s="36"/>
      <c r="B110" s="36"/>
      <c r="C110" s="36"/>
      <c r="D110" s="36"/>
      <c r="E110" s="36"/>
      <c r="F110" s="92" t="str">
        <f>'DNO inputs'!F40</f>
        <v>EHV</v>
      </c>
      <c r="G110" s="92" t="str">
        <f>'DNO inputs'!G40</f>
        <v>£</v>
      </c>
      <c r="H110" s="119">
        <f>'DNO inputs'!H40</f>
        <v>700027122.42113173</v>
      </c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101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1"/>
      <c r="BB110" s="101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1"/>
      <c r="BN110" s="101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1"/>
      <c r="BZ110" s="101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1"/>
      <c r="CM110" s="101"/>
      <c r="CN110" s="101"/>
      <c r="CO110" s="101"/>
      <c r="CP110" s="101"/>
      <c r="CQ110" s="58"/>
      <c r="CR110" s="36"/>
    </row>
    <row r="111" spans="1:96" x14ac:dyDescent="0.35">
      <c r="A111" s="36"/>
      <c r="B111" s="36"/>
      <c r="C111" s="36"/>
      <c r="D111" s="36"/>
      <c r="E111" s="36"/>
      <c r="F111" s="92" t="str">
        <f>'DNO inputs'!F41</f>
        <v>EHV/HV</v>
      </c>
      <c r="G111" s="92" t="str">
        <f>'DNO inputs'!G41</f>
        <v>£</v>
      </c>
      <c r="H111" s="119">
        <f>'DNO inputs'!H41</f>
        <v>602585139.72818041</v>
      </c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1"/>
      <c r="AD111" s="101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1"/>
      <c r="AP111" s="101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1"/>
      <c r="BB111" s="101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1"/>
      <c r="BN111" s="101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1"/>
      <c r="BZ111" s="101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1"/>
      <c r="CM111" s="101"/>
      <c r="CN111" s="101"/>
      <c r="CO111" s="101"/>
      <c r="CP111" s="101"/>
      <c r="CQ111" s="58"/>
      <c r="CR111" s="36"/>
    </row>
    <row r="112" spans="1:96" x14ac:dyDescent="0.35">
      <c r="A112" s="36"/>
      <c r="B112" s="36"/>
      <c r="C112" s="36"/>
      <c r="D112" s="36"/>
      <c r="E112" s="36"/>
      <c r="F112" s="94" t="str">
        <f>'DNO inputs'!F42</f>
        <v>132kV/HV</v>
      </c>
      <c r="G112" s="94" t="str">
        <f>'DNO inputs'!G42</f>
        <v>£</v>
      </c>
      <c r="H112" s="124">
        <f>'DNO inputs'!H42</f>
        <v>0</v>
      </c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1"/>
      <c r="AD112" s="101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1"/>
      <c r="AP112" s="101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1"/>
      <c r="BB112" s="101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1"/>
      <c r="BN112" s="101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1"/>
      <c r="BZ112" s="101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1"/>
      <c r="CM112" s="101"/>
      <c r="CN112" s="101"/>
      <c r="CO112" s="101"/>
      <c r="CP112" s="101"/>
      <c r="CQ112" s="58"/>
      <c r="CR112" s="36"/>
    </row>
    <row r="113" spans="1:96" x14ac:dyDescent="0.35">
      <c r="A113" s="36"/>
      <c r="B113" s="36"/>
      <c r="C113" s="36"/>
      <c r="D113" s="36"/>
      <c r="E113" s="36"/>
      <c r="F113" s="36"/>
      <c r="G113" s="36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  <c r="AN113" s="58"/>
      <c r="AO113" s="58"/>
      <c r="AP113" s="58"/>
      <c r="AQ113" s="58"/>
      <c r="AR113" s="58"/>
      <c r="AS113" s="58"/>
      <c r="AT113" s="58"/>
      <c r="AU113" s="58"/>
      <c r="AV113" s="58"/>
      <c r="AW113" s="58"/>
      <c r="AX113" s="58"/>
      <c r="AY113" s="58"/>
      <c r="AZ113" s="58"/>
      <c r="BA113" s="58"/>
      <c r="BB113" s="58"/>
      <c r="BC113" s="58"/>
      <c r="BD113" s="58"/>
      <c r="BE113" s="58"/>
      <c r="BF113" s="58"/>
      <c r="BG113" s="58"/>
      <c r="BH113" s="58"/>
      <c r="BI113" s="58"/>
      <c r="BJ113" s="58"/>
      <c r="BK113" s="58"/>
      <c r="BL113" s="58"/>
      <c r="BM113" s="58"/>
      <c r="BN113" s="58"/>
      <c r="BO113" s="58"/>
      <c r="BP113" s="58"/>
      <c r="BQ113" s="58"/>
      <c r="BR113" s="58"/>
      <c r="BS113" s="58"/>
      <c r="BT113" s="58"/>
      <c r="BU113" s="58"/>
      <c r="BV113" s="58"/>
      <c r="BW113" s="58"/>
      <c r="BX113" s="58"/>
      <c r="BY113" s="58"/>
      <c r="BZ113" s="58"/>
      <c r="CA113" s="58"/>
      <c r="CB113" s="58"/>
      <c r="CC113" s="58"/>
      <c r="CD113" s="58"/>
      <c r="CE113" s="58"/>
      <c r="CF113" s="58"/>
      <c r="CG113" s="58"/>
      <c r="CH113" s="58"/>
      <c r="CI113" s="58"/>
      <c r="CJ113" s="58"/>
      <c r="CK113" s="58"/>
      <c r="CL113" s="58"/>
      <c r="CM113" s="58"/>
      <c r="CN113" s="58"/>
      <c r="CO113" s="58"/>
      <c r="CP113" s="58"/>
      <c r="CQ113" s="58"/>
      <c r="CR113" s="36"/>
    </row>
    <row r="114" spans="1:96" x14ac:dyDescent="0.35">
      <c r="A114" s="92"/>
      <c r="B114" s="36"/>
      <c r="C114" s="36"/>
      <c r="D114" s="36"/>
      <c r="E114" s="92" t="s">
        <v>525</v>
      </c>
      <c r="F114" s="36"/>
      <c r="G114" s="92" t="s">
        <v>337</v>
      </c>
      <c r="H114" s="101">
        <f>SUM(H108:H112)</f>
        <v>2488968496.7041087</v>
      </c>
      <c r="I114" s="112" t="s">
        <v>120</v>
      </c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101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1"/>
      <c r="BB114" s="101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1"/>
      <c r="BN114" s="101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1"/>
      <c r="BZ114" s="101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1"/>
      <c r="CM114" s="101"/>
      <c r="CN114" s="101"/>
      <c r="CO114" s="101"/>
      <c r="CP114" s="101"/>
      <c r="CQ114" s="58"/>
      <c r="CR114" s="92" t="s">
        <v>526</v>
      </c>
    </row>
    <row r="115" spans="1:96" x14ac:dyDescent="0.35">
      <c r="A115" s="36"/>
      <c r="B115" s="36"/>
      <c r="C115" s="36"/>
      <c r="D115" s="36"/>
      <c r="E115" s="86"/>
      <c r="F115" s="36"/>
      <c r="G115" s="36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8"/>
      <c r="AL115" s="58"/>
      <c r="AM115" s="58"/>
      <c r="AN115" s="58"/>
      <c r="AO115" s="58"/>
      <c r="AP115" s="58"/>
      <c r="AQ115" s="58"/>
      <c r="AR115" s="58"/>
      <c r="AS115" s="58"/>
      <c r="AT115" s="58"/>
      <c r="AU115" s="58"/>
      <c r="AV115" s="58"/>
      <c r="AW115" s="58"/>
      <c r="AX115" s="58"/>
      <c r="AY115" s="58"/>
      <c r="AZ115" s="58"/>
      <c r="BA115" s="58"/>
      <c r="BB115" s="58"/>
      <c r="BC115" s="58"/>
      <c r="BD115" s="58"/>
      <c r="BE115" s="58"/>
      <c r="BF115" s="58"/>
      <c r="BG115" s="58"/>
      <c r="BH115" s="58"/>
      <c r="BI115" s="58"/>
      <c r="BJ115" s="58"/>
      <c r="BK115" s="58"/>
      <c r="BL115" s="58"/>
      <c r="BM115" s="58"/>
      <c r="BN115" s="58"/>
      <c r="BO115" s="58"/>
      <c r="BP115" s="58"/>
      <c r="BQ115" s="58"/>
      <c r="BR115" s="58"/>
      <c r="BS115" s="58"/>
      <c r="BT115" s="58"/>
      <c r="BU115" s="58"/>
      <c r="BV115" s="58"/>
      <c r="BW115" s="58"/>
      <c r="BX115" s="58"/>
      <c r="BY115" s="58"/>
      <c r="BZ115" s="58"/>
      <c r="CA115" s="58"/>
      <c r="CB115" s="58"/>
      <c r="CC115" s="58"/>
      <c r="CD115" s="58"/>
      <c r="CE115" s="58"/>
      <c r="CF115" s="58"/>
      <c r="CG115" s="58"/>
      <c r="CH115" s="58"/>
      <c r="CI115" s="58"/>
      <c r="CJ115" s="58"/>
      <c r="CK115" s="58"/>
      <c r="CL115" s="58"/>
      <c r="CM115" s="58"/>
      <c r="CN115" s="58"/>
      <c r="CO115" s="58"/>
      <c r="CP115" s="58"/>
      <c r="CQ115" s="58"/>
      <c r="CR115" s="36"/>
    </row>
    <row r="116" spans="1:96" x14ac:dyDescent="0.35">
      <c r="A116" s="36"/>
      <c r="B116" s="36"/>
      <c r="C116" s="36"/>
      <c r="D116" s="36"/>
      <c r="E116" s="92" t="str">
        <f>'DNO inputs'!E56</f>
        <v>EDCM notional asset value, total</v>
      </c>
      <c r="F116" s="36"/>
      <c r="G116" s="92" t="str">
        <f>'DNO inputs'!G56</f>
        <v>£</v>
      </c>
      <c r="H116" s="119">
        <f>'DNO inputs'!H56</f>
        <v>542784641.25174761</v>
      </c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1"/>
      <c r="AD116" s="101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101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1"/>
      <c r="BB116" s="101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1"/>
      <c r="BN116" s="101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1"/>
      <c r="BZ116" s="101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1"/>
      <c r="CM116" s="101"/>
      <c r="CN116" s="101"/>
      <c r="CO116" s="101"/>
      <c r="CP116" s="101"/>
      <c r="CQ116" s="58"/>
      <c r="CR116" s="36"/>
    </row>
    <row r="117" spans="1:96" x14ac:dyDescent="0.35">
      <c r="A117" s="36"/>
      <c r="B117" s="36"/>
      <c r="C117" s="36"/>
      <c r="D117" s="36"/>
      <c r="E117" s="86"/>
      <c r="F117" s="36"/>
      <c r="G117" s="36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8"/>
      <c r="AL117" s="58"/>
      <c r="AM117" s="58"/>
      <c r="AN117" s="58"/>
      <c r="AO117" s="58"/>
      <c r="AP117" s="58"/>
      <c r="AQ117" s="58"/>
      <c r="AR117" s="58"/>
      <c r="AS117" s="58"/>
      <c r="AT117" s="58"/>
      <c r="AU117" s="58"/>
      <c r="AV117" s="58"/>
      <c r="AW117" s="58"/>
      <c r="AX117" s="58"/>
      <c r="AY117" s="58"/>
      <c r="AZ117" s="58"/>
      <c r="BA117" s="58"/>
      <c r="BB117" s="58"/>
      <c r="BC117" s="58"/>
      <c r="BD117" s="58"/>
      <c r="BE117" s="58"/>
      <c r="BF117" s="58"/>
      <c r="BG117" s="58"/>
      <c r="BH117" s="58"/>
      <c r="BI117" s="58"/>
      <c r="BJ117" s="58"/>
      <c r="BK117" s="58"/>
      <c r="BL117" s="58"/>
      <c r="BM117" s="58"/>
      <c r="BN117" s="58"/>
      <c r="BO117" s="58"/>
      <c r="BP117" s="58"/>
      <c r="BQ117" s="58"/>
      <c r="BR117" s="58"/>
      <c r="BS117" s="58"/>
      <c r="BT117" s="58"/>
      <c r="BU117" s="58"/>
      <c r="BV117" s="58"/>
      <c r="BW117" s="58"/>
      <c r="BX117" s="58"/>
      <c r="BY117" s="58"/>
      <c r="BZ117" s="58"/>
      <c r="CA117" s="58"/>
      <c r="CB117" s="58"/>
      <c r="CC117" s="58"/>
      <c r="CD117" s="58"/>
      <c r="CE117" s="58"/>
      <c r="CF117" s="58"/>
      <c r="CG117" s="58"/>
      <c r="CH117" s="58"/>
      <c r="CI117" s="58"/>
      <c r="CJ117" s="58"/>
      <c r="CK117" s="58"/>
      <c r="CL117" s="58"/>
      <c r="CM117" s="58"/>
      <c r="CN117" s="58"/>
      <c r="CO117" s="58"/>
      <c r="CP117" s="58"/>
      <c r="CQ117" s="58"/>
      <c r="CR117" s="36"/>
    </row>
    <row r="118" spans="1:96" x14ac:dyDescent="0.35">
      <c r="A118" s="36"/>
      <c r="B118" s="36"/>
      <c r="C118" s="36"/>
      <c r="D118" s="36"/>
      <c r="E118" s="92" t="s">
        <v>527</v>
      </c>
      <c r="F118" s="36"/>
      <c r="G118" s="92" t="s">
        <v>502</v>
      </c>
      <c r="H118" s="101" t="b">
        <f>H114 + H116 &gt; 0</f>
        <v>1</v>
      </c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1"/>
      <c r="AD118" s="101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1"/>
      <c r="AP118" s="101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1"/>
      <c r="BB118" s="101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1"/>
      <c r="BN118" s="101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1"/>
      <c r="BZ118" s="101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1"/>
      <c r="CM118" s="101"/>
      <c r="CN118" s="101"/>
      <c r="CO118" s="101"/>
      <c r="CP118" s="101"/>
      <c r="CQ118" s="58"/>
      <c r="CR118" s="36"/>
    </row>
    <row r="119" spans="1:96" x14ac:dyDescent="0.35">
      <c r="A119" s="36"/>
      <c r="B119" s="36"/>
      <c r="C119" s="36"/>
      <c r="D119" s="36"/>
      <c r="E119" s="86"/>
      <c r="F119" s="36"/>
      <c r="G119" s="36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  <c r="AN119" s="58"/>
      <c r="AO119" s="58"/>
      <c r="AP119" s="58"/>
      <c r="AQ119" s="58"/>
      <c r="AR119" s="58"/>
      <c r="AS119" s="58"/>
      <c r="AT119" s="58"/>
      <c r="AU119" s="58"/>
      <c r="AV119" s="58"/>
      <c r="AW119" s="58"/>
      <c r="AX119" s="58"/>
      <c r="AY119" s="58"/>
      <c r="AZ119" s="58"/>
      <c r="BA119" s="58"/>
      <c r="BB119" s="58"/>
      <c r="BC119" s="58"/>
      <c r="BD119" s="58"/>
      <c r="BE119" s="58"/>
      <c r="BF119" s="58"/>
      <c r="BG119" s="58"/>
      <c r="BH119" s="58"/>
      <c r="BI119" s="58"/>
      <c r="BJ119" s="58"/>
      <c r="BK119" s="58"/>
      <c r="BL119" s="58"/>
      <c r="BM119" s="58"/>
      <c r="BN119" s="58"/>
      <c r="BO119" s="58"/>
      <c r="BP119" s="58"/>
      <c r="BQ119" s="58"/>
      <c r="BR119" s="58"/>
      <c r="BS119" s="58"/>
      <c r="BT119" s="58"/>
      <c r="BU119" s="58"/>
      <c r="BV119" s="58"/>
      <c r="BW119" s="58"/>
      <c r="BX119" s="58"/>
      <c r="BY119" s="58"/>
      <c r="BZ119" s="58"/>
      <c r="CA119" s="58"/>
      <c r="CB119" s="58"/>
      <c r="CC119" s="58"/>
      <c r="CD119" s="58"/>
      <c r="CE119" s="58"/>
      <c r="CF119" s="58"/>
      <c r="CG119" s="58"/>
      <c r="CH119" s="58"/>
      <c r="CI119" s="58"/>
      <c r="CJ119" s="58"/>
      <c r="CK119" s="58"/>
      <c r="CL119" s="58"/>
      <c r="CM119" s="58"/>
      <c r="CN119" s="58"/>
      <c r="CO119" s="58"/>
      <c r="CP119" s="58"/>
      <c r="CQ119" s="58"/>
      <c r="CR119" s="36"/>
    </row>
    <row r="120" spans="1:96" x14ac:dyDescent="0.35">
      <c r="A120" s="92"/>
      <c r="B120" s="36"/>
      <c r="C120" s="36"/>
      <c r="D120" s="36"/>
      <c r="E120" s="92" t="s">
        <v>528</v>
      </c>
      <c r="F120" s="36"/>
      <c r="G120" s="92" t="s">
        <v>119</v>
      </c>
      <c r="H120" s="121">
        <f>IF(H118, H114 / (H114 + H116), 1)</f>
        <v>0.82096674216103316</v>
      </c>
      <c r="I120" s="102" t="s">
        <v>120</v>
      </c>
      <c r="J120" s="106"/>
      <c r="K120" s="106"/>
      <c r="L120" s="106"/>
      <c r="M120" s="106"/>
      <c r="N120" s="106"/>
      <c r="O120" s="106"/>
      <c r="P120" s="106"/>
      <c r="Q120" s="106"/>
      <c r="R120" s="106"/>
      <c r="S120" s="106"/>
      <c r="T120" s="106"/>
      <c r="U120" s="106"/>
      <c r="V120" s="106"/>
      <c r="W120" s="106"/>
      <c r="X120" s="106"/>
      <c r="Y120" s="106"/>
      <c r="Z120" s="106"/>
      <c r="AA120" s="106"/>
      <c r="AB120" s="106"/>
      <c r="AC120" s="106"/>
      <c r="AD120" s="106"/>
      <c r="AE120" s="106"/>
      <c r="AF120" s="106"/>
      <c r="AG120" s="106"/>
      <c r="AH120" s="106"/>
      <c r="AI120" s="106"/>
      <c r="AJ120" s="106"/>
      <c r="AK120" s="106"/>
      <c r="AL120" s="106"/>
      <c r="AM120" s="106"/>
      <c r="AN120" s="106"/>
      <c r="AO120" s="106"/>
      <c r="AP120" s="106"/>
      <c r="AQ120" s="106"/>
      <c r="AR120" s="106"/>
      <c r="AS120" s="106"/>
      <c r="AT120" s="106"/>
      <c r="AU120" s="106"/>
      <c r="AV120" s="106"/>
      <c r="AW120" s="106"/>
      <c r="AX120" s="106"/>
      <c r="AY120" s="106"/>
      <c r="AZ120" s="106"/>
      <c r="BA120" s="106"/>
      <c r="BB120" s="106"/>
      <c r="BC120" s="106"/>
      <c r="BD120" s="106"/>
      <c r="BE120" s="106"/>
      <c r="BF120" s="106"/>
      <c r="BG120" s="106"/>
      <c r="BH120" s="106"/>
      <c r="BI120" s="106"/>
      <c r="BJ120" s="106"/>
      <c r="BK120" s="106"/>
      <c r="BL120" s="106"/>
      <c r="BM120" s="106"/>
      <c r="BN120" s="106"/>
      <c r="BO120" s="106"/>
      <c r="BP120" s="106"/>
      <c r="BQ120" s="106"/>
      <c r="BR120" s="106"/>
      <c r="BS120" s="106"/>
      <c r="BT120" s="106"/>
      <c r="BU120" s="106"/>
      <c r="BV120" s="106"/>
      <c r="BW120" s="106"/>
      <c r="BX120" s="106"/>
      <c r="BY120" s="106"/>
      <c r="BZ120" s="106"/>
      <c r="CA120" s="106"/>
      <c r="CB120" s="106"/>
      <c r="CC120" s="106"/>
      <c r="CD120" s="106"/>
      <c r="CE120" s="106"/>
      <c r="CF120" s="106"/>
      <c r="CG120" s="106"/>
      <c r="CH120" s="106"/>
      <c r="CI120" s="106"/>
      <c r="CJ120" s="106"/>
      <c r="CK120" s="106"/>
      <c r="CL120" s="106"/>
      <c r="CM120" s="106"/>
      <c r="CN120" s="106"/>
      <c r="CO120" s="106"/>
      <c r="CP120" s="106"/>
      <c r="CQ120" s="58"/>
      <c r="CR120" s="92" t="s">
        <v>526</v>
      </c>
    </row>
    <row r="121" spans="1:96" x14ac:dyDescent="0.35">
      <c r="A121" s="36"/>
      <c r="B121" s="36"/>
      <c r="C121" s="36"/>
      <c r="D121" s="36"/>
      <c r="E121" s="86"/>
      <c r="F121" s="36"/>
      <c r="G121" s="36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  <c r="AN121" s="58"/>
      <c r="AO121" s="58"/>
      <c r="AP121" s="58"/>
      <c r="AQ121" s="58"/>
      <c r="AR121" s="58"/>
      <c r="AS121" s="58"/>
      <c r="AT121" s="58"/>
      <c r="AU121" s="58"/>
      <c r="AV121" s="58"/>
      <c r="AW121" s="58"/>
      <c r="AX121" s="58"/>
      <c r="AY121" s="58"/>
      <c r="AZ121" s="58"/>
      <c r="BA121" s="58"/>
      <c r="BB121" s="58"/>
      <c r="BC121" s="58"/>
      <c r="BD121" s="58"/>
      <c r="BE121" s="58"/>
      <c r="BF121" s="58"/>
      <c r="BG121" s="58"/>
      <c r="BH121" s="58"/>
      <c r="BI121" s="58"/>
      <c r="BJ121" s="58"/>
      <c r="BK121" s="58"/>
      <c r="BL121" s="58"/>
      <c r="BM121" s="58"/>
      <c r="BN121" s="58"/>
      <c r="BO121" s="58"/>
      <c r="BP121" s="58"/>
      <c r="BQ121" s="58"/>
      <c r="BR121" s="58"/>
      <c r="BS121" s="58"/>
      <c r="BT121" s="58"/>
      <c r="BU121" s="58"/>
      <c r="BV121" s="58"/>
      <c r="BW121" s="58"/>
      <c r="BX121" s="58"/>
      <c r="BY121" s="58"/>
      <c r="BZ121" s="58"/>
      <c r="CA121" s="58"/>
      <c r="CB121" s="58"/>
      <c r="CC121" s="58"/>
      <c r="CD121" s="58"/>
      <c r="CE121" s="58"/>
      <c r="CF121" s="58"/>
      <c r="CG121" s="58"/>
      <c r="CH121" s="58"/>
      <c r="CI121" s="58"/>
      <c r="CJ121" s="58"/>
      <c r="CK121" s="58"/>
      <c r="CL121" s="58"/>
      <c r="CM121" s="58"/>
      <c r="CN121" s="58"/>
      <c r="CO121" s="58"/>
      <c r="CP121" s="58"/>
      <c r="CQ121" s="58"/>
      <c r="CR121" s="36"/>
    </row>
    <row r="122" spans="1:96" x14ac:dyDescent="0.35">
      <c r="A122" s="36"/>
      <c r="B122" s="36"/>
      <c r="C122" s="87" t="s">
        <v>529</v>
      </c>
      <c r="D122" s="87"/>
      <c r="E122" s="87"/>
      <c r="F122" s="87"/>
      <c r="G122" s="87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  <c r="AI122" s="88"/>
      <c r="AJ122" s="88"/>
      <c r="AK122" s="88"/>
      <c r="AL122" s="88"/>
      <c r="AM122" s="88"/>
      <c r="AN122" s="88"/>
      <c r="AO122" s="88"/>
      <c r="AP122" s="88"/>
      <c r="AQ122" s="88"/>
      <c r="AR122" s="88"/>
      <c r="AS122" s="88"/>
      <c r="AT122" s="88"/>
      <c r="AU122" s="88"/>
      <c r="AV122" s="88"/>
      <c r="AW122" s="88"/>
      <c r="AX122" s="88"/>
      <c r="AY122" s="88"/>
      <c r="AZ122" s="88"/>
      <c r="BA122" s="88"/>
      <c r="BB122" s="88"/>
      <c r="BC122" s="88"/>
      <c r="BD122" s="88"/>
      <c r="BE122" s="88"/>
      <c r="BF122" s="88"/>
      <c r="BG122" s="88"/>
      <c r="BH122" s="88"/>
      <c r="BI122" s="88"/>
      <c r="BJ122" s="88"/>
      <c r="BK122" s="88"/>
      <c r="BL122" s="88"/>
      <c r="BM122" s="88"/>
      <c r="BN122" s="88"/>
      <c r="BO122" s="88"/>
      <c r="BP122" s="88"/>
      <c r="BQ122" s="88"/>
      <c r="BR122" s="88"/>
      <c r="BS122" s="88"/>
      <c r="BT122" s="88"/>
      <c r="BU122" s="88"/>
      <c r="BV122" s="88"/>
      <c r="BW122" s="88"/>
      <c r="BX122" s="88"/>
      <c r="BY122" s="88"/>
      <c r="BZ122" s="88"/>
      <c r="CA122" s="88"/>
      <c r="CB122" s="88"/>
      <c r="CC122" s="88"/>
      <c r="CD122" s="88"/>
      <c r="CE122" s="88"/>
      <c r="CF122" s="88"/>
      <c r="CG122" s="88"/>
      <c r="CH122" s="88"/>
      <c r="CI122" s="88"/>
      <c r="CJ122" s="88"/>
      <c r="CK122" s="88"/>
      <c r="CL122" s="88"/>
      <c r="CM122" s="88"/>
      <c r="CN122" s="88"/>
      <c r="CO122" s="88"/>
      <c r="CP122" s="88"/>
      <c r="CQ122" s="88"/>
      <c r="CR122" s="87"/>
    </row>
    <row r="123" spans="1:96" x14ac:dyDescent="0.35">
      <c r="A123" s="36"/>
      <c r="B123" s="36"/>
      <c r="C123" s="86"/>
      <c r="D123" s="86"/>
      <c r="E123" s="36"/>
      <c r="F123" s="36"/>
      <c r="G123" s="36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8"/>
      <c r="AL123" s="58"/>
      <c r="AM123" s="58"/>
      <c r="AN123" s="58"/>
      <c r="AO123" s="58"/>
      <c r="AP123" s="58"/>
      <c r="AQ123" s="58"/>
      <c r="AR123" s="58"/>
      <c r="AS123" s="58"/>
      <c r="AT123" s="58"/>
      <c r="AU123" s="58"/>
      <c r="AV123" s="58"/>
      <c r="AW123" s="58"/>
      <c r="AX123" s="58"/>
      <c r="AY123" s="58"/>
      <c r="AZ123" s="58"/>
      <c r="BA123" s="58"/>
      <c r="BB123" s="58"/>
      <c r="BC123" s="58"/>
      <c r="BD123" s="58"/>
      <c r="BE123" s="58"/>
      <c r="BF123" s="58"/>
      <c r="BG123" s="58"/>
      <c r="BH123" s="58"/>
      <c r="BI123" s="58"/>
      <c r="BJ123" s="58"/>
      <c r="BK123" s="58"/>
      <c r="BL123" s="58"/>
      <c r="BM123" s="58"/>
      <c r="BN123" s="58"/>
      <c r="BO123" s="58"/>
      <c r="BP123" s="58"/>
      <c r="BQ123" s="58"/>
      <c r="BR123" s="58"/>
      <c r="BS123" s="58"/>
      <c r="BT123" s="58"/>
      <c r="BU123" s="58"/>
      <c r="BV123" s="58"/>
      <c r="BW123" s="58"/>
      <c r="BX123" s="58"/>
      <c r="BY123" s="58"/>
      <c r="BZ123" s="58"/>
      <c r="CA123" s="58"/>
      <c r="CB123" s="58"/>
      <c r="CC123" s="58"/>
      <c r="CD123" s="58"/>
      <c r="CE123" s="58"/>
      <c r="CF123" s="58"/>
      <c r="CG123" s="58"/>
      <c r="CH123" s="58"/>
      <c r="CI123" s="58"/>
      <c r="CJ123" s="58"/>
      <c r="CK123" s="58"/>
      <c r="CL123" s="58"/>
      <c r="CM123" s="58"/>
      <c r="CN123" s="58"/>
      <c r="CO123" s="58"/>
      <c r="CP123" s="58"/>
      <c r="CQ123" s="58"/>
      <c r="CR123" s="36"/>
    </row>
    <row r="124" spans="1:96" x14ac:dyDescent="0.35">
      <c r="A124" s="92"/>
      <c r="B124" s="36"/>
      <c r="C124" s="36"/>
      <c r="D124" s="36"/>
      <c r="E124" s="92" t="s">
        <v>530</v>
      </c>
      <c r="F124" s="36"/>
      <c r="G124" s="92" t="str">
        <f>G114</f>
        <v>£</v>
      </c>
      <c r="H124" s="101">
        <f>H105 * H120</f>
        <v>3352.0980547907252</v>
      </c>
      <c r="I124" s="112" t="s">
        <v>120</v>
      </c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1"/>
      <c r="AP124" s="101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1"/>
      <c r="BB124" s="101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1"/>
      <c r="BN124" s="101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1"/>
      <c r="BZ124" s="101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1"/>
      <c r="CM124" s="101"/>
      <c r="CN124" s="101"/>
      <c r="CO124" s="101"/>
      <c r="CP124" s="101"/>
      <c r="CQ124" s="58"/>
      <c r="CR124" s="92" t="s">
        <v>526</v>
      </c>
    </row>
    <row r="125" spans="1:96" x14ac:dyDescent="0.35">
      <c r="A125" s="36"/>
      <c r="B125" s="36"/>
      <c r="C125" s="36"/>
      <c r="D125" s="36"/>
      <c r="E125" s="86"/>
      <c r="F125" s="36"/>
      <c r="G125" s="36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58"/>
      <c r="AO125" s="58"/>
      <c r="AP125" s="58"/>
      <c r="AQ125" s="58"/>
      <c r="AR125" s="58"/>
      <c r="AS125" s="58"/>
      <c r="AT125" s="58"/>
      <c r="AU125" s="58"/>
      <c r="AV125" s="58"/>
      <c r="AW125" s="58"/>
      <c r="AX125" s="58"/>
      <c r="AY125" s="58"/>
      <c r="AZ125" s="58"/>
      <c r="BA125" s="58"/>
      <c r="BB125" s="58"/>
      <c r="BC125" s="58"/>
      <c r="BD125" s="58"/>
      <c r="BE125" s="58"/>
      <c r="BF125" s="58"/>
      <c r="BG125" s="58"/>
      <c r="BH125" s="58"/>
      <c r="BI125" s="58"/>
      <c r="BJ125" s="58"/>
      <c r="BK125" s="58"/>
      <c r="BL125" s="58"/>
      <c r="BM125" s="58"/>
      <c r="BN125" s="58"/>
      <c r="BO125" s="58"/>
      <c r="BP125" s="58"/>
      <c r="BQ125" s="58"/>
      <c r="BR125" s="58"/>
      <c r="BS125" s="58"/>
      <c r="BT125" s="58"/>
      <c r="BU125" s="58"/>
      <c r="BV125" s="58"/>
      <c r="BW125" s="58"/>
      <c r="BX125" s="58"/>
      <c r="BY125" s="58"/>
      <c r="BZ125" s="58"/>
      <c r="CA125" s="58"/>
      <c r="CB125" s="58"/>
      <c r="CC125" s="58"/>
      <c r="CD125" s="58"/>
      <c r="CE125" s="58"/>
      <c r="CF125" s="58"/>
      <c r="CG125" s="58"/>
      <c r="CH125" s="58"/>
      <c r="CI125" s="58"/>
      <c r="CJ125" s="58"/>
      <c r="CK125" s="58"/>
      <c r="CL125" s="58"/>
      <c r="CM125" s="58"/>
      <c r="CN125" s="58"/>
      <c r="CO125" s="58"/>
      <c r="CP125" s="58"/>
      <c r="CQ125" s="58"/>
      <c r="CR125" s="36"/>
    </row>
    <row r="126" spans="1:96" x14ac:dyDescent="0.35">
      <c r="A126" s="92"/>
      <c r="B126" s="36"/>
      <c r="C126" s="36"/>
      <c r="D126" s="86"/>
      <c r="E126" s="89" t="s">
        <v>531</v>
      </c>
      <c r="F126" s="36"/>
      <c r="G126" s="36"/>
      <c r="H126" s="58"/>
      <c r="I126" s="103" t="s">
        <v>120</v>
      </c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  <c r="AP126" s="58"/>
      <c r="AQ126" s="58"/>
      <c r="AR126" s="58"/>
      <c r="AS126" s="58"/>
      <c r="AT126" s="58"/>
      <c r="AU126" s="58"/>
      <c r="AV126" s="58"/>
      <c r="AW126" s="58"/>
      <c r="AX126" s="58"/>
      <c r="AY126" s="58"/>
      <c r="AZ126" s="58"/>
      <c r="BA126" s="58"/>
      <c r="BB126" s="58"/>
      <c r="BC126" s="58"/>
      <c r="BD126" s="58"/>
      <c r="BE126" s="58"/>
      <c r="BF126" s="58"/>
      <c r="BG126" s="58"/>
      <c r="BH126" s="58"/>
      <c r="BI126" s="58"/>
      <c r="BJ126" s="58"/>
      <c r="BK126" s="58"/>
      <c r="BL126" s="58"/>
      <c r="BM126" s="58"/>
      <c r="BN126" s="58"/>
      <c r="BO126" s="58"/>
      <c r="BP126" s="58"/>
      <c r="BQ126" s="58"/>
      <c r="BR126" s="58"/>
      <c r="BS126" s="58"/>
      <c r="BT126" s="58"/>
      <c r="BU126" s="58"/>
      <c r="BV126" s="58"/>
      <c r="BW126" s="58"/>
      <c r="BX126" s="58"/>
      <c r="BY126" s="58"/>
      <c r="BZ126" s="58"/>
      <c r="CA126" s="58"/>
      <c r="CB126" s="58"/>
      <c r="CC126" s="58"/>
      <c r="CD126" s="58"/>
      <c r="CE126" s="58"/>
      <c r="CF126" s="58"/>
      <c r="CG126" s="58"/>
      <c r="CH126" s="58"/>
      <c r="CI126" s="58"/>
      <c r="CJ126" s="58"/>
      <c r="CK126" s="58"/>
      <c r="CL126" s="58"/>
      <c r="CM126" s="58"/>
      <c r="CN126" s="58"/>
      <c r="CO126" s="58"/>
      <c r="CP126" s="58"/>
      <c r="CQ126" s="58"/>
      <c r="CR126" s="92" t="s">
        <v>360</v>
      </c>
    </row>
    <row r="127" spans="1:96" x14ac:dyDescent="0.35">
      <c r="A127" s="36"/>
      <c r="B127" s="36"/>
      <c r="C127" s="36"/>
      <c r="D127" s="36"/>
      <c r="E127" s="36"/>
      <c r="F127" s="90" t="s">
        <v>196</v>
      </c>
      <c r="G127" s="90" t="str">
        <f t="shared" ref="G127:G133" si="14">G$24</f>
        <v>£m</v>
      </c>
      <c r="H127" s="114">
        <f>H52</f>
        <v>5991.5683951622896</v>
      </c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101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1"/>
      <c r="BB127" s="101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1"/>
      <c r="BN127" s="101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1"/>
      <c r="BZ127" s="101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1"/>
      <c r="CM127" s="101"/>
      <c r="CN127" s="101"/>
      <c r="CO127" s="101"/>
      <c r="CP127" s="101"/>
      <c r="CQ127" s="58"/>
      <c r="CR127" s="36"/>
    </row>
    <row r="128" spans="1:96" x14ac:dyDescent="0.35">
      <c r="A128" s="36"/>
      <c r="B128" s="36"/>
      <c r="C128" s="36"/>
      <c r="D128" s="36"/>
      <c r="E128" s="36"/>
      <c r="F128" s="92" t="s">
        <v>197</v>
      </c>
      <c r="G128" s="92" t="str">
        <f t="shared" si="14"/>
        <v>£m</v>
      </c>
      <c r="H128" s="101">
        <f>H53</f>
        <v>6189.9308935325689</v>
      </c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1"/>
      <c r="AD128" s="101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1"/>
      <c r="AP128" s="101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1"/>
      <c r="BB128" s="101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1"/>
      <c r="BN128" s="101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1"/>
      <c r="BZ128" s="101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1"/>
      <c r="CM128" s="101"/>
      <c r="CN128" s="101"/>
      <c r="CO128" s="101"/>
      <c r="CP128" s="101"/>
      <c r="CQ128" s="58"/>
      <c r="CR128" s="36"/>
    </row>
    <row r="129" spans="1:96" x14ac:dyDescent="0.35">
      <c r="A129" s="36"/>
      <c r="B129" s="36"/>
      <c r="C129" s="36"/>
      <c r="D129" s="36"/>
      <c r="E129" s="36"/>
      <c r="F129" s="92" t="s">
        <v>198</v>
      </c>
      <c r="G129" s="92" t="str">
        <f t="shared" si="14"/>
        <v>£m</v>
      </c>
      <c r="H129" s="101">
        <f>H54</f>
        <v>1536.897633832411</v>
      </c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1"/>
      <c r="AD129" s="101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1"/>
      <c r="AP129" s="101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1"/>
      <c r="BB129" s="101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1"/>
      <c r="BN129" s="101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1"/>
      <c r="BZ129" s="101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1"/>
      <c r="CM129" s="101"/>
      <c r="CN129" s="101"/>
      <c r="CO129" s="101"/>
      <c r="CP129" s="101"/>
      <c r="CQ129" s="58"/>
      <c r="CR129" s="36"/>
    </row>
    <row r="130" spans="1:96" x14ac:dyDescent="0.35">
      <c r="A130" s="36"/>
      <c r="B130" s="36"/>
      <c r="C130" s="36"/>
      <c r="D130" s="36"/>
      <c r="E130" s="36"/>
      <c r="F130" s="92" t="s">
        <v>199</v>
      </c>
      <c r="G130" s="92" t="str">
        <f t="shared" si="14"/>
        <v>£m</v>
      </c>
      <c r="H130" s="101">
        <f>H55</f>
        <v>4610.9119956708473</v>
      </c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1"/>
      <c r="AD130" s="101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1"/>
      <c r="AP130" s="101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1"/>
      <c r="BB130" s="101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1"/>
      <c r="BN130" s="101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1"/>
      <c r="BZ130" s="101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1"/>
      <c r="CM130" s="101"/>
      <c r="CN130" s="101"/>
      <c r="CO130" s="101"/>
      <c r="CP130" s="101"/>
      <c r="CQ130" s="58"/>
      <c r="CR130" s="36"/>
    </row>
    <row r="131" spans="1:96" x14ac:dyDescent="0.35">
      <c r="A131" s="92"/>
      <c r="B131" s="36"/>
      <c r="C131" s="36"/>
      <c r="D131" s="36"/>
      <c r="E131" s="36"/>
      <c r="F131" s="94" t="s">
        <v>201</v>
      </c>
      <c r="G131" s="94" t="str">
        <f t="shared" si="14"/>
        <v>£m</v>
      </c>
      <c r="H131" s="125">
        <f>H124</f>
        <v>3352.0980547907252</v>
      </c>
      <c r="I131" s="112" t="s">
        <v>120</v>
      </c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1"/>
      <c r="AD131" s="101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1"/>
      <c r="AP131" s="101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1"/>
      <c r="BB131" s="101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1"/>
      <c r="BN131" s="101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1"/>
      <c r="BZ131" s="101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1"/>
      <c r="CM131" s="101"/>
      <c r="CN131" s="101"/>
      <c r="CO131" s="101"/>
      <c r="CP131" s="101"/>
      <c r="CQ131" s="58"/>
      <c r="CR131" s="92" t="s">
        <v>526</v>
      </c>
    </row>
    <row r="132" spans="1:96" x14ac:dyDescent="0.35">
      <c r="A132" s="36"/>
      <c r="B132" s="36"/>
      <c r="C132" s="36"/>
      <c r="D132" s="36"/>
      <c r="E132" s="36"/>
      <c r="F132" s="36"/>
      <c r="G132" s="36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  <c r="AP132" s="58"/>
      <c r="AQ132" s="58"/>
      <c r="AR132" s="58"/>
      <c r="AS132" s="58"/>
      <c r="AT132" s="58"/>
      <c r="AU132" s="58"/>
      <c r="AV132" s="58"/>
      <c r="AW132" s="58"/>
      <c r="AX132" s="58"/>
      <c r="AY132" s="58"/>
      <c r="AZ132" s="58"/>
      <c r="BA132" s="58"/>
      <c r="BB132" s="58"/>
      <c r="BC132" s="58"/>
      <c r="BD132" s="58"/>
      <c r="BE132" s="58"/>
      <c r="BF132" s="58"/>
      <c r="BG132" s="58"/>
      <c r="BH132" s="58"/>
      <c r="BI132" s="58"/>
      <c r="BJ132" s="58"/>
      <c r="BK132" s="58"/>
      <c r="BL132" s="58"/>
      <c r="BM132" s="58"/>
      <c r="BN132" s="58"/>
      <c r="BO132" s="58"/>
      <c r="BP132" s="58"/>
      <c r="BQ132" s="58"/>
      <c r="BR132" s="58"/>
      <c r="BS132" s="58"/>
      <c r="BT132" s="58"/>
      <c r="BU132" s="58"/>
      <c r="BV132" s="58"/>
      <c r="BW132" s="58"/>
      <c r="BX132" s="58"/>
      <c r="BY132" s="58"/>
      <c r="BZ132" s="58"/>
      <c r="CA132" s="58"/>
      <c r="CB132" s="58"/>
      <c r="CC132" s="58"/>
      <c r="CD132" s="58"/>
      <c r="CE132" s="58"/>
      <c r="CF132" s="58"/>
      <c r="CG132" s="58"/>
      <c r="CH132" s="58"/>
      <c r="CI132" s="58"/>
      <c r="CJ132" s="58"/>
      <c r="CK132" s="58"/>
      <c r="CL132" s="58"/>
      <c r="CM132" s="58"/>
      <c r="CN132" s="58"/>
      <c r="CO132" s="58"/>
      <c r="CP132" s="58"/>
      <c r="CQ132" s="58"/>
      <c r="CR132" s="36"/>
    </row>
    <row r="133" spans="1:96" x14ac:dyDescent="0.35">
      <c r="A133" s="92"/>
      <c r="B133" s="36"/>
      <c r="C133" s="36"/>
      <c r="D133" s="36"/>
      <c r="E133" s="92" t="s">
        <v>532</v>
      </c>
      <c r="F133" s="36"/>
      <c r="G133" s="92" t="str">
        <f t="shared" si="14"/>
        <v>£m</v>
      </c>
      <c r="H133" s="101">
        <f>SUM(H127:H131)</f>
        <v>21681.406972988843</v>
      </c>
      <c r="I133" s="112" t="s">
        <v>120</v>
      </c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1"/>
      <c r="AD133" s="101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1"/>
      <c r="AP133" s="101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1"/>
      <c r="BB133" s="101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1"/>
      <c r="BN133" s="101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1"/>
      <c r="BZ133" s="101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1"/>
      <c r="CM133" s="101"/>
      <c r="CN133" s="101"/>
      <c r="CO133" s="101"/>
      <c r="CP133" s="101"/>
      <c r="CQ133" s="58"/>
      <c r="CR133" s="92" t="s">
        <v>360</v>
      </c>
    </row>
    <row r="134" spans="1:96" x14ac:dyDescent="0.35">
      <c r="A134" s="36"/>
      <c r="B134" s="36"/>
      <c r="C134" s="36"/>
      <c r="D134" s="36"/>
      <c r="E134" s="92" t="s">
        <v>533</v>
      </c>
      <c r="F134" s="36"/>
      <c r="G134" s="92" t="s">
        <v>502</v>
      </c>
      <c r="H134" s="101" t="b">
        <f>H133 &gt; 0</f>
        <v>1</v>
      </c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1"/>
      <c r="AD134" s="101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1"/>
      <c r="AP134" s="101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1"/>
      <c r="BB134" s="101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1"/>
      <c r="BN134" s="101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1"/>
      <c r="BZ134" s="101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1"/>
      <c r="CM134" s="101"/>
      <c r="CN134" s="101"/>
      <c r="CO134" s="101"/>
      <c r="CP134" s="101"/>
      <c r="CQ134" s="58"/>
      <c r="CR134" s="36"/>
    </row>
    <row r="135" spans="1:96" x14ac:dyDescent="0.35">
      <c r="A135" s="36"/>
      <c r="B135" s="36"/>
      <c r="C135" s="36"/>
      <c r="D135" s="36"/>
      <c r="E135" s="86"/>
      <c r="F135" s="36"/>
      <c r="G135" s="36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  <c r="AQ135" s="58"/>
      <c r="AR135" s="58"/>
      <c r="AS135" s="58"/>
      <c r="AT135" s="58"/>
      <c r="AU135" s="58"/>
      <c r="AV135" s="58"/>
      <c r="AW135" s="58"/>
      <c r="AX135" s="58"/>
      <c r="AY135" s="58"/>
      <c r="AZ135" s="58"/>
      <c r="BA135" s="58"/>
      <c r="BB135" s="58"/>
      <c r="BC135" s="58"/>
      <c r="BD135" s="58"/>
      <c r="BE135" s="58"/>
      <c r="BF135" s="58"/>
      <c r="BG135" s="58"/>
      <c r="BH135" s="58"/>
      <c r="BI135" s="58"/>
      <c r="BJ135" s="58"/>
      <c r="BK135" s="58"/>
      <c r="BL135" s="58"/>
      <c r="BM135" s="58"/>
      <c r="BN135" s="58"/>
      <c r="BO135" s="58"/>
      <c r="BP135" s="58"/>
      <c r="BQ135" s="58"/>
      <c r="BR135" s="58"/>
      <c r="BS135" s="58"/>
      <c r="BT135" s="58"/>
      <c r="BU135" s="58"/>
      <c r="BV135" s="58"/>
      <c r="BW135" s="58"/>
      <c r="BX135" s="58"/>
      <c r="BY135" s="58"/>
      <c r="BZ135" s="58"/>
      <c r="CA135" s="58"/>
      <c r="CB135" s="58"/>
      <c r="CC135" s="58"/>
      <c r="CD135" s="58"/>
      <c r="CE135" s="58"/>
      <c r="CF135" s="58"/>
      <c r="CG135" s="58"/>
      <c r="CH135" s="58"/>
      <c r="CI135" s="58"/>
      <c r="CJ135" s="58"/>
      <c r="CK135" s="58"/>
      <c r="CL135" s="58"/>
      <c r="CM135" s="58"/>
      <c r="CN135" s="58"/>
      <c r="CO135" s="58"/>
      <c r="CP135" s="58"/>
      <c r="CQ135" s="58"/>
      <c r="CR135" s="36"/>
    </row>
    <row r="136" spans="1:96" x14ac:dyDescent="0.35">
      <c r="A136" s="92"/>
      <c r="B136" s="36"/>
      <c r="C136" s="36"/>
      <c r="D136" s="36"/>
      <c r="E136" s="89" t="s">
        <v>534</v>
      </c>
      <c r="F136" s="36"/>
      <c r="G136" s="36"/>
      <c r="H136" s="58"/>
      <c r="I136" s="103" t="s">
        <v>120</v>
      </c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  <c r="AP136" s="58"/>
      <c r="AQ136" s="58"/>
      <c r="AR136" s="58"/>
      <c r="AS136" s="58"/>
      <c r="AT136" s="58"/>
      <c r="AU136" s="58"/>
      <c r="AV136" s="58"/>
      <c r="AW136" s="58"/>
      <c r="AX136" s="58"/>
      <c r="AY136" s="58"/>
      <c r="AZ136" s="58"/>
      <c r="BA136" s="58"/>
      <c r="BB136" s="58"/>
      <c r="BC136" s="58"/>
      <c r="BD136" s="58"/>
      <c r="BE136" s="58"/>
      <c r="BF136" s="58"/>
      <c r="BG136" s="58"/>
      <c r="BH136" s="58"/>
      <c r="BI136" s="58"/>
      <c r="BJ136" s="58"/>
      <c r="BK136" s="58"/>
      <c r="BL136" s="58"/>
      <c r="BM136" s="58"/>
      <c r="BN136" s="58"/>
      <c r="BO136" s="58"/>
      <c r="BP136" s="58"/>
      <c r="BQ136" s="58"/>
      <c r="BR136" s="58"/>
      <c r="BS136" s="58"/>
      <c r="BT136" s="58"/>
      <c r="BU136" s="58"/>
      <c r="BV136" s="58"/>
      <c r="BW136" s="58"/>
      <c r="BX136" s="58"/>
      <c r="BY136" s="58"/>
      <c r="BZ136" s="58"/>
      <c r="CA136" s="58"/>
      <c r="CB136" s="58"/>
      <c r="CC136" s="58"/>
      <c r="CD136" s="58"/>
      <c r="CE136" s="58"/>
      <c r="CF136" s="58"/>
      <c r="CG136" s="58"/>
      <c r="CH136" s="58"/>
      <c r="CI136" s="58"/>
      <c r="CJ136" s="58"/>
      <c r="CK136" s="58"/>
      <c r="CL136" s="58"/>
      <c r="CM136" s="58"/>
      <c r="CN136" s="58"/>
      <c r="CO136" s="58"/>
      <c r="CP136" s="58"/>
      <c r="CQ136" s="58"/>
      <c r="CR136" s="92" t="s">
        <v>360</v>
      </c>
    </row>
    <row r="137" spans="1:96" x14ac:dyDescent="0.35">
      <c r="A137" s="36"/>
      <c r="B137" s="36"/>
      <c r="C137" s="36"/>
      <c r="D137" s="36"/>
      <c r="E137" s="36"/>
      <c r="F137" s="90" t="s">
        <v>196</v>
      </c>
      <c r="G137" s="90" t="s">
        <v>119</v>
      </c>
      <c r="H137" s="120">
        <f>IF(H$134, H127 / H$133, 0)</f>
        <v>0.27634592176728717</v>
      </c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6"/>
      <c r="W137" s="106"/>
      <c r="X137" s="106"/>
      <c r="Y137" s="106"/>
      <c r="Z137" s="106"/>
      <c r="AA137" s="106"/>
      <c r="AB137" s="106"/>
      <c r="AC137" s="106"/>
      <c r="AD137" s="106"/>
      <c r="AE137" s="106"/>
      <c r="AF137" s="106"/>
      <c r="AG137" s="106"/>
      <c r="AH137" s="106"/>
      <c r="AI137" s="106"/>
      <c r="AJ137" s="106"/>
      <c r="AK137" s="106"/>
      <c r="AL137" s="106"/>
      <c r="AM137" s="106"/>
      <c r="AN137" s="106"/>
      <c r="AO137" s="106"/>
      <c r="AP137" s="106"/>
      <c r="AQ137" s="106"/>
      <c r="AR137" s="106"/>
      <c r="AS137" s="106"/>
      <c r="AT137" s="106"/>
      <c r="AU137" s="106"/>
      <c r="AV137" s="106"/>
      <c r="AW137" s="106"/>
      <c r="AX137" s="106"/>
      <c r="AY137" s="106"/>
      <c r="AZ137" s="106"/>
      <c r="BA137" s="106"/>
      <c r="BB137" s="106"/>
      <c r="BC137" s="106"/>
      <c r="BD137" s="106"/>
      <c r="BE137" s="106"/>
      <c r="BF137" s="106"/>
      <c r="BG137" s="106"/>
      <c r="BH137" s="106"/>
      <c r="BI137" s="106"/>
      <c r="BJ137" s="106"/>
      <c r="BK137" s="106"/>
      <c r="BL137" s="106"/>
      <c r="BM137" s="106"/>
      <c r="BN137" s="106"/>
      <c r="BO137" s="106"/>
      <c r="BP137" s="106"/>
      <c r="BQ137" s="106"/>
      <c r="BR137" s="106"/>
      <c r="BS137" s="106"/>
      <c r="BT137" s="106"/>
      <c r="BU137" s="106"/>
      <c r="BV137" s="106"/>
      <c r="BW137" s="106"/>
      <c r="BX137" s="106"/>
      <c r="BY137" s="106"/>
      <c r="BZ137" s="106"/>
      <c r="CA137" s="106"/>
      <c r="CB137" s="106"/>
      <c r="CC137" s="106"/>
      <c r="CD137" s="106"/>
      <c r="CE137" s="106"/>
      <c r="CF137" s="106"/>
      <c r="CG137" s="106"/>
      <c r="CH137" s="106"/>
      <c r="CI137" s="106"/>
      <c r="CJ137" s="106"/>
      <c r="CK137" s="106"/>
      <c r="CL137" s="106"/>
      <c r="CM137" s="106"/>
      <c r="CN137" s="106"/>
      <c r="CO137" s="106"/>
      <c r="CP137" s="106"/>
      <c r="CQ137" s="58"/>
      <c r="CR137" s="36"/>
    </row>
    <row r="138" spans="1:96" x14ac:dyDescent="0.35">
      <c r="A138" s="36"/>
      <c r="B138" s="36"/>
      <c r="C138" s="36"/>
      <c r="D138" s="36"/>
      <c r="E138" s="36"/>
      <c r="F138" s="92" t="s">
        <v>197</v>
      </c>
      <c r="G138" s="92" t="s">
        <v>119</v>
      </c>
      <c r="H138" s="121">
        <f>IF(H$134, H128 / H$133, 0)</f>
        <v>0.28549488975711385</v>
      </c>
      <c r="I138" s="106"/>
      <c r="J138" s="106"/>
      <c r="K138" s="106"/>
      <c r="L138" s="106"/>
      <c r="M138" s="106"/>
      <c r="N138" s="106"/>
      <c r="O138" s="106"/>
      <c r="P138" s="106"/>
      <c r="Q138" s="106"/>
      <c r="R138" s="106"/>
      <c r="S138" s="106"/>
      <c r="T138" s="106"/>
      <c r="U138" s="106"/>
      <c r="V138" s="106"/>
      <c r="W138" s="106"/>
      <c r="X138" s="106"/>
      <c r="Y138" s="106"/>
      <c r="Z138" s="106"/>
      <c r="AA138" s="106"/>
      <c r="AB138" s="106"/>
      <c r="AC138" s="106"/>
      <c r="AD138" s="106"/>
      <c r="AE138" s="106"/>
      <c r="AF138" s="106"/>
      <c r="AG138" s="106"/>
      <c r="AH138" s="106"/>
      <c r="AI138" s="106"/>
      <c r="AJ138" s="106"/>
      <c r="AK138" s="106"/>
      <c r="AL138" s="106"/>
      <c r="AM138" s="106"/>
      <c r="AN138" s="106"/>
      <c r="AO138" s="106"/>
      <c r="AP138" s="106"/>
      <c r="AQ138" s="106"/>
      <c r="AR138" s="106"/>
      <c r="AS138" s="106"/>
      <c r="AT138" s="106"/>
      <c r="AU138" s="106"/>
      <c r="AV138" s="106"/>
      <c r="AW138" s="106"/>
      <c r="AX138" s="106"/>
      <c r="AY138" s="106"/>
      <c r="AZ138" s="106"/>
      <c r="BA138" s="106"/>
      <c r="BB138" s="106"/>
      <c r="BC138" s="106"/>
      <c r="BD138" s="106"/>
      <c r="BE138" s="106"/>
      <c r="BF138" s="106"/>
      <c r="BG138" s="106"/>
      <c r="BH138" s="106"/>
      <c r="BI138" s="106"/>
      <c r="BJ138" s="106"/>
      <c r="BK138" s="106"/>
      <c r="BL138" s="106"/>
      <c r="BM138" s="106"/>
      <c r="BN138" s="106"/>
      <c r="BO138" s="106"/>
      <c r="BP138" s="106"/>
      <c r="BQ138" s="106"/>
      <c r="BR138" s="106"/>
      <c r="BS138" s="106"/>
      <c r="BT138" s="106"/>
      <c r="BU138" s="106"/>
      <c r="BV138" s="106"/>
      <c r="BW138" s="106"/>
      <c r="BX138" s="106"/>
      <c r="BY138" s="106"/>
      <c r="BZ138" s="106"/>
      <c r="CA138" s="106"/>
      <c r="CB138" s="106"/>
      <c r="CC138" s="106"/>
      <c r="CD138" s="106"/>
      <c r="CE138" s="106"/>
      <c r="CF138" s="106"/>
      <c r="CG138" s="106"/>
      <c r="CH138" s="106"/>
      <c r="CI138" s="106"/>
      <c r="CJ138" s="106"/>
      <c r="CK138" s="106"/>
      <c r="CL138" s="106"/>
      <c r="CM138" s="106"/>
      <c r="CN138" s="106"/>
      <c r="CO138" s="106"/>
      <c r="CP138" s="106"/>
      <c r="CQ138" s="58"/>
      <c r="CR138" s="36"/>
    </row>
    <row r="139" spans="1:96" x14ac:dyDescent="0.35">
      <c r="A139" s="36"/>
      <c r="B139" s="36"/>
      <c r="C139" s="36"/>
      <c r="D139" s="36"/>
      <c r="E139" s="36"/>
      <c r="F139" s="92" t="s">
        <v>198</v>
      </c>
      <c r="G139" s="92" t="s">
        <v>119</v>
      </c>
      <c r="H139" s="121">
        <f>IF(H$134, H129 / H$133, 0)</f>
        <v>7.088551198485922E-2</v>
      </c>
      <c r="I139" s="106"/>
      <c r="J139" s="106"/>
      <c r="K139" s="106"/>
      <c r="L139" s="106"/>
      <c r="M139" s="106"/>
      <c r="N139" s="106"/>
      <c r="O139" s="106"/>
      <c r="P139" s="106"/>
      <c r="Q139" s="106"/>
      <c r="R139" s="106"/>
      <c r="S139" s="106"/>
      <c r="T139" s="106"/>
      <c r="U139" s="106"/>
      <c r="V139" s="106"/>
      <c r="W139" s="106"/>
      <c r="X139" s="106"/>
      <c r="Y139" s="106"/>
      <c r="Z139" s="106"/>
      <c r="AA139" s="106"/>
      <c r="AB139" s="106"/>
      <c r="AC139" s="106"/>
      <c r="AD139" s="106"/>
      <c r="AE139" s="106"/>
      <c r="AF139" s="106"/>
      <c r="AG139" s="106"/>
      <c r="AH139" s="106"/>
      <c r="AI139" s="106"/>
      <c r="AJ139" s="106"/>
      <c r="AK139" s="106"/>
      <c r="AL139" s="106"/>
      <c r="AM139" s="106"/>
      <c r="AN139" s="106"/>
      <c r="AO139" s="106"/>
      <c r="AP139" s="106"/>
      <c r="AQ139" s="106"/>
      <c r="AR139" s="106"/>
      <c r="AS139" s="106"/>
      <c r="AT139" s="106"/>
      <c r="AU139" s="106"/>
      <c r="AV139" s="106"/>
      <c r="AW139" s="106"/>
      <c r="AX139" s="106"/>
      <c r="AY139" s="106"/>
      <c r="AZ139" s="106"/>
      <c r="BA139" s="106"/>
      <c r="BB139" s="106"/>
      <c r="BC139" s="106"/>
      <c r="BD139" s="106"/>
      <c r="BE139" s="106"/>
      <c r="BF139" s="106"/>
      <c r="BG139" s="106"/>
      <c r="BH139" s="106"/>
      <c r="BI139" s="106"/>
      <c r="BJ139" s="106"/>
      <c r="BK139" s="106"/>
      <c r="BL139" s="106"/>
      <c r="BM139" s="106"/>
      <c r="BN139" s="106"/>
      <c r="BO139" s="106"/>
      <c r="BP139" s="106"/>
      <c r="BQ139" s="106"/>
      <c r="BR139" s="106"/>
      <c r="BS139" s="106"/>
      <c r="BT139" s="106"/>
      <c r="BU139" s="106"/>
      <c r="BV139" s="106"/>
      <c r="BW139" s="106"/>
      <c r="BX139" s="106"/>
      <c r="BY139" s="106"/>
      <c r="BZ139" s="106"/>
      <c r="CA139" s="106"/>
      <c r="CB139" s="106"/>
      <c r="CC139" s="106"/>
      <c r="CD139" s="106"/>
      <c r="CE139" s="106"/>
      <c r="CF139" s="106"/>
      <c r="CG139" s="106"/>
      <c r="CH139" s="106"/>
      <c r="CI139" s="106"/>
      <c r="CJ139" s="106"/>
      <c r="CK139" s="106"/>
      <c r="CL139" s="106"/>
      <c r="CM139" s="106"/>
      <c r="CN139" s="106"/>
      <c r="CO139" s="106"/>
      <c r="CP139" s="106"/>
      <c r="CQ139" s="58"/>
      <c r="CR139" s="36"/>
    </row>
    <row r="140" spans="1:96" x14ac:dyDescent="0.35">
      <c r="A140" s="36"/>
      <c r="B140" s="36"/>
      <c r="C140" s="36"/>
      <c r="D140" s="36"/>
      <c r="E140" s="36"/>
      <c r="F140" s="92" t="s">
        <v>199</v>
      </c>
      <c r="G140" s="92" t="s">
        <v>119</v>
      </c>
      <c r="H140" s="121">
        <f>IF(H$134, H130 / H$133, 0)</f>
        <v>0.21266664111859618</v>
      </c>
      <c r="I140" s="106"/>
      <c r="J140" s="106"/>
      <c r="K140" s="106"/>
      <c r="L140" s="106"/>
      <c r="M140" s="106"/>
      <c r="N140" s="106"/>
      <c r="O140" s="106"/>
      <c r="P140" s="106"/>
      <c r="Q140" s="106"/>
      <c r="R140" s="106"/>
      <c r="S140" s="106"/>
      <c r="T140" s="106"/>
      <c r="U140" s="106"/>
      <c r="V140" s="106"/>
      <c r="W140" s="106"/>
      <c r="X140" s="106"/>
      <c r="Y140" s="106"/>
      <c r="Z140" s="106"/>
      <c r="AA140" s="106"/>
      <c r="AB140" s="106"/>
      <c r="AC140" s="106"/>
      <c r="AD140" s="106"/>
      <c r="AE140" s="106"/>
      <c r="AF140" s="106"/>
      <c r="AG140" s="106"/>
      <c r="AH140" s="106"/>
      <c r="AI140" s="106"/>
      <c r="AJ140" s="106"/>
      <c r="AK140" s="106"/>
      <c r="AL140" s="106"/>
      <c r="AM140" s="106"/>
      <c r="AN140" s="106"/>
      <c r="AO140" s="106"/>
      <c r="AP140" s="106"/>
      <c r="AQ140" s="106"/>
      <c r="AR140" s="106"/>
      <c r="AS140" s="106"/>
      <c r="AT140" s="106"/>
      <c r="AU140" s="106"/>
      <c r="AV140" s="106"/>
      <c r="AW140" s="106"/>
      <c r="AX140" s="106"/>
      <c r="AY140" s="106"/>
      <c r="AZ140" s="106"/>
      <c r="BA140" s="106"/>
      <c r="BB140" s="106"/>
      <c r="BC140" s="106"/>
      <c r="BD140" s="106"/>
      <c r="BE140" s="106"/>
      <c r="BF140" s="106"/>
      <c r="BG140" s="106"/>
      <c r="BH140" s="106"/>
      <c r="BI140" s="106"/>
      <c r="BJ140" s="106"/>
      <c r="BK140" s="106"/>
      <c r="BL140" s="106"/>
      <c r="BM140" s="106"/>
      <c r="BN140" s="106"/>
      <c r="BO140" s="106"/>
      <c r="BP140" s="106"/>
      <c r="BQ140" s="106"/>
      <c r="BR140" s="106"/>
      <c r="BS140" s="106"/>
      <c r="BT140" s="106"/>
      <c r="BU140" s="106"/>
      <c r="BV140" s="106"/>
      <c r="BW140" s="106"/>
      <c r="BX140" s="106"/>
      <c r="BY140" s="106"/>
      <c r="BZ140" s="106"/>
      <c r="CA140" s="106"/>
      <c r="CB140" s="106"/>
      <c r="CC140" s="106"/>
      <c r="CD140" s="106"/>
      <c r="CE140" s="106"/>
      <c r="CF140" s="106"/>
      <c r="CG140" s="106"/>
      <c r="CH140" s="106"/>
      <c r="CI140" s="106"/>
      <c r="CJ140" s="106"/>
      <c r="CK140" s="106"/>
      <c r="CL140" s="106"/>
      <c r="CM140" s="106"/>
      <c r="CN140" s="106"/>
      <c r="CO140" s="106"/>
      <c r="CP140" s="106"/>
      <c r="CQ140" s="58"/>
      <c r="CR140" s="36"/>
    </row>
    <row r="141" spans="1:96" x14ac:dyDescent="0.35">
      <c r="A141" s="36"/>
      <c r="B141" s="36"/>
      <c r="C141" s="36"/>
      <c r="D141" s="36"/>
      <c r="E141" s="36"/>
      <c r="F141" s="94" t="s">
        <v>201</v>
      </c>
      <c r="G141" s="94" t="s">
        <v>119</v>
      </c>
      <c r="H141" s="122">
        <f>IF(H$134, H131 / H$133, 0)</f>
        <v>0.15460703537214351</v>
      </c>
      <c r="I141" s="106"/>
      <c r="J141" s="106"/>
      <c r="K141" s="106"/>
      <c r="L141" s="106"/>
      <c r="M141" s="106"/>
      <c r="N141" s="106"/>
      <c r="O141" s="106"/>
      <c r="P141" s="106"/>
      <c r="Q141" s="106"/>
      <c r="R141" s="106"/>
      <c r="S141" s="106"/>
      <c r="T141" s="106"/>
      <c r="U141" s="106"/>
      <c r="V141" s="106"/>
      <c r="W141" s="106"/>
      <c r="X141" s="106"/>
      <c r="Y141" s="106"/>
      <c r="Z141" s="106"/>
      <c r="AA141" s="106"/>
      <c r="AB141" s="106"/>
      <c r="AC141" s="106"/>
      <c r="AD141" s="106"/>
      <c r="AE141" s="106"/>
      <c r="AF141" s="106"/>
      <c r="AG141" s="106"/>
      <c r="AH141" s="106"/>
      <c r="AI141" s="106"/>
      <c r="AJ141" s="106"/>
      <c r="AK141" s="106"/>
      <c r="AL141" s="106"/>
      <c r="AM141" s="106"/>
      <c r="AN141" s="106"/>
      <c r="AO141" s="106"/>
      <c r="AP141" s="106"/>
      <c r="AQ141" s="106"/>
      <c r="AR141" s="106"/>
      <c r="AS141" s="106"/>
      <c r="AT141" s="106"/>
      <c r="AU141" s="106"/>
      <c r="AV141" s="106"/>
      <c r="AW141" s="106"/>
      <c r="AX141" s="106"/>
      <c r="AY141" s="106"/>
      <c r="AZ141" s="106"/>
      <c r="BA141" s="106"/>
      <c r="BB141" s="106"/>
      <c r="BC141" s="106"/>
      <c r="BD141" s="106"/>
      <c r="BE141" s="106"/>
      <c r="BF141" s="106"/>
      <c r="BG141" s="106"/>
      <c r="BH141" s="106"/>
      <c r="BI141" s="106"/>
      <c r="BJ141" s="106"/>
      <c r="BK141" s="106"/>
      <c r="BL141" s="106"/>
      <c r="BM141" s="106"/>
      <c r="BN141" s="106"/>
      <c r="BO141" s="106"/>
      <c r="BP141" s="106"/>
      <c r="BQ141" s="106"/>
      <c r="BR141" s="106"/>
      <c r="BS141" s="106"/>
      <c r="BT141" s="106"/>
      <c r="BU141" s="106"/>
      <c r="BV141" s="106"/>
      <c r="BW141" s="106"/>
      <c r="BX141" s="106"/>
      <c r="BY141" s="106"/>
      <c r="BZ141" s="106"/>
      <c r="CA141" s="106"/>
      <c r="CB141" s="106"/>
      <c r="CC141" s="106"/>
      <c r="CD141" s="106"/>
      <c r="CE141" s="106"/>
      <c r="CF141" s="106"/>
      <c r="CG141" s="106"/>
      <c r="CH141" s="106"/>
      <c r="CI141" s="106"/>
      <c r="CJ141" s="106"/>
      <c r="CK141" s="106"/>
      <c r="CL141" s="106"/>
      <c r="CM141" s="106"/>
      <c r="CN141" s="106"/>
      <c r="CO141" s="106"/>
      <c r="CP141" s="106"/>
      <c r="CQ141" s="58"/>
      <c r="CR141" s="36"/>
    </row>
    <row r="142" spans="1:96" x14ac:dyDescent="0.35">
      <c r="A142" s="36"/>
      <c r="B142" s="36"/>
      <c r="C142" s="36"/>
      <c r="D142" s="36"/>
      <c r="E142" s="36"/>
      <c r="F142" s="36"/>
      <c r="G142" s="36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  <c r="AP142" s="58"/>
      <c r="AQ142" s="58"/>
      <c r="AR142" s="58"/>
      <c r="AS142" s="58"/>
      <c r="AT142" s="58"/>
      <c r="AU142" s="58"/>
      <c r="AV142" s="58"/>
      <c r="AW142" s="58"/>
      <c r="AX142" s="58"/>
      <c r="AY142" s="58"/>
      <c r="AZ142" s="58"/>
      <c r="BA142" s="58"/>
      <c r="BB142" s="58"/>
      <c r="BC142" s="58"/>
      <c r="BD142" s="58"/>
      <c r="BE142" s="58"/>
      <c r="BF142" s="58"/>
      <c r="BG142" s="58"/>
      <c r="BH142" s="58"/>
      <c r="BI142" s="58"/>
      <c r="BJ142" s="58"/>
      <c r="BK142" s="58"/>
      <c r="BL142" s="58"/>
      <c r="BM142" s="58"/>
      <c r="BN142" s="58"/>
      <c r="BO142" s="58"/>
      <c r="BP142" s="58"/>
      <c r="BQ142" s="58"/>
      <c r="BR142" s="58"/>
      <c r="BS142" s="58"/>
      <c r="BT142" s="58"/>
      <c r="BU142" s="58"/>
      <c r="BV142" s="58"/>
      <c r="BW142" s="58"/>
      <c r="BX142" s="58"/>
      <c r="BY142" s="58"/>
      <c r="BZ142" s="58"/>
      <c r="CA142" s="58"/>
      <c r="CB142" s="58"/>
      <c r="CC142" s="58"/>
      <c r="CD142" s="58"/>
      <c r="CE142" s="58"/>
      <c r="CF142" s="58"/>
      <c r="CG142" s="58"/>
      <c r="CH142" s="58"/>
      <c r="CI142" s="58"/>
      <c r="CJ142" s="58"/>
      <c r="CK142" s="58"/>
      <c r="CL142" s="58"/>
      <c r="CM142" s="58"/>
      <c r="CN142" s="58"/>
      <c r="CO142" s="58"/>
      <c r="CP142" s="58"/>
      <c r="CQ142" s="58"/>
      <c r="CR142" s="36"/>
    </row>
    <row r="143" spans="1:96" x14ac:dyDescent="0.35">
      <c r="A143" s="36"/>
      <c r="B143" s="36"/>
      <c r="C143" s="36"/>
      <c r="D143" s="36"/>
      <c r="E143" s="92" t="s">
        <v>507</v>
      </c>
      <c r="F143" s="36"/>
      <c r="G143" s="92" t="s">
        <v>73</v>
      </c>
      <c r="H143" s="107">
        <f>IF(SUM(H137:H141) = 1, 0, 1)</f>
        <v>0</v>
      </c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07"/>
      <c r="BG143" s="107"/>
      <c r="BH143" s="107"/>
      <c r="BI143" s="107"/>
      <c r="BJ143" s="107"/>
      <c r="BK143" s="107"/>
      <c r="BL143" s="107"/>
      <c r="BM143" s="107"/>
      <c r="BN143" s="107"/>
      <c r="BO143" s="107"/>
      <c r="BP143" s="107"/>
      <c r="BQ143" s="107"/>
      <c r="BR143" s="107"/>
      <c r="BS143" s="107"/>
      <c r="BT143" s="107"/>
      <c r="BU143" s="107"/>
      <c r="BV143" s="107"/>
      <c r="BW143" s="107"/>
      <c r="BX143" s="107"/>
      <c r="BY143" s="107"/>
      <c r="BZ143" s="107"/>
      <c r="CA143" s="107"/>
      <c r="CB143" s="107"/>
      <c r="CC143" s="107"/>
      <c r="CD143" s="107"/>
      <c r="CE143" s="107"/>
      <c r="CF143" s="107"/>
      <c r="CG143" s="107"/>
      <c r="CH143" s="107"/>
      <c r="CI143" s="107"/>
      <c r="CJ143" s="107"/>
      <c r="CK143" s="107"/>
      <c r="CL143" s="107"/>
      <c r="CM143" s="107"/>
      <c r="CN143" s="107"/>
      <c r="CO143" s="107"/>
      <c r="CP143" s="107"/>
      <c r="CQ143" s="58"/>
      <c r="CR143" s="36"/>
    </row>
    <row r="144" spans="1:96" x14ac:dyDescent="0.35">
      <c r="A144" s="36"/>
      <c r="B144" s="36"/>
      <c r="C144" s="36"/>
      <c r="D144" s="36"/>
      <c r="E144" s="86"/>
      <c r="F144" s="36"/>
      <c r="G144" s="36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  <c r="AQ144" s="58"/>
      <c r="AR144" s="58"/>
      <c r="AS144" s="58"/>
      <c r="AT144" s="58"/>
      <c r="AU144" s="58"/>
      <c r="AV144" s="58"/>
      <c r="AW144" s="58"/>
      <c r="AX144" s="58"/>
      <c r="AY144" s="58"/>
      <c r="AZ144" s="58"/>
      <c r="BA144" s="58"/>
      <c r="BB144" s="58"/>
      <c r="BC144" s="58"/>
      <c r="BD144" s="58"/>
      <c r="BE144" s="58"/>
      <c r="BF144" s="58"/>
      <c r="BG144" s="58"/>
      <c r="BH144" s="58"/>
      <c r="BI144" s="58"/>
      <c r="BJ144" s="58"/>
      <c r="BK144" s="58"/>
      <c r="BL144" s="58"/>
      <c r="BM144" s="58"/>
      <c r="BN144" s="58"/>
      <c r="BO144" s="58"/>
      <c r="BP144" s="58"/>
      <c r="BQ144" s="58"/>
      <c r="BR144" s="58"/>
      <c r="BS144" s="58"/>
      <c r="BT144" s="58"/>
      <c r="BU144" s="58"/>
      <c r="BV144" s="58"/>
      <c r="BW144" s="58"/>
      <c r="BX144" s="58"/>
      <c r="BY144" s="58"/>
      <c r="BZ144" s="58"/>
      <c r="CA144" s="58"/>
      <c r="CB144" s="58"/>
      <c r="CC144" s="58"/>
      <c r="CD144" s="58"/>
      <c r="CE144" s="58"/>
      <c r="CF144" s="58"/>
      <c r="CG144" s="58"/>
      <c r="CH144" s="58"/>
      <c r="CI144" s="58"/>
      <c r="CJ144" s="58"/>
      <c r="CK144" s="58"/>
      <c r="CL144" s="58"/>
      <c r="CM144" s="58"/>
      <c r="CN144" s="58"/>
      <c r="CO144" s="58"/>
      <c r="CP144" s="58"/>
      <c r="CQ144" s="58"/>
      <c r="CR144" s="36"/>
    </row>
    <row r="145" spans="1:96" x14ac:dyDescent="0.35">
      <c r="A145" s="36"/>
      <c r="B145" s="84" t="s">
        <v>535</v>
      </c>
      <c r="C145" s="84"/>
      <c r="D145" s="84"/>
      <c r="E145" s="84"/>
      <c r="F145" s="84"/>
      <c r="G145" s="84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85"/>
      <c r="AC145" s="85"/>
      <c r="AD145" s="85"/>
      <c r="AE145" s="85"/>
      <c r="AF145" s="85"/>
      <c r="AG145" s="85"/>
      <c r="AH145" s="85"/>
      <c r="AI145" s="85"/>
      <c r="AJ145" s="85"/>
      <c r="AK145" s="85"/>
      <c r="AL145" s="85"/>
      <c r="AM145" s="85"/>
      <c r="AN145" s="85"/>
      <c r="AO145" s="85"/>
      <c r="AP145" s="85"/>
      <c r="AQ145" s="85"/>
      <c r="AR145" s="85"/>
      <c r="AS145" s="85"/>
      <c r="AT145" s="85"/>
      <c r="AU145" s="85"/>
      <c r="AV145" s="85"/>
      <c r="AW145" s="85"/>
      <c r="AX145" s="85"/>
      <c r="AY145" s="85"/>
      <c r="AZ145" s="85"/>
      <c r="BA145" s="85"/>
      <c r="BB145" s="85"/>
      <c r="BC145" s="85"/>
      <c r="BD145" s="85"/>
      <c r="BE145" s="85"/>
      <c r="BF145" s="85"/>
      <c r="BG145" s="85"/>
      <c r="BH145" s="85"/>
      <c r="BI145" s="85"/>
      <c r="BJ145" s="85"/>
      <c r="BK145" s="85"/>
      <c r="BL145" s="85"/>
      <c r="BM145" s="85"/>
      <c r="BN145" s="85"/>
      <c r="BO145" s="85"/>
      <c r="BP145" s="85"/>
      <c r="BQ145" s="85"/>
      <c r="BR145" s="85"/>
      <c r="BS145" s="85"/>
      <c r="BT145" s="85"/>
      <c r="BU145" s="85"/>
      <c r="BV145" s="85"/>
      <c r="BW145" s="85"/>
      <c r="BX145" s="85"/>
      <c r="BY145" s="85"/>
      <c r="BZ145" s="85"/>
      <c r="CA145" s="85"/>
      <c r="CB145" s="85"/>
      <c r="CC145" s="85"/>
      <c r="CD145" s="85"/>
      <c r="CE145" s="85"/>
      <c r="CF145" s="85"/>
      <c r="CG145" s="85"/>
      <c r="CH145" s="85"/>
      <c r="CI145" s="85"/>
      <c r="CJ145" s="85"/>
      <c r="CK145" s="85"/>
      <c r="CL145" s="85"/>
      <c r="CM145" s="85"/>
      <c r="CN145" s="85"/>
      <c r="CO145" s="85"/>
      <c r="CP145" s="85"/>
      <c r="CQ145" s="85"/>
      <c r="CR145" s="84"/>
    </row>
    <row r="146" spans="1:96" x14ac:dyDescent="0.35">
      <c r="A146" s="36"/>
      <c r="B146" s="36"/>
      <c r="C146" s="36"/>
      <c r="D146" s="36"/>
      <c r="E146" s="36"/>
      <c r="F146" s="36"/>
      <c r="G146" s="36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  <c r="AQ146" s="58"/>
      <c r="AR146" s="58"/>
      <c r="AS146" s="58"/>
      <c r="AT146" s="58"/>
      <c r="AU146" s="58"/>
      <c r="AV146" s="58"/>
      <c r="AW146" s="58"/>
      <c r="AX146" s="58"/>
      <c r="AY146" s="58"/>
      <c r="AZ146" s="58"/>
      <c r="BA146" s="58"/>
      <c r="BB146" s="58"/>
      <c r="BC146" s="58"/>
      <c r="BD146" s="58"/>
      <c r="BE146" s="58"/>
      <c r="BF146" s="58"/>
      <c r="BG146" s="58"/>
      <c r="BH146" s="58"/>
      <c r="BI146" s="58"/>
      <c r="BJ146" s="58"/>
      <c r="BK146" s="58"/>
      <c r="BL146" s="58"/>
      <c r="BM146" s="58"/>
      <c r="BN146" s="58"/>
      <c r="BO146" s="58"/>
      <c r="BP146" s="58"/>
      <c r="BQ146" s="58"/>
      <c r="BR146" s="58"/>
      <c r="BS146" s="58"/>
      <c r="BT146" s="58"/>
      <c r="BU146" s="58"/>
      <c r="BV146" s="58"/>
      <c r="BW146" s="58"/>
      <c r="BX146" s="58"/>
      <c r="BY146" s="58"/>
      <c r="BZ146" s="58"/>
      <c r="CA146" s="58"/>
      <c r="CB146" s="58"/>
      <c r="CC146" s="58"/>
      <c r="CD146" s="58"/>
      <c r="CE146" s="58"/>
      <c r="CF146" s="58"/>
      <c r="CG146" s="58"/>
      <c r="CH146" s="58"/>
      <c r="CI146" s="58"/>
      <c r="CJ146" s="58"/>
      <c r="CK146" s="58"/>
      <c r="CL146" s="58"/>
      <c r="CM146" s="58"/>
      <c r="CN146" s="58"/>
      <c r="CO146" s="58"/>
      <c r="CP146" s="58"/>
      <c r="CQ146" s="58"/>
      <c r="CR146" s="36"/>
    </row>
    <row r="147" spans="1:96" x14ac:dyDescent="0.35">
      <c r="A147" s="36"/>
      <c r="B147" s="36"/>
      <c r="C147" s="86"/>
      <c r="D147" s="86"/>
      <c r="E147" s="92" t="s">
        <v>496</v>
      </c>
      <c r="F147" s="36"/>
      <c r="G147" s="92" t="s">
        <v>73</v>
      </c>
      <c r="H147" s="126">
        <f>H39 + H63 + H72 + H78 + H97 + H143</f>
        <v>0</v>
      </c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07"/>
      <c r="BM147" s="107"/>
      <c r="BN147" s="107"/>
      <c r="BO147" s="107"/>
      <c r="BP147" s="107"/>
      <c r="BQ147" s="107"/>
      <c r="BR147" s="107"/>
      <c r="BS147" s="107"/>
      <c r="BT147" s="107"/>
      <c r="BU147" s="107"/>
      <c r="BV147" s="107"/>
      <c r="BW147" s="107"/>
      <c r="BX147" s="107"/>
      <c r="BY147" s="107"/>
      <c r="BZ147" s="107"/>
      <c r="CA147" s="107"/>
      <c r="CB147" s="107"/>
      <c r="CC147" s="107"/>
      <c r="CD147" s="107"/>
      <c r="CE147" s="107"/>
      <c r="CF147" s="107"/>
      <c r="CG147" s="107"/>
      <c r="CH147" s="107"/>
      <c r="CI147" s="107"/>
      <c r="CJ147" s="107"/>
      <c r="CK147" s="107"/>
      <c r="CL147" s="107"/>
      <c r="CM147" s="107"/>
      <c r="CN147" s="107"/>
      <c r="CO147" s="107"/>
      <c r="CP147" s="107"/>
      <c r="CQ147" s="58"/>
      <c r="CR147" s="36"/>
    </row>
    <row r="148" spans="1:96" x14ac:dyDescent="0.35">
      <c r="A148" s="36"/>
      <c r="B148" s="36"/>
      <c r="C148" s="36"/>
      <c r="D148" s="36"/>
      <c r="E148" s="86"/>
      <c r="F148" s="36"/>
      <c r="G148" s="36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8"/>
      <c r="AN148" s="58"/>
      <c r="AO148" s="58"/>
      <c r="AP148" s="58"/>
      <c r="AQ148" s="58"/>
      <c r="AR148" s="58"/>
      <c r="AS148" s="58"/>
      <c r="AT148" s="58"/>
      <c r="AU148" s="58"/>
      <c r="AV148" s="58"/>
      <c r="AW148" s="58"/>
      <c r="AX148" s="58"/>
      <c r="AY148" s="58"/>
      <c r="AZ148" s="58"/>
      <c r="BA148" s="58"/>
      <c r="BB148" s="58"/>
      <c r="BC148" s="58"/>
      <c r="BD148" s="58"/>
      <c r="BE148" s="58"/>
      <c r="BF148" s="58"/>
      <c r="BG148" s="58"/>
      <c r="BH148" s="58"/>
      <c r="BI148" s="58"/>
      <c r="BJ148" s="58"/>
      <c r="BK148" s="58"/>
      <c r="BL148" s="58"/>
      <c r="BM148" s="58"/>
      <c r="BN148" s="58"/>
      <c r="BO148" s="58"/>
      <c r="BP148" s="58"/>
      <c r="BQ148" s="58"/>
      <c r="BR148" s="58"/>
      <c r="BS148" s="58"/>
      <c r="BT148" s="58"/>
      <c r="BU148" s="58"/>
      <c r="BV148" s="58"/>
      <c r="BW148" s="58"/>
      <c r="BX148" s="58"/>
      <c r="BY148" s="58"/>
      <c r="BZ148" s="58"/>
      <c r="CA148" s="58"/>
      <c r="CB148" s="58"/>
      <c r="CC148" s="58"/>
      <c r="CD148" s="58"/>
      <c r="CE148" s="58"/>
      <c r="CF148" s="58"/>
      <c r="CG148" s="58"/>
      <c r="CH148" s="58"/>
      <c r="CI148" s="58"/>
      <c r="CJ148" s="58"/>
      <c r="CK148" s="58"/>
      <c r="CL148" s="58"/>
      <c r="CM148" s="58"/>
      <c r="CN148" s="58"/>
      <c r="CO148" s="58"/>
      <c r="CP148" s="58"/>
      <c r="CQ148" s="58"/>
      <c r="CR148" s="36"/>
    </row>
    <row r="149" spans="1:96" x14ac:dyDescent="0.35">
      <c r="A149" s="36"/>
      <c r="B149" s="84" t="s">
        <v>87</v>
      </c>
      <c r="C149" s="84"/>
      <c r="D149" s="84"/>
      <c r="E149" s="84"/>
      <c r="F149" s="84"/>
      <c r="G149" s="84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85"/>
      <c r="AL149" s="85"/>
      <c r="AM149" s="85"/>
      <c r="AN149" s="85"/>
      <c r="AO149" s="85"/>
      <c r="AP149" s="85"/>
      <c r="AQ149" s="85"/>
      <c r="AR149" s="85"/>
      <c r="AS149" s="85"/>
      <c r="AT149" s="85"/>
      <c r="AU149" s="85"/>
      <c r="AV149" s="85"/>
      <c r="AW149" s="85"/>
      <c r="AX149" s="85"/>
      <c r="AY149" s="85"/>
      <c r="AZ149" s="85"/>
      <c r="BA149" s="85"/>
      <c r="BB149" s="85"/>
      <c r="BC149" s="85"/>
      <c r="BD149" s="85"/>
      <c r="BE149" s="85"/>
      <c r="BF149" s="85"/>
      <c r="BG149" s="85"/>
      <c r="BH149" s="85"/>
      <c r="BI149" s="85"/>
      <c r="BJ149" s="85"/>
      <c r="BK149" s="85"/>
      <c r="BL149" s="85"/>
      <c r="BM149" s="85"/>
      <c r="BN149" s="85"/>
      <c r="BO149" s="85"/>
      <c r="BP149" s="85"/>
      <c r="BQ149" s="85"/>
      <c r="BR149" s="85"/>
      <c r="BS149" s="85"/>
      <c r="BT149" s="85"/>
      <c r="BU149" s="85"/>
      <c r="BV149" s="85"/>
      <c r="BW149" s="85"/>
      <c r="BX149" s="85"/>
      <c r="BY149" s="85"/>
      <c r="BZ149" s="85"/>
      <c r="CA149" s="85"/>
      <c r="CB149" s="85"/>
      <c r="CC149" s="85"/>
      <c r="CD149" s="85"/>
      <c r="CE149" s="85"/>
      <c r="CF149" s="85"/>
      <c r="CG149" s="85"/>
      <c r="CH149" s="85"/>
      <c r="CI149" s="85"/>
      <c r="CJ149" s="85"/>
      <c r="CK149" s="85"/>
      <c r="CL149" s="85"/>
      <c r="CM149" s="85"/>
      <c r="CN149" s="85"/>
      <c r="CO149" s="85"/>
      <c r="CP149" s="85"/>
      <c r="CQ149" s="85"/>
      <c r="CR149" s="84"/>
    </row>
  </sheetData>
  <sheetProtection sheet="1" objects="1" formatCells="0" formatColumns="0" formatRows="0" sort="0" autoFilter="0"/>
  <conditionalFormatting sqref="H38">
    <cfRule type="cellIs" dxfId="44" priority="2" stopIfTrue="1" operator="greaterThan">
      <formula>0</formula>
    </cfRule>
  </conditionalFormatting>
  <conditionalFormatting sqref="H39">
    <cfRule type="cellIs" dxfId="43" priority="3" stopIfTrue="1" operator="greaterThan">
      <formula>0</formula>
    </cfRule>
  </conditionalFormatting>
  <conditionalFormatting sqref="H63">
    <cfRule type="cellIs" dxfId="42" priority="4" stopIfTrue="1" operator="greaterThan">
      <formula>0</formula>
    </cfRule>
  </conditionalFormatting>
  <conditionalFormatting sqref="H72">
    <cfRule type="cellIs" dxfId="41" priority="5" stopIfTrue="1" operator="greaterThan">
      <formula>0</formula>
    </cfRule>
  </conditionalFormatting>
  <conditionalFormatting sqref="H78">
    <cfRule type="cellIs" dxfId="40" priority="6" stopIfTrue="1" operator="greaterThan">
      <formula>0</formula>
    </cfRule>
  </conditionalFormatting>
  <conditionalFormatting sqref="H97">
    <cfRule type="cellIs" dxfId="39" priority="7" stopIfTrue="1" operator="greaterThan">
      <formula>0</formula>
    </cfRule>
  </conditionalFormatting>
  <conditionalFormatting sqref="H143">
    <cfRule type="cellIs" dxfId="38" priority="8" stopIfTrue="1" operator="greaterThan">
      <formula>0</formula>
    </cfRule>
  </conditionalFormatting>
  <conditionalFormatting sqref="H147">
    <cfRule type="cellIs" dxfId="37" priority="9" stopIfTrue="1" operator="greaterThan">
      <formula>0</formula>
    </cfRule>
  </conditionalFormatting>
  <conditionalFormatting sqref="A4:XFD4">
    <cfRule type="expression" dxfId="36" priority="1">
      <formula>LEFT($A$4,1) &lt;&gt; "0"</formula>
    </cfRule>
  </conditionalFormatting>
  <hyperlinks>
    <hyperlink ref="B5" location="'Model map'!A1" display="Click here to return to model map" xr:uid="{A035CE11-BCFF-4A60-BFDC-2432405C1BE2}"/>
    <hyperlink ref="B5:H5" location="'Model map'!A4" tooltip="Click to return to model map" display="'Model map'!A4" xr:uid="{E7A654D8-912D-47D6-AB56-E121535A9D00}"/>
    <hyperlink ref="B5:F5" location="'Model map'!A4" tooltip="Click to return to model map" display="'Model map'!A4" xr:uid="{DDCD4C6B-0EC5-47BD-9370-C7FD90FB2679}"/>
    <hyperlink ref="A1" location="Index!A1" display="Index!A1" xr:uid="{2119DCDB-F76F-4671-8471-46955D013366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4" tint="0.59999389629810485"/>
  </sheetPr>
  <dimension ref="A1:AU161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44" width="20.7265625" customWidth="1"/>
    <col min="45" max="45" width="2.7265625" customWidth="1"/>
    <col min="46" max="46" width="40.7265625" customWidth="1"/>
    <col min="47" max="47" width="2.7265625" customWidth="1"/>
    <col min="48" max="16384" width="9.1796875" hidden="1"/>
  </cols>
  <sheetData>
    <row r="1" spans="1:47" x14ac:dyDescent="0.35">
      <c r="A1" s="74" t="str">
        <f ca="1">MID(CELL("filename",A1),FIND("]",CELL("filename",A1))+1,255)</f>
        <v>Expenditure</v>
      </c>
      <c r="B1" s="74"/>
      <c r="C1" s="74"/>
      <c r="D1" s="74"/>
      <c r="E1" s="74"/>
      <c r="F1" s="74"/>
      <c r="G1" s="74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4"/>
      <c r="AU1" s="2"/>
    </row>
    <row r="2" spans="1:47" x14ac:dyDescent="0.35">
      <c r="A2" s="74" t="str">
        <f>Cover!D21&amp;" - "&amp;Cover!D23</f>
        <v>Southern Electric Power Distribution - Final</v>
      </c>
      <c r="B2" s="74"/>
      <c r="C2" s="74"/>
      <c r="D2" s="74"/>
      <c r="E2" s="74"/>
      <c r="F2" s="74"/>
      <c r="G2" s="74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4"/>
      <c r="AU2" s="2"/>
    </row>
    <row r="3" spans="1:47" x14ac:dyDescent="0.35">
      <c r="A3" s="76" t="str">
        <f>Cover!D2&amp;" - "&amp;Cover!D8&amp;" v"&amp;Cover!D10&amp;" - "&amp;Cover!D19</f>
        <v>PCDM charging model - Release for charge setting v5 - 2024/25</v>
      </c>
      <c r="B3" s="77"/>
      <c r="C3" s="77"/>
      <c r="D3" s="77"/>
      <c r="E3" s="77"/>
      <c r="F3" s="77"/>
      <c r="G3" s="77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7"/>
      <c r="AU3" s="3"/>
    </row>
    <row r="4" spans="1:47" x14ac:dyDescent="0.35">
      <c r="A4" s="57" t="str">
        <f>H159 &amp; IF(H159 = 1, " issue", " issues") &amp;" identified in checks on this sheet"</f>
        <v>0 issues identified in checks on this sheet</v>
      </c>
      <c r="B4" s="36"/>
      <c r="C4" s="36"/>
      <c r="D4" s="36"/>
      <c r="E4" s="36"/>
      <c r="F4" s="36"/>
      <c r="G4" s="36"/>
      <c r="H4" s="58"/>
      <c r="I4" s="58"/>
      <c r="J4" s="36"/>
    </row>
    <row r="5" spans="1:47" ht="58" x14ac:dyDescent="0.35">
      <c r="A5" s="36"/>
      <c r="B5" s="79" t="s">
        <v>104</v>
      </c>
      <c r="C5" s="42"/>
      <c r="D5" s="42"/>
      <c r="E5" s="42"/>
      <c r="F5" s="42"/>
      <c r="G5" s="80" t="s">
        <v>105</v>
      </c>
      <c r="H5" s="100" t="s">
        <v>106</v>
      </c>
      <c r="I5" s="58"/>
      <c r="J5" s="81" t="s">
        <v>145</v>
      </c>
      <c r="K5" s="81" t="s">
        <v>146</v>
      </c>
      <c r="L5" s="81" t="s">
        <v>147</v>
      </c>
      <c r="M5" s="81" t="s">
        <v>148</v>
      </c>
      <c r="N5" s="81" t="s">
        <v>149</v>
      </c>
      <c r="O5" s="81" t="s">
        <v>150</v>
      </c>
      <c r="P5" s="81" t="s">
        <v>151</v>
      </c>
      <c r="Q5" s="81" t="s">
        <v>152</v>
      </c>
      <c r="R5" s="81" t="s">
        <v>153</v>
      </c>
      <c r="S5" s="81" t="s">
        <v>154</v>
      </c>
      <c r="T5" s="81" t="s">
        <v>155</v>
      </c>
      <c r="U5" s="81" t="s">
        <v>156</v>
      </c>
      <c r="V5" s="81" t="s">
        <v>157</v>
      </c>
      <c r="W5" s="81" t="s">
        <v>158</v>
      </c>
      <c r="X5" s="81" t="s">
        <v>159</v>
      </c>
      <c r="Y5" s="81" t="s">
        <v>160</v>
      </c>
      <c r="Z5" s="81" t="s">
        <v>161</v>
      </c>
      <c r="AA5" s="81" t="s">
        <v>162</v>
      </c>
      <c r="AB5" s="81" t="s">
        <v>163</v>
      </c>
      <c r="AC5" s="81" t="s">
        <v>164</v>
      </c>
      <c r="AD5" s="81" t="s">
        <v>165</v>
      </c>
      <c r="AE5" s="81" t="s">
        <v>166</v>
      </c>
      <c r="AF5" s="81" t="s">
        <v>167</v>
      </c>
      <c r="AG5" s="81" t="s">
        <v>168</v>
      </c>
      <c r="AH5" s="81" t="s">
        <v>169</v>
      </c>
      <c r="AI5" s="81" t="s">
        <v>170</v>
      </c>
      <c r="AJ5" s="81" t="s">
        <v>171</v>
      </c>
      <c r="AK5" s="81" t="s">
        <v>172</v>
      </c>
      <c r="AL5" s="81" t="s">
        <v>173</v>
      </c>
      <c r="AM5" s="81" t="s">
        <v>174</v>
      </c>
      <c r="AN5" s="81" t="s">
        <v>175</v>
      </c>
      <c r="AO5" s="81" t="s">
        <v>176</v>
      </c>
      <c r="AP5" s="81" t="s">
        <v>177</v>
      </c>
      <c r="AQ5" s="81" t="s">
        <v>179</v>
      </c>
      <c r="AR5" s="81" t="s">
        <v>180</v>
      </c>
      <c r="AS5" s="58"/>
      <c r="AT5" s="80" t="s">
        <v>107</v>
      </c>
    </row>
    <row r="6" spans="1:47" x14ac:dyDescent="0.35">
      <c r="A6" s="36"/>
      <c r="B6" s="36"/>
      <c r="C6" s="36"/>
      <c r="D6" s="36"/>
      <c r="E6" s="36"/>
      <c r="F6" s="36"/>
      <c r="G6" s="36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36"/>
    </row>
    <row r="7" spans="1:47" x14ac:dyDescent="0.35">
      <c r="A7" s="36"/>
      <c r="B7" s="84" t="s">
        <v>13</v>
      </c>
      <c r="C7" s="84"/>
      <c r="D7" s="84"/>
      <c r="E7" s="84"/>
      <c r="F7" s="84"/>
      <c r="G7" s="84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4"/>
    </row>
    <row r="8" spans="1:47" x14ac:dyDescent="0.35">
      <c r="A8" s="36"/>
      <c r="B8" s="36"/>
      <c r="C8" s="36"/>
      <c r="D8" s="36"/>
      <c r="E8" s="36"/>
      <c r="F8" s="36"/>
      <c r="G8" s="36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36"/>
    </row>
    <row r="9" spans="1:47" x14ac:dyDescent="0.35">
      <c r="A9" s="36"/>
      <c r="B9" s="36"/>
      <c r="C9" s="86" t="s">
        <v>536</v>
      </c>
      <c r="D9" s="86"/>
      <c r="E9" s="36"/>
      <c r="F9" s="36"/>
      <c r="G9" s="36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36"/>
    </row>
    <row r="10" spans="1:47" x14ac:dyDescent="0.35">
      <c r="A10" s="36"/>
      <c r="B10" s="36"/>
      <c r="C10" s="86" t="s">
        <v>537</v>
      </c>
      <c r="D10" s="86"/>
      <c r="E10" s="36"/>
      <c r="F10" s="36"/>
      <c r="G10" s="36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36"/>
      <c r="AU10" s="58"/>
    </row>
    <row r="11" spans="1:47" x14ac:dyDescent="0.35">
      <c r="A11" s="36"/>
      <c r="B11" s="36"/>
      <c r="C11" s="86"/>
      <c r="D11" s="86"/>
      <c r="E11" s="36"/>
      <c r="F11" s="36"/>
      <c r="G11" s="36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36"/>
    </row>
    <row r="12" spans="1:47" x14ac:dyDescent="0.35">
      <c r="A12" s="36"/>
      <c r="B12" s="84" t="s">
        <v>538</v>
      </c>
      <c r="C12" s="84"/>
      <c r="D12" s="84"/>
      <c r="E12" s="84"/>
      <c r="F12" s="84"/>
      <c r="G12" s="84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4"/>
    </row>
    <row r="13" spans="1:47" x14ac:dyDescent="0.35">
      <c r="A13" s="36"/>
      <c r="B13" s="36"/>
      <c r="C13" s="36"/>
      <c r="D13" s="36"/>
      <c r="E13" s="36"/>
      <c r="F13" s="36"/>
      <c r="G13" s="36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36"/>
    </row>
    <row r="14" spans="1:47" x14ac:dyDescent="0.35">
      <c r="A14" s="36"/>
      <c r="B14" s="36"/>
      <c r="C14" s="86" t="s">
        <v>539</v>
      </c>
      <c r="D14" s="86"/>
      <c r="E14" s="36"/>
      <c r="F14" s="36"/>
      <c r="G14" s="36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36"/>
    </row>
    <row r="15" spans="1:47" x14ac:dyDescent="0.35">
      <c r="A15" s="36"/>
      <c r="B15" s="36"/>
      <c r="C15" s="86"/>
      <c r="D15" s="86"/>
      <c r="E15" s="36"/>
      <c r="F15" s="36"/>
      <c r="G15" s="36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36"/>
    </row>
    <row r="16" spans="1:47" x14ac:dyDescent="0.35">
      <c r="A16" s="36"/>
      <c r="B16" s="36"/>
      <c r="C16" s="87" t="s">
        <v>540</v>
      </c>
      <c r="D16" s="87"/>
      <c r="E16" s="87"/>
      <c r="F16" s="87"/>
      <c r="G16" s="87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7"/>
    </row>
    <row r="17" spans="1:46" x14ac:dyDescent="0.35">
      <c r="A17" s="36"/>
      <c r="B17" s="36"/>
      <c r="C17" s="86"/>
      <c r="D17" s="86"/>
      <c r="E17" s="36"/>
      <c r="F17" s="36"/>
      <c r="G17" s="36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36"/>
    </row>
    <row r="18" spans="1:46" x14ac:dyDescent="0.35">
      <c r="A18" s="36"/>
      <c r="B18" s="36"/>
      <c r="C18" s="36"/>
      <c r="D18" s="36"/>
      <c r="E18" s="89" t="s">
        <v>541</v>
      </c>
      <c r="F18" s="36"/>
      <c r="G18" s="36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36"/>
    </row>
    <row r="19" spans="1:46" x14ac:dyDescent="0.35">
      <c r="A19" s="36"/>
      <c r="B19" s="36"/>
      <c r="C19" s="36"/>
      <c r="D19" s="36"/>
      <c r="E19" s="36"/>
      <c r="F19" s="90" t="str">
        <f>'DNO inputs'!J304</f>
        <v>LV</v>
      </c>
      <c r="G19" s="90" t="str">
        <f>'DNO inputs'!G305</f>
        <v>£ per year</v>
      </c>
      <c r="H19" s="114"/>
      <c r="I19" s="114"/>
      <c r="J19" s="104"/>
      <c r="K19" s="123">
        <f t="array" ref="K19:AR22">TRANSPOSE('DNO inputs'!J306:M339)</f>
        <v>20000000</v>
      </c>
      <c r="L19" s="123">
        <v>0</v>
      </c>
      <c r="M19" s="123">
        <v>13000000</v>
      </c>
      <c r="N19" s="123">
        <v>3300000</v>
      </c>
      <c r="O19" s="123">
        <v>2800000</v>
      </c>
      <c r="P19" s="123">
        <v>0</v>
      </c>
      <c r="Q19" s="123">
        <v>0</v>
      </c>
      <c r="R19" s="123">
        <v>0</v>
      </c>
      <c r="S19" s="123">
        <v>0</v>
      </c>
      <c r="T19" s="123">
        <v>0</v>
      </c>
      <c r="U19" s="123">
        <v>0</v>
      </c>
      <c r="V19" s="123">
        <v>0</v>
      </c>
      <c r="W19" s="123">
        <v>0</v>
      </c>
      <c r="X19" s="123">
        <v>0</v>
      </c>
      <c r="Y19" s="123">
        <v>0</v>
      </c>
      <c r="Z19" s="123">
        <v>0</v>
      </c>
      <c r="AA19" s="123">
        <v>0</v>
      </c>
      <c r="AB19" s="123">
        <v>0</v>
      </c>
      <c r="AC19" s="123">
        <v>0</v>
      </c>
      <c r="AD19" s="123">
        <v>0</v>
      </c>
      <c r="AE19" s="123">
        <v>0</v>
      </c>
      <c r="AF19" s="123">
        <v>0</v>
      </c>
      <c r="AG19" s="123">
        <v>0</v>
      </c>
      <c r="AH19" s="123">
        <v>0</v>
      </c>
      <c r="AI19" s="123">
        <v>0</v>
      </c>
      <c r="AJ19" s="123">
        <v>0</v>
      </c>
      <c r="AK19" s="123">
        <v>0</v>
      </c>
      <c r="AL19" s="123">
        <v>0</v>
      </c>
      <c r="AM19" s="123">
        <v>0</v>
      </c>
      <c r="AN19" s="123">
        <v>0</v>
      </c>
      <c r="AO19" s="123">
        <v>0</v>
      </c>
      <c r="AP19" s="123">
        <v>0</v>
      </c>
      <c r="AQ19" s="123">
        <v>0</v>
      </c>
      <c r="AR19" s="123">
        <v>0</v>
      </c>
      <c r="AS19" s="58"/>
      <c r="AT19" s="36"/>
    </row>
    <row r="20" spans="1:46" x14ac:dyDescent="0.35">
      <c r="A20" s="36"/>
      <c r="B20" s="36"/>
      <c r="C20" s="36"/>
      <c r="D20" s="36"/>
      <c r="E20" s="36"/>
      <c r="F20" s="92" t="str">
        <f>'DNO inputs'!K304</f>
        <v>HV/LV</v>
      </c>
      <c r="G20" s="92" t="str">
        <f>G$19</f>
        <v>£ per year</v>
      </c>
      <c r="H20" s="101"/>
      <c r="I20" s="101"/>
      <c r="J20" s="127"/>
      <c r="K20" s="119">
        <v>7800000</v>
      </c>
      <c r="L20" s="119">
        <v>0</v>
      </c>
      <c r="M20" s="119">
        <v>500000</v>
      </c>
      <c r="N20" s="119">
        <v>3400000</v>
      </c>
      <c r="O20" s="119">
        <v>0</v>
      </c>
      <c r="P20" s="119">
        <v>0</v>
      </c>
      <c r="Q20" s="119">
        <v>0</v>
      </c>
      <c r="R20" s="119">
        <v>0</v>
      </c>
      <c r="S20" s="119">
        <v>0</v>
      </c>
      <c r="T20" s="119">
        <v>0</v>
      </c>
      <c r="U20" s="119">
        <v>0</v>
      </c>
      <c r="V20" s="119">
        <v>0</v>
      </c>
      <c r="W20" s="119">
        <v>0</v>
      </c>
      <c r="X20" s="119">
        <v>0</v>
      </c>
      <c r="Y20" s="119">
        <v>0</v>
      </c>
      <c r="Z20" s="119">
        <v>0</v>
      </c>
      <c r="AA20" s="119">
        <v>0</v>
      </c>
      <c r="AB20" s="119">
        <v>0</v>
      </c>
      <c r="AC20" s="119">
        <v>0</v>
      </c>
      <c r="AD20" s="119">
        <v>0</v>
      </c>
      <c r="AE20" s="119">
        <v>0</v>
      </c>
      <c r="AF20" s="119">
        <v>0</v>
      </c>
      <c r="AG20" s="119">
        <v>0</v>
      </c>
      <c r="AH20" s="119">
        <v>0</v>
      </c>
      <c r="AI20" s="119">
        <v>0</v>
      </c>
      <c r="AJ20" s="119">
        <v>0</v>
      </c>
      <c r="AK20" s="119">
        <v>0</v>
      </c>
      <c r="AL20" s="119">
        <v>0</v>
      </c>
      <c r="AM20" s="119">
        <v>0</v>
      </c>
      <c r="AN20" s="119">
        <v>0</v>
      </c>
      <c r="AO20" s="119">
        <v>0</v>
      </c>
      <c r="AP20" s="119">
        <v>0</v>
      </c>
      <c r="AQ20" s="119">
        <v>0</v>
      </c>
      <c r="AR20" s="119">
        <v>0</v>
      </c>
      <c r="AS20" s="58"/>
      <c r="AT20" s="36"/>
    </row>
    <row r="21" spans="1:46" x14ac:dyDescent="0.35">
      <c r="A21" s="36"/>
      <c r="B21" s="36"/>
      <c r="C21" s="36"/>
      <c r="D21" s="36"/>
      <c r="E21" s="36"/>
      <c r="F21" s="92" t="str">
        <f>'DNO inputs'!L304</f>
        <v>HV</v>
      </c>
      <c r="G21" s="92" t="str">
        <f>G$19</f>
        <v>£ per year</v>
      </c>
      <c r="H21" s="101"/>
      <c r="I21" s="101"/>
      <c r="J21" s="127"/>
      <c r="K21" s="119">
        <v>10800000</v>
      </c>
      <c r="L21" s="119">
        <v>0</v>
      </c>
      <c r="M21" s="119">
        <v>6100000</v>
      </c>
      <c r="N21" s="119">
        <v>899999.99999999988</v>
      </c>
      <c r="O21" s="119">
        <v>2900000</v>
      </c>
      <c r="P21" s="119">
        <v>0</v>
      </c>
      <c r="Q21" s="119">
        <v>0</v>
      </c>
      <c r="R21" s="119">
        <v>0</v>
      </c>
      <c r="S21" s="119">
        <v>0</v>
      </c>
      <c r="T21" s="119">
        <v>0</v>
      </c>
      <c r="U21" s="119">
        <v>0</v>
      </c>
      <c r="V21" s="119">
        <v>0</v>
      </c>
      <c r="W21" s="119">
        <v>0</v>
      </c>
      <c r="X21" s="119">
        <v>0</v>
      </c>
      <c r="Y21" s="119">
        <v>0</v>
      </c>
      <c r="Z21" s="119">
        <v>0</v>
      </c>
      <c r="AA21" s="119">
        <v>0</v>
      </c>
      <c r="AB21" s="119">
        <v>0</v>
      </c>
      <c r="AC21" s="119">
        <v>0</v>
      </c>
      <c r="AD21" s="119">
        <v>0</v>
      </c>
      <c r="AE21" s="119">
        <v>0</v>
      </c>
      <c r="AF21" s="119">
        <v>0</v>
      </c>
      <c r="AG21" s="119">
        <v>0</v>
      </c>
      <c r="AH21" s="119">
        <v>0</v>
      </c>
      <c r="AI21" s="119">
        <v>0</v>
      </c>
      <c r="AJ21" s="119">
        <v>0</v>
      </c>
      <c r="AK21" s="119">
        <v>0</v>
      </c>
      <c r="AL21" s="119">
        <v>0</v>
      </c>
      <c r="AM21" s="119">
        <v>0</v>
      </c>
      <c r="AN21" s="119">
        <v>0</v>
      </c>
      <c r="AO21" s="119">
        <v>0</v>
      </c>
      <c r="AP21" s="119">
        <v>0</v>
      </c>
      <c r="AQ21" s="119">
        <v>0</v>
      </c>
      <c r="AR21" s="119">
        <v>0</v>
      </c>
      <c r="AS21" s="58"/>
      <c r="AT21" s="36"/>
    </row>
    <row r="22" spans="1:46" x14ac:dyDescent="0.35">
      <c r="A22" s="36"/>
      <c r="B22" s="36"/>
      <c r="C22" s="36"/>
      <c r="D22" s="36"/>
      <c r="E22" s="36"/>
      <c r="F22" s="94" t="str">
        <f>'DNO inputs'!M304</f>
        <v>EHV and 132kV</v>
      </c>
      <c r="G22" s="94" t="str">
        <f>G$19</f>
        <v>£ per year</v>
      </c>
      <c r="H22" s="115"/>
      <c r="I22" s="115"/>
      <c r="J22" s="144"/>
      <c r="K22" s="124">
        <v>13299999.999999998</v>
      </c>
      <c r="L22" s="124">
        <v>0</v>
      </c>
      <c r="M22" s="124">
        <v>900000</v>
      </c>
      <c r="N22" s="124">
        <v>4800000</v>
      </c>
      <c r="O22" s="124">
        <v>1200000</v>
      </c>
      <c r="P22" s="124">
        <v>0</v>
      </c>
      <c r="Q22" s="124">
        <v>0</v>
      </c>
      <c r="R22" s="124">
        <v>0</v>
      </c>
      <c r="S22" s="124">
        <v>0</v>
      </c>
      <c r="T22" s="124">
        <v>0</v>
      </c>
      <c r="U22" s="124">
        <v>0</v>
      </c>
      <c r="V22" s="124">
        <v>0</v>
      </c>
      <c r="W22" s="124">
        <v>0</v>
      </c>
      <c r="X22" s="124">
        <v>0</v>
      </c>
      <c r="Y22" s="124">
        <v>0</v>
      </c>
      <c r="Z22" s="124">
        <v>0</v>
      </c>
      <c r="AA22" s="124">
        <v>0</v>
      </c>
      <c r="AB22" s="124">
        <v>0</v>
      </c>
      <c r="AC22" s="124">
        <v>0</v>
      </c>
      <c r="AD22" s="124">
        <v>0</v>
      </c>
      <c r="AE22" s="124">
        <v>0</v>
      </c>
      <c r="AF22" s="124">
        <v>0</v>
      </c>
      <c r="AG22" s="124">
        <v>0</v>
      </c>
      <c r="AH22" s="124">
        <v>0</v>
      </c>
      <c r="AI22" s="124">
        <v>0</v>
      </c>
      <c r="AJ22" s="124">
        <v>0</v>
      </c>
      <c r="AK22" s="124">
        <v>0</v>
      </c>
      <c r="AL22" s="124">
        <v>0</v>
      </c>
      <c r="AM22" s="124">
        <v>0</v>
      </c>
      <c r="AN22" s="124">
        <v>0</v>
      </c>
      <c r="AO22" s="124">
        <v>0</v>
      </c>
      <c r="AP22" s="124">
        <v>0</v>
      </c>
      <c r="AQ22" s="124">
        <v>0</v>
      </c>
      <c r="AR22" s="124">
        <v>0</v>
      </c>
      <c r="AS22" s="58"/>
      <c r="AT22" s="36"/>
    </row>
    <row r="23" spans="1:46" x14ac:dyDescent="0.35">
      <c r="A23" s="36"/>
      <c r="B23" s="36"/>
      <c r="C23" s="36"/>
      <c r="D23" s="36"/>
      <c r="E23" s="36"/>
      <c r="F23" s="36"/>
      <c r="G23" s="36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36"/>
    </row>
    <row r="24" spans="1:46" x14ac:dyDescent="0.35">
      <c r="A24" s="36"/>
      <c r="B24" s="36"/>
      <c r="C24" s="36"/>
      <c r="D24" s="36"/>
      <c r="E24" s="89" t="s">
        <v>542</v>
      </c>
      <c r="F24" s="36"/>
      <c r="G24" s="36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36"/>
    </row>
    <row r="25" spans="1:46" x14ac:dyDescent="0.35">
      <c r="A25" s="36"/>
      <c r="B25" s="36"/>
      <c r="C25" s="36"/>
      <c r="D25" s="36"/>
      <c r="E25" s="36"/>
      <c r="F25" s="90" t="str">
        <f>'DNO inputs'!F347</f>
        <v>LV</v>
      </c>
      <c r="G25" s="90" t="str">
        <f>'DNO inputs'!G347</f>
        <v>£ per year</v>
      </c>
      <c r="H25" s="114"/>
      <c r="I25" s="114"/>
      <c r="J25" s="123">
        <f>'DNO inputs'!H347</f>
        <v>4840000.0000000037</v>
      </c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58"/>
      <c r="AT25" s="36"/>
    </row>
    <row r="26" spans="1:46" x14ac:dyDescent="0.35">
      <c r="A26" s="36"/>
      <c r="B26" s="36"/>
      <c r="C26" s="36"/>
      <c r="D26" s="36"/>
      <c r="E26" s="36"/>
      <c r="F26" s="92" t="str">
        <f>'DNO inputs'!F348</f>
        <v>HV/LV</v>
      </c>
      <c r="G26" s="92" t="str">
        <f>'DNO inputs'!G348</f>
        <v>£ per year</v>
      </c>
      <c r="H26" s="101"/>
      <c r="I26" s="101"/>
      <c r="J26" s="119">
        <f>'DNO inputs'!H348</f>
        <v>0</v>
      </c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58"/>
      <c r="AT26" s="36"/>
    </row>
    <row r="27" spans="1:46" x14ac:dyDescent="0.35">
      <c r="A27" s="36"/>
      <c r="B27" s="36"/>
      <c r="C27" s="36"/>
      <c r="D27" s="36"/>
      <c r="E27" s="36"/>
      <c r="F27" s="92" t="str">
        <f>'DNO inputs'!F349</f>
        <v>HV</v>
      </c>
      <c r="G27" s="92" t="str">
        <f>'DNO inputs'!G349</f>
        <v>£ per year</v>
      </c>
      <c r="H27" s="101"/>
      <c r="I27" s="101"/>
      <c r="J27" s="119">
        <f>'DNO inputs'!H349</f>
        <v>17380000.000000004</v>
      </c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58"/>
      <c r="AT27" s="36"/>
    </row>
    <row r="28" spans="1:46" x14ac:dyDescent="0.35">
      <c r="A28" s="36"/>
      <c r="B28" s="36"/>
      <c r="C28" s="36"/>
      <c r="D28" s="36"/>
      <c r="E28" s="36"/>
      <c r="F28" s="94" t="str">
        <f>'DNO inputs'!F350</f>
        <v>EHV and 132kV</v>
      </c>
      <c r="G28" s="94" t="str">
        <f>'DNO inputs'!G350</f>
        <v>£ per year</v>
      </c>
      <c r="H28" s="115"/>
      <c r="I28" s="115"/>
      <c r="J28" s="124">
        <f>'DNO inputs'!H350</f>
        <v>37080000</v>
      </c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58"/>
      <c r="AT28" s="36"/>
    </row>
    <row r="29" spans="1:46" x14ac:dyDescent="0.35">
      <c r="A29" s="36"/>
      <c r="B29" s="36"/>
      <c r="C29" s="36"/>
      <c r="D29" s="36"/>
      <c r="E29" s="36"/>
      <c r="F29" s="36"/>
      <c r="G29" s="36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36"/>
    </row>
    <row r="30" spans="1:46" x14ac:dyDescent="0.35">
      <c r="A30" s="98"/>
      <c r="B30" s="36"/>
      <c r="C30" s="36"/>
      <c r="D30" s="36"/>
      <c r="E30" s="89" t="s">
        <v>543</v>
      </c>
      <c r="F30" s="36"/>
      <c r="G30" s="36"/>
      <c r="H30" s="58"/>
      <c r="I30" s="103" t="s">
        <v>120</v>
      </c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92" t="s">
        <v>544</v>
      </c>
    </row>
    <row r="31" spans="1:46" x14ac:dyDescent="0.35">
      <c r="A31" s="36"/>
      <c r="B31" s="36"/>
      <c r="C31" s="36"/>
      <c r="D31" s="36"/>
      <c r="E31" s="36"/>
      <c r="F31" s="90" t="s">
        <v>303</v>
      </c>
      <c r="G31" s="90" t="str">
        <f>G$19</f>
        <v>£ per year</v>
      </c>
      <c r="H31" s="114"/>
      <c r="I31" s="114"/>
      <c r="J31" s="128">
        <f t="shared" ref="J31:AQ31" si="0">J19 + J25</f>
        <v>4840000.0000000037</v>
      </c>
      <c r="K31" s="128">
        <f t="shared" si="0"/>
        <v>20000000</v>
      </c>
      <c r="L31" s="128">
        <f t="shared" si="0"/>
        <v>0</v>
      </c>
      <c r="M31" s="128">
        <f t="shared" si="0"/>
        <v>13000000</v>
      </c>
      <c r="N31" s="128">
        <f t="shared" si="0"/>
        <v>3300000</v>
      </c>
      <c r="O31" s="128">
        <f t="shared" si="0"/>
        <v>2800000</v>
      </c>
      <c r="P31" s="128">
        <f t="shared" si="0"/>
        <v>0</v>
      </c>
      <c r="Q31" s="128">
        <f t="shared" si="0"/>
        <v>0</v>
      </c>
      <c r="R31" s="128">
        <f t="shared" si="0"/>
        <v>0</v>
      </c>
      <c r="S31" s="128">
        <f t="shared" si="0"/>
        <v>0</v>
      </c>
      <c r="T31" s="128">
        <f t="shared" si="0"/>
        <v>0</v>
      </c>
      <c r="U31" s="128">
        <f t="shared" si="0"/>
        <v>0</v>
      </c>
      <c r="V31" s="128">
        <f t="shared" si="0"/>
        <v>0</v>
      </c>
      <c r="W31" s="128">
        <f t="shared" si="0"/>
        <v>0</v>
      </c>
      <c r="X31" s="128">
        <f t="shared" si="0"/>
        <v>0</v>
      </c>
      <c r="Y31" s="128">
        <f t="shared" si="0"/>
        <v>0</v>
      </c>
      <c r="Z31" s="128">
        <f t="shared" si="0"/>
        <v>0</v>
      </c>
      <c r="AA31" s="128">
        <f t="shared" si="0"/>
        <v>0</v>
      </c>
      <c r="AB31" s="128">
        <f t="shared" si="0"/>
        <v>0</v>
      </c>
      <c r="AC31" s="128">
        <f t="shared" si="0"/>
        <v>0</v>
      </c>
      <c r="AD31" s="128">
        <f t="shared" si="0"/>
        <v>0</v>
      </c>
      <c r="AE31" s="128">
        <f t="shared" si="0"/>
        <v>0</v>
      </c>
      <c r="AF31" s="128">
        <f t="shared" si="0"/>
        <v>0</v>
      </c>
      <c r="AG31" s="128">
        <f t="shared" si="0"/>
        <v>0</v>
      </c>
      <c r="AH31" s="128">
        <f t="shared" si="0"/>
        <v>0</v>
      </c>
      <c r="AI31" s="128">
        <f t="shared" si="0"/>
        <v>0</v>
      </c>
      <c r="AJ31" s="128">
        <f t="shared" si="0"/>
        <v>0</v>
      </c>
      <c r="AK31" s="128">
        <f t="shared" si="0"/>
        <v>0</v>
      </c>
      <c r="AL31" s="128">
        <f t="shared" si="0"/>
        <v>0</v>
      </c>
      <c r="AM31" s="128">
        <f t="shared" si="0"/>
        <v>0</v>
      </c>
      <c r="AN31" s="128">
        <f t="shared" si="0"/>
        <v>0</v>
      </c>
      <c r="AO31" s="128">
        <f t="shared" si="0"/>
        <v>0</v>
      </c>
      <c r="AP31" s="128">
        <f t="shared" ref="AP31" si="1">AP19 + AP25</f>
        <v>0</v>
      </c>
      <c r="AQ31" s="128">
        <f t="shared" si="0"/>
        <v>0</v>
      </c>
      <c r="AR31" s="128">
        <f t="shared" ref="AR31" si="2">AR19 + AR25</f>
        <v>0</v>
      </c>
      <c r="AS31" s="58"/>
      <c r="AT31" s="36"/>
    </row>
    <row r="32" spans="1:46" x14ac:dyDescent="0.35">
      <c r="A32" s="36"/>
      <c r="B32" s="36"/>
      <c r="C32" s="36"/>
      <c r="D32" s="36"/>
      <c r="E32" s="36"/>
      <c r="F32" s="92" t="s">
        <v>198</v>
      </c>
      <c r="G32" s="92" t="str">
        <f>G$19</f>
        <v>£ per year</v>
      </c>
      <c r="H32" s="101"/>
      <c r="I32" s="101"/>
      <c r="J32" s="129">
        <f t="shared" ref="J32:AQ32" si="3">J20 + J26</f>
        <v>0</v>
      </c>
      <c r="K32" s="129">
        <f t="shared" si="3"/>
        <v>7800000</v>
      </c>
      <c r="L32" s="129">
        <f t="shared" si="3"/>
        <v>0</v>
      </c>
      <c r="M32" s="129">
        <f t="shared" si="3"/>
        <v>500000</v>
      </c>
      <c r="N32" s="129">
        <f t="shared" si="3"/>
        <v>3400000</v>
      </c>
      <c r="O32" s="129">
        <f t="shared" si="3"/>
        <v>0</v>
      </c>
      <c r="P32" s="129">
        <f t="shared" si="3"/>
        <v>0</v>
      </c>
      <c r="Q32" s="129">
        <f t="shared" si="3"/>
        <v>0</v>
      </c>
      <c r="R32" s="129">
        <f t="shared" si="3"/>
        <v>0</v>
      </c>
      <c r="S32" s="129">
        <f t="shared" si="3"/>
        <v>0</v>
      </c>
      <c r="T32" s="129">
        <f t="shared" si="3"/>
        <v>0</v>
      </c>
      <c r="U32" s="129">
        <f t="shared" si="3"/>
        <v>0</v>
      </c>
      <c r="V32" s="129">
        <f t="shared" si="3"/>
        <v>0</v>
      </c>
      <c r="W32" s="129">
        <f t="shared" si="3"/>
        <v>0</v>
      </c>
      <c r="X32" s="129">
        <f t="shared" si="3"/>
        <v>0</v>
      </c>
      <c r="Y32" s="129">
        <f t="shared" si="3"/>
        <v>0</v>
      </c>
      <c r="Z32" s="129">
        <f t="shared" si="3"/>
        <v>0</v>
      </c>
      <c r="AA32" s="129">
        <f t="shared" si="3"/>
        <v>0</v>
      </c>
      <c r="AB32" s="129">
        <f t="shared" si="3"/>
        <v>0</v>
      </c>
      <c r="AC32" s="129">
        <f t="shared" si="3"/>
        <v>0</v>
      </c>
      <c r="AD32" s="129">
        <f t="shared" si="3"/>
        <v>0</v>
      </c>
      <c r="AE32" s="129">
        <f t="shared" si="3"/>
        <v>0</v>
      </c>
      <c r="AF32" s="129">
        <f t="shared" si="3"/>
        <v>0</v>
      </c>
      <c r="AG32" s="129">
        <f t="shared" si="3"/>
        <v>0</v>
      </c>
      <c r="AH32" s="129">
        <f t="shared" si="3"/>
        <v>0</v>
      </c>
      <c r="AI32" s="129">
        <f t="shared" si="3"/>
        <v>0</v>
      </c>
      <c r="AJ32" s="129">
        <f t="shared" si="3"/>
        <v>0</v>
      </c>
      <c r="AK32" s="129">
        <f t="shared" si="3"/>
        <v>0</v>
      </c>
      <c r="AL32" s="129">
        <f t="shared" si="3"/>
        <v>0</v>
      </c>
      <c r="AM32" s="129">
        <f t="shared" si="3"/>
        <v>0</v>
      </c>
      <c r="AN32" s="129">
        <f t="shared" si="3"/>
        <v>0</v>
      </c>
      <c r="AO32" s="129">
        <f t="shared" si="3"/>
        <v>0</v>
      </c>
      <c r="AP32" s="129">
        <f t="shared" ref="AP32" si="4">AP20 + AP26</f>
        <v>0</v>
      </c>
      <c r="AQ32" s="129">
        <f t="shared" si="3"/>
        <v>0</v>
      </c>
      <c r="AR32" s="129">
        <f t="shared" ref="AR32" si="5">AR20 + AR26</f>
        <v>0</v>
      </c>
      <c r="AS32" s="58"/>
      <c r="AT32" s="36"/>
    </row>
    <row r="33" spans="1:46" x14ac:dyDescent="0.35">
      <c r="A33" s="36"/>
      <c r="B33" s="36"/>
      <c r="C33" s="36"/>
      <c r="D33" s="36"/>
      <c r="E33" s="36"/>
      <c r="F33" s="92" t="s">
        <v>199</v>
      </c>
      <c r="G33" s="92" t="str">
        <f>G$19</f>
        <v>£ per year</v>
      </c>
      <c r="H33" s="101"/>
      <c r="I33" s="101"/>
      <c r="J33" s="129">
        <f t="shared" ref="J33:AQ33" si="6">J21 + J27</f>
        <v>17380000.000000004</v>
      </c>
      <c r="K33" s="129">
        <f t="shared" si="6"/>
        <v>10800000</v>
      </c>
      <c r="L33" s="129">
        <f t="shared" si="6"/>
        <v>0</v>
      </c>
      <c r="M33" s="129">
        <f t="shared" si="6"/>
        <v>6100000</v>
      </c>
      <c r="N33" s="129">
        <f t="shared" si="6"/>
        <v>899999.99999999988</v>
      </c>
      <c r="O33" s="129">
        <f t="shared" si="6"/>
        <v>2900000</v>
      </c>
      <c r="P33" s="129">
        <f t="shared" si="6"/>
        <v>0</v>
      </c>
      <c r="Q33" s="129">
        <f t="shared" si="6"/>
        <v>0</v>
      </c>
      <c r="R33" s="129">
        <f t="shared" si="6"/>
        <v>0</v>
      </c>
      <c r="S33" s="129">
        <f t="shared" si="6"/>
        <v>0</v>
      </c>
      <c r="T33" s="129">
        <f t="shared" si="6"/>
        <v>0</v>
      </c>
      <c r="U33" s="129">
        <f t="shared" si="6"/>
        <v>0</v>
      </c>
      <c r="V33" s="129">
        <f t="shared" si="6"/>
        <v>0</v>
      </c>
      <c r="W33" s="129">
        <f t="shared" si="6"/>
        <v>0</v>
      </c>
      <c r="X33" s="129">
        <f t="shared" si="6"/>
        <v>0</v>
      </c>
      <c r="Y33" s="129">
        <f t="shared" si="6"/>
        <v>0</v>
      </c>
      <c r="Z33" s="129">
        <f t="shared" si="6"/>
        <v>0</v>
      </c>
      <c r="AA33" s="129">
        <f t="shared" si="6"/>
        <v>0</v>
      </c>
      <c r="AB33" s="129">
        <f t="shared" si="6"/>
        <v>0</v>
      </c>
      <c r="AC33" s="129">
        <f t="shared" si="6"/>
        <v>0</v>
      </c>
      <c r="AD33" s="129">
        <f t="shared" si="6"/>
        <v>0</v>
      </c>
      <c r="AE33" s="129">
        <f t="shared" si="6"/>
        <v>0</v>
      </c>
      <c r="AF33" s="129">
        <f t="shared" si="6"/>
        <v>0</v>
      </c>
      <c r="AG33" s="129">
        <f t="shared" si="6"/>
        <v>0</v>
      </c>
      <c r="AH33" s="129">
        <f t="shared" si="6"/>
        <v>0</v>
      </c>
      <c r="AI33" s="129">
        <f t="shared" si="6"/>
        <v>0</v>
      </c>
      <c r="AJ33" s="129">
        <f t="shared" si="6"/>
        <v>0</v>
      </c>
      <c r="AK33" s="129">
        <f t="shared" si="6"/>
        <v>0</v>
      </c>
      <c r="AL33" s="129">
        <f t="shared" si="6"/>
        <v>0</v>
      </c>
      <c r="AM33" s="129">
        <f t="shared" si="6"/>
        <v>0</v>
      </c>
      <c r="AN33" s="129">
        <f t="shared" si="6"/>
        <v>0</v>
      </c>
      <c r="AO33" s="129">
        <f t="shared" si="6"/>
        <v>0</v>
      </c>
      <c r="AP33" s="129">
        <f t="shared" ref="AP33" si="7">AP21 + AP27</f>
        <v>0</v>
      </c>
      <c r="AQ33" s="129">
        <f t="shared" si="6"/>
        <v>0</v>
      </c>
      <c r="AR33" s="129">
        <f t="shared" ref="AR33" si="8">AR21 + AR27</f>
        <v>0</v>
      </c>
      <c r="AS33" s="58"/>
      <c r="AT33" s="36"/>
    </row>
    <row r="34" spans="1:46" x14ac:dyDescent="0.35">
      <c r="A34" s="36"/>
      <c r="B34" s="36"/>
      <c r="C34" s="36"/>
      <c r="D34" s="36"/>
      <c r="E34" s="36"/>
      <c r="F34" s="94" t="s">
        <v>201</v>
      </c>
      <c r="G34" s="94" t="str">
        <f>G$19</f>
        <v>£ per year</v>
      </c>
      <c r="H34" s="115"/>
      <c r="I34" s="115"/>
      <c r="J34" s="184">
        <f t="shared" ref="J34:AQ34" si="9">J22 + J28</f>
        <v>37080000</v>
      </c>
      <c r="K34" s="184">
        <f t="shared" si="9"/>
        <v>13299999.999999998</v>
      </c>
      <c r="L34" s="184">
        <f t="shared" si="9"/>
        <v>0</v>
      </c>
      <c r="M34" s="184">
        <f t="shared" si="9"/>
        <v>900000</v>
      </c>
      <c r="N34" s="184">
        <f t="shared" si="9"/>
        <v>4800000</v>
      </c>
      <c r="O34" s="184">
        <f t="shared" si="9"/>
        <v>1200000</v>
      </c>
      <c r="P34" s="184">
        <f t="shared" si="9"/>
        <v>0</v>
      </c>
      <c r="Q34" s="184">
        <f t="shared" si="9"/>
        <v>0</v>
      </c>
      <c r="R34" s="184">
        <f t="shared" si="9"/>
        <v>0</v>
      </c>
      <c r="S34" s="184">
        <f t="shared" si="9"/>
        <v>0</v>
      </c>
      <c r="T34" s="184">
        <f t="shared" si="9"/>
        <v>0</v>
      </c>
      <c r="U34" s="184">
        <f t="shared" si="9"/>
        <v>0</v>
      </c>
      <c r="V34" s="184">
        <f t="shared" si="9"/>
        <v>0</v>
      </c>
      <c r="W34" s="184">
        <f t="shared" si="9"/>
        <v>0</v>
      </c>
      <c r="X34" s="184">
        <f t="shared" si="9"/>
        <v>0</v>
      </c>
      <c r="Y34" s="184">
        <f t="shared" si="9"/>
        <v>0</v>
      </c>
      <c r="Z34" s="184">
        <f t="shared" si="9"/>
        <v>0</v>
      </c>
      <c r="AA34" s="184">
        <f t="shared" si="9"/>
        <v>0</v>
      </c>
      <c r="AB34" s="184">
        <f t="shared" si="9"/>
        <v>0</v>
      </c>
      <c r="AC34" s="184">
        <f t="shared" si="9"/>
        <v>0</v>
      </c>
      <c r="AD34" s="184">
        <f t="shared" si="9"/>
        <v>0</v>
      </c>
      <c r="AE34" s="184">
        <f t="shared" si="9"/>
        <v>0</v>
      </c>
      <c r="AF34" s="184">
        <f t="shared" si="9"/>
        <v>0</v>
      </c>
      <c r="AG34" s="184">
        <f t="shared" si="9"/>
        <v>0</v>
      </c>
      <c r="AH34" s="184">
        <f t="shared" si="9"/>
        <v>0</v>
      </c>
      <c r="AI34" s="184">
        <f t="shared" si="9"/>
        <v>0</v>
      </c>
      <c r="AJ34" s="184">
        <f t="shared" si="9"/>
        <v>0</v>
      </c>
      <c r="AK34" s="184">
        <f t="shared" si="9"/>
        <v>0</v>
      </c>
      <c r="AL34" s="184">
        <f t="shared" si="9"/>
        <v>0</v>
      </c>
      <c r="AM34" s="184">
        <f t="shared" si="9"/>
        <v>0</v>
      </c>
      <c r="AN34" s="184">
        <f t="shared" si="9"/>
        <v>0</v>
      </c>
      <c r="AO34" s="184">
        <f t="shared" si="9"/>
        <v>0</v>
      </c>
      <c r="AP34" s="184">
        <f t="shared" ref="AP34" si="10">AP22 + AP28</f>
        <v>0</v>
      </c>
      <c r="AQ34" s="184">
        <f t="shared" si="9"/>
        <v>0</v>
      </c>
      <c r="AR34" s="184">
        <f t="shared" ref="AR34" si="11">AR22 + AR28</f>
        <v>0</v>
      </c>
      <c r="AS34" s="58"/>
      <c r="AT34" s="36"/>
    </row>
    <row r="35" spans="1:46" x14ac:dyDescent="0.35">
      <c r="A35" s="36"/>
      <c r="B35" s="36"/>
      <c r="C35" s="36"/>
      <c r="D35" s="36"/>
      <c r="E35" s="36"/>
      <c r="F35" s="36"/>
      <c r="G35" s="36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36"/>
    </row>
    <row r="36" spans="1:46" x14ac:dyDescent="0.35">
      <c r="A36" s="36"/>
      <c r="B36" s="36"/>
      <c r="C36" s="87" t="s">
        <v>545</v>
      </c>
      <c r="D36" s="87"/>
      <c r="E36" s="87"/>
      <c r="F36" s="87"/>
      <c r="G36" s="87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7"/>
    </row>
    <row r="37" spans="1:46" x14ac:dyDescent="0.35">
      <c r="A37" s="36"/>
      <c r="B37" s="36"/>
      <c r="C37" s="36"/>
      <c r="D37" s="36"/>
      <c r="E37" s="86"/>
      <c r="F37" s="36"/>
      <c r="G37" s="36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36"/>
    </row>
    <row r="38" spans="1:46" x14ac:dyDescent="0.35">
      <c r="A38" s="36"/>
      <c r="B38" s="36"/>
      <c r="C38" s="36"/>
      <c r="D38" s="36"/>
      <c r="E38" s="92" t="str">
        <f>MEAV!F75</f>
        <v>Services share of LV MEAV</v>
      </c>
      <c r="F38" s="36"/>
      <c r="G38" s="92" t="str">
        <f>MEAV!G75</f>
        <v>%</v>
      </c>
      <c r="H38" s="130">
        <f>MEAV!H75</f>
        <v>0.49185804252542331</v>
      </c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58"/>
      <c r="AT38" s="36"/>
    </row>
    <row r="39" spans="1:46" x14ac:dyDescent="0.35">
      <c r="A39" s="36"/>
      <c r="B39" s="36"/>
      <c r="C39" s="36"/>
      <c r="D39" s="36"/>
      <c r="E39" s="86"/>
      <c r="F39" s="36"/>
      <c r="G39" s="36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36"/>
    </row>
    <row r="40" spans="1:46" x14ac:dyDescent="0.35">
      <c r="A40" s="36"/>
      <c r="B40" s="36"/>
      <c r="C40" s="36"/>
      <c r="D40" s="36"/>
      <c r="E40" s="92" t="str">
        <f>'Fixed inputs'!E53</f>
        <v>Allocation rules allocation key, by cost category</v>
      </c>
      <c r="F40" s="36"/>
      <c r="G40" s="92" t="str">
        <f>'Fixed inputs'!G54</f>
        <v>option</v>
      </c>
      <c r="H40" s="101"/>
      <c r="I40" s="101"/>
      <c r="J40" s="127"/>
      <c r="K40" s="119" t="str">
        <f t="array" ref="K40:AR40">TRANSPOSE('Fixed inputs'!H55:H88)</f>
        <v>MEAV</v>
      </c>
      <c r="L40" s="119" t="str">
        <v>MEAV</v>
      </c>
      <c r="M40" s="119" t="str">
        <v>MEAV</v>
      </c>
      <c r="N40" s="119" t="str">
        <v>MEAV</v>
      </c>
      <c r="O40" s="119" t="str">
        <v>MEAV</v>
      </c>
      <c r="P40" s="119" t="str">
        <v>MEAV</v>
      </c>
      <c r="Q40" s="119" t="str">
        <v>MEAV</v>
      </c>
      <c r="R40" s="119" t="str">
        <v>MEAV</v>
      </c>
      <c r="S40" s="119" t="str">
        <v>MEAV</v>
      </c>
      <c r="T40" s="119" t="str">
        <v>MEAV</v>
      </c>
      <c r="U40" s="119" t="str">
        <v>MEAV</v>
      </c>
      <c r="V40" s="119" t="str">
        <v>MEAV</v>
      </c>
      <c r="W40" s="119" t="str">
        <v>MEAV</v>
      </c>
      <c r="X40" s="119" t="str">
        <v>MEAV</v>
      </c>
      <c r="Y40" s="119" t="str">
        <v>Do not allocate</v>
      </c>
      <c r="Z40" s="119" t="str">
        <v>Do not allocate</v>
      </c>
      <c r="AA40" s="119" t="str">
        <v>MEAV</v>
      </c>
      <c r="AB40" s="119" t="str">
        <v>MEAV</v>
      </c>
      <c r="AC40" s="119" t="str">
        <v>MEAV</v>
      </c>
      <c r="AD40" s="119" t="str">
        <v>MEAV</v>
      </c>
      <c r="AE40" s="119" t="str">
        <v>Do not allocate</v>
      </c>
      <c r="AF40" s="119" t="str">
        <v>Do not allocate</v>
      </c>
      <c r="AG40" s="119" t="str">
        <v>Do not allocate</v>
      </c>
      <c r="AH40" s="119" t="str">
        <v>Do not allocate</v>
      </c>
      <c r="AI40" s="119" t="str">
        <v>Do not allocate</v>
      </c>
      <c r="AJ40" s="119" t="str">
        <v>Do not allocate</v>
      </c>
      <c r="AK40" s="119" t="str">
        <v>Do not allocate</v>
      </c>
      <c r="AL40" s="119" t="str">
        <v>Do not allocate</v>
      </c>
      <c r="AM40" s="119" t="str">
        <v>Do not allocate</v>
      </c>
      <c r="AN40" s="119" t="str">
        <v>Deduct from revenue</v>
      </c>
      <c r="AO40" s="119" t="str">
        <v>Do not allocate</v>
      </c>
      <c r="AP40" s="119" t="str">
        <v>LV Services</v>
      </c>
      <c r="AQ40" s="119" t="str">
        <v>Do not allocate</v>
      </c>
      <c r="AR40" s="119" t="str">
        <v>LV Services</v>
      </c>
      <c r="AS40" s="58"/>
      <c r="AT40" s="36"/>
    </row>
    <row r="41" spans="1:46" x14ac:dyDescent="0.35">
      <c r="A41" s="36"/>
      <c r="B41" s="36"/>
      <c r="C41" s="36"/>
      <c r="D41" s="36"/>
      <c r="E41" s="92" t="str">
        <f>'Fixed inputs'!E49</f>
        <v>MEAV allocation option name</v>
      </c>
      <c r="F41" s="36"/>
      <c r="G41" s="92" t="str">
        <f>'Fixed inputs'!G55</f>
        <v>option</v>
      </c>
      <c r="H41" s="119" t="str">
        <f>'Fixed inputs'!H49</f>
        <v>MEAV</v>
      </c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101"/>
      <c r="AS41" s="58"/>
      <c r="AT41" s="36"/>
    </row>
    <row r="42" spans="1:46" x14ac:dyDescent="0.35">
      <c r="A42" s="98"/>
      <c r="B42" s="36"/>
      <c r="C42" s="36"/>
      <c r="D42" s="36"/>
      <c r="E42" s="97" t="s">
        <v>546</v>
      </c>
      <c r="F42" s="36"/>
      <c r="G42" s="92" t="s">
        <v>190</v>
      </c>
      <c r="H42" s="107"/>
      <c r="I42" s="131" t="s">
        <v>120</v>
      </c>
      <c r="J42" s="107">
        <f t="shared" ref="J42:AQ42" si="12">IF($H41 = J40, 1, 0)</f>
        <v>0</v>
      </c>
      <c r="K42" s="107">
        <f t="shared" si="12"/>
        <v>1</v>
      </c>
      <c r="L42" s="107">
        <f t="shared" si="12"/>
        <v>1</v>
      </c>
      <c r="M42" s="107">
        <f t="shared" si="12"/>
        <v>1</v>
      </c>
      <c r="N42" s="107">
        <f t="shared" si="12"/>
        <v>1</v>
      </c>
      <c r="O42" s="107">
        <f t="shared" si="12"/>
        <v>1</v>
      </c>
      <c r="P42" s="107">
        <f t="shared" si="12"/>
        <v>1</v>
      </c>
      <c r="Q42" s="107">
        <f t="shared" si="12"/>
        <v>1</v>
      </c>
      <c r="R42" s="107">
        <f t="shared" si="12"/>
        <v>1</v>
      </c>
      <c r="S42" s="107">
        <f t="shared" si="12"/>
        <v>1</v>
      </c>
      <c r="T42" s="107">
        <f t="shared" si="12"/>
        <v>1</v>
      </c>
      <c r="U42" s="107">
        <f t="shared" si="12"/>
        <v>1</v>
      </c>
      <c r="V42" s="107">
        <f t="shared" si="12"/>
        <v>1</v>
      </c>
      <c r="W42" s="107">
        <f t="shared" si="12"/>
        <v>1</v>
      </c>
      <c r="X42" s="107">
        <f t="shared" si="12"/>
        <v>1</v>
      </c>
      <c r="Y42" s="107">
        <f t="shared" si="12"/>
        <v>0</v>
      </c>
      <c r="Z42" s="107">
        <f t="shared" si="12"/>
        <v>0</v>
      </c>
      <c r="AA42" s="107">
        <f t="shared" si="12"/>
        <v>1</v>
      </c>
      <c r="AB42" s="107">
        <f t="shared" si="12"/>
        <v>1</v>
      </c>
      <c r="AC42" s="107">
        <f t="shared" si="12"/>
        <v>1</v>
      </c>
      <c r="AD42" s="107">
        <f t="shared" si="12"/>
        <v>1</v>
      </c>
      <c r="AE42" s="107">
        <f t="shared" si="12"/>
        <v>0</v>
      </c>
      <c r="AF42" s="107">
        <f t="shared" si="12"/>
        <v>0</v>
      </c>
      <c r="AG42" s="107">
        <f t="shared" si="12"/>
        <v>0</v>
      </c>
      <c r="AH42" s="107">
        <f t="shared" si="12"/>
        <v>0</v>
      </c>
      <c r="AI42" s="107">
        <f t="shared" si="12"/>
        <v>0</v>
      </c>
      <c r="AJ42" s="107">
        <f t="shared" si="12"/>
        <v>0</v>
      </c>
      <c r="AK42" s="107">
        <f t="shared" si="12"/>
        <v>0</v>
      </c>
      <c r="AL42" s="107">
        <f t="shared" si="12"/>
        <v>0</v>
      </c>
      <c r="AM42" s="107">
        <f t="shared" si="12"/>
        <v>0</v>
      </c>
      <c r="AN42" s="107">
        <f t="shared" si="12"/>
        <v>0</v>
      </c>
      <c r="AO42" s="107">
        <f t="shared" si="12"/>
        <v>0</v>
      </c>
      <c r="AP42" s="107">
        <f t="shared" ref="AP42" si="13">IF($H41 = AP40, 1, 0)</f>
        <v>0</v>
      </c>
      <c r="AQ42" s="107">
        <f t="shared" si="12"/>
        <v>0</v>
      </c>
      <c r="AR42" s="107">
        <f t="shared" ref="AR42" si="14">IF($H41 = AR40, 1, 0)</f>
        <v>0</v>
      </c>
      <c r="AS42" s="58"/>
      <c r="AT42" s="92" t="s">
        <v>547</v>
      </c>
    </row>
    <row r="43" spans="1:46" x14ac:dyDescent="0.35">
      <c r="A43" s="36"/>
      <c r="B43" s="36"/>
      <c r="C43" s="36"/>
      <c r="D43" s="36"/>
      <c r="E43" s="86"/>
      <c r="F43" s="36"/>
      <c r="G43" s="36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36"/>
    </row>
    <row r="44" spans="1:46" x14ac:dyDescent="0.35">
      <c r="A44" s="98"/>
      <c r="B44" s="36"/>
      <c r="C44" s="36"/>
      <c r="D44" s="36"/>
      <c r="E44" s="89" t="s">
        <v>548</v>
      </c>
      <c r="F44" s="36"/>
      <c r="G44" s="36"/>
      <c r="H44" s="58"/>
      <c r="I44" s="103" t="s">
        <v>120</v>
      </c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92" t="s">
        <v>547</v>
      </c>
    </row>
    <row r="45" spans="1:46" x14ac:dyDescent="0.35">
      <c r="A45" s="36"/>
      <c r="B45" s="36"/>
      <c r="C45" s="36"/>
      <c r="D45" s="36"/>
      <c r="E45" s="36"/>
      <c r="F45" s="90" t="s">
        <v>196</v>
      </c>
      <c r="G45" s="90" t="str">
        <f>G$19</f>
        <v>£ per year</v>
      </c>
      <c r="H45" s="114"/>
      <c r="I45" s="114"/>
      <c r="J45" s="128">
        <f>$H38 * J$31 * J42</f>
        <v>0</v>
      </c>
      <c r="K45" s="128">
        <f t="shared" ref="K45:AQ45" si="15">$H38 * K$31 * K42</f>
        <v>9837160.8505084664</v>
      </c>
      <c r="L45" s="128">
        <f t="shared" si="15"/>
        <v>0</v>
      </c>
      <c r="M45" s="128">
        <f t="shared" si="15"/>
        <v>6394154.5528305033</v>
      </c>
      <c r="N45" s="128">
        <f t="shared" si="15"/>
        <v>1623131.5403338969</v>
      </c>
      <c r="O45" s="128">
        <f t="shared" si="15"/>
        <v>1377202.5190711853</v>
      </c>
      <c r="P45" s="128">
        <f t="shared" si="15"/>
        <v>0</v>
      </c>
      <c r="Q45" s="128">
        <f t="shared" si="15"/>
        <v>0</v>
      </c>
      <c r="R45" s="128">
        <f t="shared" si="15"/>
        <v>0</v>
      </c>
      <c r="S45" s="128">
        <f t="shared" si="15"/>
        <v>0</v>
      </c>
      <c r="T45" s="128">
        <f t="shared" si="15"/>
        <v>0</v>
      </c>
      <c r="U45" s="128">
        <f t="shared" si="15"/>
        <v>0</v>
      </c>
      <c r="V45" s="128">
        <f t="shared" si="15"/>
        <v>0</v>
      </c>
      <c r="W45" s="128">
        <f t="shared" si="15"/>
        <v>0</v>
      </c>
      <c r="X45" s="128">
        <f t="shared" si="15"/>
        <v>0</v>
      </c>
      <c r="Y45" s="128">
        <f t="shared" si="15"/>
        <v>0</v>
      </c>
      <c r="Z45" s="128">
        <f t="shared" si="15"/>
        <v>0</v>
      </c>
      <c r="AA45" s="128">
        <f t="shared" si="15"/>
        <v>0</v>
      </c>
      <c r="AB45" s="128">
        <f t="shared" si="15"/>
        <v>0</v>
      </c>
      <c r="AC45" s="128">
        <f t="shared" si="15"/>
        <v>0</v>
      </c>
      <c r="AD45" s="128">
        <f t="shared" si="15"/>
        <v>0</v>
      </c>
      <c r="AE45" s="128">
        <f t="shared" si="15"/>
        <v>0</v>
      </c>
      <c r="AF45" s="128">
        <f t="shared" si="15"/>
        <v>0</v>
      </c>
      <c r="AG45" s="128">
        <f t="shared" si="15"/>
        <v>0</v>
      </c>
      <c r="AH45" s="128">
        <f t="shared" si="15"/>
        <v>0</v>
      </c>
      <c r="AI45" s="128">
        <f t="shared" si="15"/>
        <v>0</v>
      </c>
      <c r="AJ45" s="128">
        <f t="shared" si="15"/>
        <v>0</v>
      </c>
      <c r="AK45" s="128">
        <f t="shared" si="15"/>
        <v>0</v>
      </c>
      <c r="AL45" s="128">
        <f t="shared" si="15"/>
        <v>0</v>
      </c>
      <c r="AM45" s="128">
        <f t="shared" si="15"/>
        <v>0</v>
      </c>
      <c r="AN45" s="128">
        <f t="shared" si="15"/>
        <v>0</v>
      </c>
      <c r="AO45" s="128">
        <f t="shared" si="15"/>
        <v>0</v>
      </c>
      <c r="AP45" s="128">
        <f t="shared" ref="AP45" si="16">$H38 * AP$31 * AP42</f>
        <v>0</v>
      </c>
      <c r="AQ45" s="128">
        <f t="shared" si="15"/>
        <v>0</v>
      </c>
      <c r="AR45" s="128">
        <f t="shared" ref="AR45" si="17">$H38 * AR$31 * AR42</f>
        <v>0</v>
      </c>
      <c r="AS45" s="58"/>
      <c r="AT45" s="36"/>
    </row>
    <row r="46" spans="1:46" x14ac:dyDescent="0.35">
      <c r="A46" s="36"/>
      <c r="B46" s="36"/>
      <c r="C46" s="36"/>
      <c r="D46" s="36"/>
      <c r="E46" s="36"/>
      <c r="F46" s="92" t="s">
        <v>197</v>
      </c>
      <c r="G46" s="92" t="str">
        <f>G$19</f>
        <v>£ per year</v>
      </c>
      <c r="H46" s="101"/>
      <c r="I46" s="101"/>
      <c r="J46" s="185">
        <f>J$31 - J45</f>
        <v>4840000.0000000037</v>
      </c>
      <c r="K46" s="185">
        <f t="shared" ref="K46:AQ46" si="18">K$31 - K45</f>
        <v>10162839.149491534</v>
      </c>
      <c r="L46" s="185">
        <f t="shared" si="18"/>
        <v>0</v>
      </c>
      <c r="M46" s="185">
        <f t="shared" si="18"/>
        <v>6605845.4471694967</v>
      </c>
      <c r="N46" s="185">
        <f t="shared" si="18"/>
        <v>1676868.4596661031</v>
      </c>
      <c r="O46" s="185">
        <f t="shared" si="18"/>
        <v>1422797.4809288147</v>
      </c>
      <c r="P46" s="185">
        <f t="shared" si="18"/>
        <v>0</v>
      </c>
      <c r="Q46" s="185">
        <f t="shared" si="18"/>
        <v>0</v>
      </c>
      <c r="R46" s="185">
        <f t="shared" si="18"/>
        <v>0</v>
      </c>
      <c r="S46" s="185">
        <f t="shared" si="18"/>
        <v>0</v>
      </c>
      <c r="T46" s="185">
        <f t="shared" si="18"/>
        <v>0</v>
      </c>
      <c r="U46" s="185">
        <f t="shared" si="18"/>
        <v>0</v>
      </c>
      <c r="V46" s="185">
        <f t="shared" si="18"/>
        <v>0</v>
      </c>
      <c r="W46" s="185">
        <f t="shared" si="18"/>
        <v>0</v>
      </c>
      <c r="X46" s="185">
        <f t="shared" si="18"/>
        <v>0</v>
      </c>
      <c r="Y46" s="185">
        <f t="shared" si="18"/>
        <v>0</v>
      </c>
      <c r="Z46" s="185">
        <f t="shared" si="18"/>
        <v>0</v>
      </c>
      <c r="AA46" s="185">
        <f t="shared" si="18"/>
        <v>0</v>
      </c>
      <c r="AB46" s="185">
        <f t="shared" si="18"/>
        <v>0</v>
      </c>
      <c r="AC46" s="185">
        <f t="shared" si="18"/>
        <v>0</v>
      </c>
      <c r="AD46" s="185">
        <f t="shared" si="18"/>
        <v>0</v>
      </c>
      <c r="AE46" s="185">
        <f t="shared" si="18"/>
        <v>0</v>
      </c>
      <c r="AF46" s="185">
        <f t="shared" si="18"/>
        <v>0</v>
      </c>
      <c r="AG46" s="185">
        <f t="shared" si="18"/>
        <v>0</v>
      </c>
      <c r="AH46" s="185">
        <f t="shared" si="18"/>
        <v>0</v>
      </c>
      <c r="AI46" s="185">
        <f t="shared" si="18"/>
        <v>0</v>
      </c>
      <c r="AJ46" s="185">
        <f t="shared" si="18"/>
        <v>0</v>
      </c>
      <c r="AK46" s="185">
        <f t="shared" si="18"/>
        <v>0</v>
      </c>
      <c r="AL46" s="185">
        <f t="shared" si="18"/>
        <v>0</v>
      </c>
      <c r="AM46" s="185">
        <f t="shared" si="18"/>
        <v>0</v>
      </c>
      <c r="AN46" s="185">
        <f t="shared" si="18"/>
        <v>0</v>
      </c>
      <c r="AO46" s="185">
        <f t="shared" si="18"/>
        <v>0</v>
      </c>
      <c r="AP46" s="185">
        <f t="shared" ref="AP46" si="19">AP$31 - AP45</f>
        <v>0</v>
      </c>
      <c r="AQ46" s="185">
        <f t="shared" si="18"/>
        <v>0</v>
      </c>
      <c r="AR46" s="185">
        <f t="shared" ref="AR46" si="20">AR$31 - AR45</f>
        <v>0</v>
      </c>
      <c r="AS46" s="58"/>
      <c r="AT46" s="36"/>
    </row>
    <row r="47" spans="1:46" x14ac:dyDescent="0.35">
      <c r="A47" s="36"/>
      <c r="B47" s="36"/>
      <c r="C47" s="36"/>
      <c r="D47" s="36"/>
      <c r="E47" s="36"/>
      <c r="F47" s="92" t="s">
        <v>198</v>
      </c>
      <c r="G47" s="92" t="str">
        <f>G$19</f>
        <v>£ per year</v>
      </c>
      <c r="H47" s="101"/>
      <c r="I47" s="101"/>
      <c r="J47" s="129">
        <f t="shared" ref="J47:AQ47" si="21">J32</f>
        <v>0</v>
      </c>
      <c r="K47" s="129">
        <f t="shared" si="21"/>
        <v>7800000</v>
      </c>
      <c r="L47" s="129">
        <f t="shared" si="21"/>
        <v>0</v>
      </c>
      <c r="M47" s="129">
        <f t="shared" si="21"/>
        <v>500000</v>
      </c>
      <c r="N47" s="129">
        <f t="shared" si="21"/>
        <v>3400000</v>
      </c>
      <c r="O47" s="129">
        <f t="shared" si="21"/>
        <v>0</v>
      </c>
      <c r="P47" s="129">
        <f t="shared" si="21"/>
        <v>0</v>
      </c>
      <c r="Q47" s="129">
        <f t="shared" si="21"/>
        <v>0</v>
      </c>
      <c r="R47" s="129">
        <f t="shared" si="21"/>
        <v>0</v>
      </c>
      <c r="S47" s="129">
        <f t="shared" si="21"/>
        <v>0</v>
      </c>
      <c r="T47" s="129">
        <f t="shared" si="21"/>
        <v>0</v>
      </c>
      <c r="U47" s="129">
        <f t="shared" si="21"/>
        <v>0</v>
      </c>
      <c r="V47" s="129">
        <f t="shared" si="21"/>
        <v>0</v>
      </c>
      <c r="W47" s="129">
        <f t="shared" si="21"/>
        <v>0</v>
      </c>
      <c r="X47" s="129">
        <f t="shared" si="21"/>
        <v>0</v>
      </c>
      <c r="Y47" s="129">
        <f t="shared" si="21"/>
        <v>0</v>
      </c>
      <c r="Z47" s="129">
        <f t="shared" si="21"/>
        <v>0</v>
      </c>
      <c r="AA47" s="129">
        <f t="shared" si="21"/>
        <v>0</v>
      </c>
      <c r="AB47" s="129">
        <f t="shared" si="21"/>
        <v>0</v>
      </c>
      <c r="AC47" s="129">
        <f t="shared" si="21"/>
        <v>0</v>
      </c>
      <c r="AD47" s="129">
        <f t="shared" si="21"/>
        <v>0</v>
      </c>
      <c r="AE47" s="129">
        <f t="shared" si="21"/>
        <v>0</v>
      </c>
      <c r="AF47" s="129">
        <f t="shared" si="21"/>
        <v>0</v>
      </c>
      <c r="AG47" s="129">
        <f t="shared" si="21"/>
        <v>0</v>
      </c>
      <c r="AH47" s="129">
        <f t="shared" si="21"/>
        <v>0</v>
      </c>
      <c r="AI47" s="129">
        <f t="shared" si="21"/>
        <v>0</v>
      </c>
      <c r="AJ47" s="129">
        <f t="shared" si="21"/>
        <v>0</v>
      </c>
      <c r="AK47" s="129">
        <f t="shared" si="21"/>
        <v>0</v>
      </c>
      <c r="AL47" s="129">
        <f t="shared" si="21"/>
        <v>0</v>
      </c>
      <c r="AM47" s="129">
        <f t="shared" si="21"/>
        <v>0</v>
      </c>
      <c r="AN47" s="129">
        <f t="shared" si="21"/>
        <v>0</v>
      </c>
      <c r="AO47" s="129">
        <f t="shared" si="21"/>
        <v>0</v>
      </c>
      <c r="AP47" s="129">
        <f t="shared" ref="AP47" si="22">AP32</f>
        <v>0</v>
      </c>
      <c r="AQ47" s="129">
        <f t="shared" si="21"/>
        <v>0</v>
      </c>
      <c r="AR47" s="129">
        <f t="shared" ref="AR47" si="23">AR32</f>
        <v>0</v>
      </c>
      <c r="AS47" s="58"/>
      <c r="AT47" s="36"/>
    </row>
    <row r="48" spans="1:46" x14ac:dyDescent="0.35">
      <c r="A48" s="36"/>
      <c r="B48" s="36"/>
      <c r="C48" s="36"/>
      <c r="D48" s="36"/>
      <c r="E48" s="36"/>
      <c r="F48" s="92" t="s">
        <v>199</v>
      </c>
      <c r="G48" s="92" t="str">
        <f>G$19</f>
        <v>£ per year</v>
      </c>
      <c r="H48" s="101"/>
      <c r="I48" s="101"/>
      <c r="J48" s="129">
        <f t="shared" ref="J48:AQ48" si="24">J33</f>
        <v>17380000.000000004</v>
      </c>
      <c r="K48" s="129">
        <f t="shared" si="24"/>
        <v>10800000</v>
      </c>
      <c r="L48" s="129">
        <f t="shared" si="24"/>
        <v>0</v>
      </c>
      <c r="M48" s="129">
        <f t="shared" si="24"/>
        <v>6100000</v>
      </c>
      <c r="N48" s="129">
        <f t="shared" si="24"/>
        <v>899999.99999999988</v>
      </c>
      <c r="O48" s="129">
        <f t="shared" si="24"/>
        <v>2900000</v>
      </c>
      <c r="P48" s="129">
        <f t="shared" si="24"/>
        <v>0</v>
      </c>
      <c r="Q48" s="129">
        <f t="shared" si="24"/>
        <v>0</v>
      </c>
      <c r="R48" s="129">
        <f t="shared" si="24"/>
        <v>0</v>
      </c>
      <c r="S48" s="129">
        <f t="shared" si="24"/>
        <v>0</v>
      </c>
      <c r="T48" s="129">
        <f t="shared" si="24"/>
        <v>0</v>
      </c>
      <c r="U48" s="129">
        <f t="shared" si="24"/>
        <v>0</v>
      </c>
      <c r="V48" s="129">
        <f t="shared" si="24"/>
        <v>0</v>
      </c>
      <c r="W48" s="129">
        <f t="shared" si="24"/>
        <v>0</v>
      </c>
      <c r="X48" s="129">
        <f t="shared" si="24"/>
        <v>0</v>
      </c>
      <c r="Y48" s="129">
        <f t="shared" si="24"/>
        <v>0</v>
      </c>
      <c r="Z48" s="129">
        <f t="shared" si="24"/>
        <v>0</v>
      </c>
      <c r="AA48" s="129">
        <f t="shared" si="24"/>
        <v>0</v>
      </c>
      <c r="AB48" s="129">
        <f t="shared" si="24"/>
        <v>0</v>
      </c>
      <c r="AC48" s="129">
        <f t="shared" si="24"/>
        <v>0</v>
      </c>
      <c r="AD48" s="129">
        <f t="shared" si="24"/>
        <v>0</v>
      </c>
      <c r="AE48" s="129">
        <f t="shared" si="24"/>
        <v>0</v>
      </c>
      <c r="AF48" s="129">
        <f t="shared" si="24"/>
        <v>0</v>
      </c>
      <c r="AG48" s="129">
        <f t="shared" si="24"/>
        <v>0</v>
      </c>
      <c r="AH48" s="129">
        <f t="shared" si="24"/>
        <v>0</v>
      </c>
      <c r="AI48" s="129">
        <f t="shared" si="24"/>
        <v>0</v>
      </c>
      <c r="AJ48" s="129">
        <f t="shared" si="24"/>
        <v>0</v>
      </c>
      <c r="AK48" s="129">
        <f t="shared" si="24"/>
        <v>0</v>
      </c>
      <c r="AL48" s="129">
        <f t="shared" si="24"/>
        <v>0</v>
      </c>
      <c r="AM48" s="129">
        <f t="shared" si="24"/>
        <v>0</v>
      </c>
      <c r="AN48" s="129">
        <f t="shared" si="24"/>
        <v>0</v>
      </c>
      <c r="AO48" s="129">
        <f t="shared" si="24"/>
        <v>0</v>
      </c>
      <c r="AP48" s="129">
        <f t="shared" ref="AP48" si="25">AP33</f>
        <v>0</v>
      </c>
      <c r="AQ48" s="129">
        <f t="shared" si="24"/>
        <v>0</v>
      </c>
      <c r="AR48" s="129">
        <f t="shared" ref="AR48" si="26">AR33</f>
        <v>0</v>
      </c>
      <c r="AS48" s="58"/>
      <c r="AT48" s="36"/>
    </row>
    <row r="49" spans="1:46" x14ac:dyDescent="0.35">
      <c r="A49" s="36"/>
      <c r="B49" s="36"/>
      <c r="C49" s="36"/>
      <c r="D49" s="36"/>
      <c r="E49" s="36"/>
      <c r="F49" s="94" t="s">
        <v>201</v>
      </c>
      <c r="G49" s="94" t="str">
        <f>G$19</f>
        <v>£ per year</v>
      </c>
      <c r="H49" s="115"/>
      <c r="I49" s="115"/>
      <c r="J49" s="184">
        <f t="shared" ref="J49:AQ49" si="27">J34</f>
        <v>37080000</v>
      </c>
      <c r="K49" s="184">
        <f t="shared" si="27"/>
        <v>13299999.999999998</v>
      </c>
      <c r="L49" s="184">
        <f t="shared" si="27"/>
        <v>0</v>
      </c>
      <c r="M49" s="184">
        <f t="shared" si="27"/>
        <v>900000</v>
      </c>
      <c r="N49" s="184">
        <f t="shared" si="27"/>
        <v>4800000</v>
      </c>
      <c r="O49" s="184">
        <f t="shared" si="27"/>
        <v>1200000</v>
      </c>
      <c r="P49" s="184">
        <f t="shared" si="27"/>
        <v>0</v>
      </c>
      <c r="Q49" s="184">
        <f t="shared" si="27"/>
        <v>0</v>
      </c>
      <c r="R49" s="184">
        <f t="shared" si="27"/>
        <v>0</v>
      </c>
      <c r="S49" s="184">
        <f t="shared" si="27"/>
        <v>0</v>
      </c>
      <c r="T49" s="184">
        <f t="shared" si="27"/>
        <v>0</v>
      </c>
      <c r="U49" s="184">
        <f t="shared" si="27"/>
        <v>0</v>
      </c>
      <c r="V49" s="184">
        <f t="shared" si="27"/>
        <v>0</v>
      </c>
      <c r="W49" s="184">
        <f t="shared" si="27"/>
        <v>0</v>
      </c>
      <c r="X49" s="184">
        <f t="shared" si="27"/>
        <v>0</v>
      </c>
      <c r="Y49" s="184">
        <f t="shared" si="27"/>
        <v>0</v>
      </c>
      <c r="Z49" s="184">
        <f t="shared" si="27"/>
        <v>0</v>
      </c>
      <c r="AA49" s="184">
        <f t="shared" si="27"/>
        <v>0</v>
      </c>
      <c r="AB49" s="184">
        <f t="shared" si="27"/>
        <v>0</v>
      </c>
      <c r="AC49" s="184">
        <f t="shared" si="27"/>
        <v>0</v>
      </c>
      <c r="AD49" s="184">
        <f t="shared" si="27"/>
        <v>0</v>
      </c>
      <c r="AE49" s="184">
        <f t="shared" si="27"/>
        <v>0</v>
      </c>
      <c r="AF49" s="184">
        <f t="shared" si="27"/>
        <v>0</v>
      </c>
      <c r="AG49" s="184">
        <f t="shared" si="27"/>
        <v>0</v>
      </c>
      <c r="AH49" s="184">
        <f t="shared" si="27"/>
        <v>0</v>
      </c>
      <c r="AI49" s="184">
        <f t="shared" si="27"/>
        <v>0</v>
      </c>
      <c r="AJ49" s="184">
        <f t="shared" si="27"/>
        <v>0</v>
      </c>
      <c r="AK49" s="184">
        <f t="shared" si="27"/>
        <v>0</v>
      </c>
      <c r="AL49" s="184">
        <f t="shared" si="27"/>
        <v>0</v>
      </c>
      <c r="AM49" s="184">
        <f t="shared" si="27"/>
        <v>0</v>
      </c>
      <c r="AN49" s="184">
        <f t="shared" si="27"/>
        <v>0</v>
      </c>
      <c r="AO49" s="184">
        <f t="shared" si="27"/>
        <v>0</v>
      </c>
      <c r="AP49" s="184">
        <f t="shared" ref="AP49" si="28">AP34</f>
        <v>0</v>
      </c>
      <c r="AQ49" s="184">
        <f t="shared" si="27"/>
        <v>0</v>
      </c>
      <c r="AR49" s="184">
        <f t="shared" ref="AR49" si="29">AR34</f>
        <v>0</v>
      </c>
      <c r="AS49" s="58"/>
      <c r="AT49" s="36"/>
    </row>
    <row r="50" spans="1:46" x14ac:dyDescent="0.35">
      <c r="A50" s="36"/>
      <c r="B50" s="36"/>
      <c r="C50" s="36"/>
      <c r="D50" s="36"/>
      <c r="E50" s="36"/>
      <c r="F50" s="36"/>
      <c r="G50" s="36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36"/>
    </row>
    <row r="51" spans="1:46" x14ac:dyDescent="0.35">
      <c r="A51" s="36"/>
      <c r="B51" s="36"/>
      <c r="C51" s="36"/>
      <c r="D51" s="36"/>
      <c r="E51" s="92" t="s">
        <v>549</v>
      </c>
      <c r="F51" s="36"/>
      <c r="G51" s="92" t="s">
        <v>434</v>
      </c>
      <c r="H51" s="101"/>
      <c r="I51" s="101"/>
      <c r="J51" s="101">
        <f t="shared" ref="J51:AQ51" si="30">SUM(J45:J49)</f>
        <v>59300000.000000007</v>
      </c>
      <c r="K51" s="101">
        <f t="shared" si="30"/>
        <v>51900000</v>
      </c>
      <c r="L51" s="101">
        <f t="shared" si="30"/>
        <v>0</v>
      </c>
      <c r="M51" s="101">
        <f t="shared" si="30"/>
        <v>20500000</v>
      </c>
      <c r="N51" s="101">
        <f t="shared" si="30"/>
        <v>12400000</v>
      </c>
      <c r="O51" s="101">
        <f t="shared" si="30"/>
        <v>6900000</v>
      </c>
      <c r="P51" s="101">
        <f t="shared" si="30"/>
        <v>0</v>
      </c>
      <c r="Q51" s="101">
        <f t="shared" si="30"/>
        <v>0</v>
      </c>
      <c r="R51" s="101">
        <f t="shared" si="30"/>
        <v>0</v>
      </c>
      <c r="S51" s="101">
        <f t="shared" si="30"/>
        <v>0</v>
      </c>
      <c r="T51" s="101">
        <f t="shared" si="30"/>
        <v>0</v>
      </c>
      <c r="U51" s="101">
        <f t="shared" si="30"/>
        <v>0</v>
      </c>
      <c r="V51" s="101">
        <f t="shared" si="30"/>
        <v>0</v>
      </c>
      <c r="W51" s="101">
        <f t="shared" si="30"/>
        <v>0</v>
      </c>
      <c r="X51" s="101">
        <f t="shared" si="30"/>
        <v>0</v>
      </c>
      <c r="Y51" s="101">
        <f t="shared" si="30"/>
        <v>0</v>
      </c>
      <c r="Z51" s="101">
        <f t="shared" si="30"/>
        <v>0</v>
      </c>
      <c r="AA51" s="101">
        <f t="shared" si="30"/>
        <v>0</v>
      </c>
      <c r="AB51" s="101">
        <f t="shared" si="30"/>
        <v>0</v>
      </c>
      <c r="AC51" s="101">
        <f t="shared" si="30"/>
        <v>0</v>
      </c>
      <c r="AD51" s="101">
        <f t="shared" si="30"/>
        <v>0</v>
      </c>
      <c r="AE51" s="101">
        <f t="shared" si="30"/>
        <v>0</v>
      </c>
      <c r="AF51" s="101">
        <f t="shared" si="30"/>
        <v>0</v>
      </c>
      <c r="AG51" s="101">
        <f t="shared" si="30"/>
        <v>0</v>
      </c>
      <c r="AH51" s="101">
        <f t="shared" si="30"/>
        <v>0</v>
      </c>
      <c r="AI51" s="101">
        <f t="shared" si="30"/>
        <v>0</v>
      </c>
      <c r="AJ51" s="101">
        <f t="shared" si="30"/>
        <v>0</v>
      </c>
      <c r="AK51" s="101">
        <f t="shared" si="30"/>
        <v>0</v>
      </c>
      <c r="AL51" s="101">
        <f t="shared" si="30"/>
        <v>0</v>
      </c>
      <c r="AM51" s="101">
        <f t="shared" si="30"/>
        <v>0</v>
      </c>
      <c r="AN51" s="101">
        <f t="shared" si="30"/>
        <v>0</v>
      </c>
      <c r="AO51" s="101">
        <f t="shared" si="30"/>
        <v>0</v>
      </c>
      <c r="AP51" s="101">
        <f t="shared" ref="AP51" si="31">SUM(AP45:AP49)</f>
        <v>0</v>
      </c>
      <c r="AQ51" s="101">
        <f t="shared" si="30"/>
        <v>0</v>
      </c>
      <c r="AR51" s="101">
        <f t="shared" ref="AR51" si="32">SUM(AR45:AR49)</f>
        <v>0</v>
      </c>
      <c r="AS51" s="58"/>
      <c r="AT51" s="36"/>
    </row>
    <row r="52" spans="1:46" x14ac:dyDescent="0.35">
      <c r="A52" s="36"/>
      <c r="B52" s="36"/>
      <c r="C52" s="36"/>
      <c r="D52" s="36"/>
      <c r="E52" s="86"/>
      <c r="F52" s="36"/>
      <c r="G52" s="36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36"/>
    </row>
    <row r="53" spans="1:46" x14ac:dyDescent="0.35">
      <c r="A53" s="36"/>
      <c r="B53" s="84" t="s">
        <v>550</v>
      </c>
      <c r="C53" s="84"/>
      <c r="D53" s="84"/>
      <c r="E53" s="84"/>
      <c r="F53" s="84"/>
      <c r="G53" s="84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4"/>
    </row>
    <row r="54" spans="1:46" x14ac:dyDescent="0.35">
      <c r="A54" s="36"/>
      <c r="B54" s="36"/>
      <c r="C54" s="36"/>
      <c r="D54" s="36"/>
      <c r="E54" s="36"/>
      <c r="F54" s="36"/>
      <c r="G54" s="36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36"/>
    </row>
    <row r="55" spans="1:46" x14ac:dyDescent="0.35">
      <c r="A55" s="36"/>
      <c r="B55" s="36"/>
      <c r="C55" s="86" t="s">
        <v>551</v>
      </c>
      <c r="D55" s="86"/>
      <c r="E55" s="36"/>
      <c r="F55" s="36"/>
      <c r="G55" s="36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36"/>
    </row>
    <row r="56" spans="1:46" x14ac:dyDescent="0.35">
      <c r="A56" s="36"/>
      <c r="B56" s="36"/>
      <c r="C56" s="86" t="s">
        <v>552</v>
      </c>
      <c r="D56" s="86"/>
      <c r="E56" s="36"/>
      <c r="F56" s="36"/>
      <c r="G56" s="36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36"/>
    </row>
    <row r="57" spans="1:46" x14ac:dyDescent="0.35">
      <c r="A57" s="36"/>
      <c r="B57" s="36"/>
      <c r="C57" s="86"/>
      <c r="D57" s="86"/>
      <c r="E57" s="36"/>
      <c r="F57" s="36"/>
      <c r="G57" s="36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36"/>
    </row>
    <row r="58" spans="1:46" x14ac:dyDescent="0.35">
      <c r="A58" s="36"/>
      <c r="B58" s="36"/>
      <c r="C58" s="87" t="s">
        <v>553</v>
      </c>
      <c r="D58" s="87"/>
      <c r="E58" s="87"/>
      <c r="F58" s="87"/>
      <c r="G58" s="87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7"/>
    </row>
    <row r="59" spans="1:46" x14ac:dyDescent="0.35">
      <c r="A59" s="36"/>
      <c r="B59" s="36"/>
      <c r="C59" s="86"/>
      <c r="D59" s="86"/>
      <c r="E59" s="36"/>
      <c r="F59" s="36"/>
      <c r="G59" s="36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36"/>
    </row>
    <row r="60" spans="1:46" x14ac:dyDescent="0.35">
      <c r="A60" s="36"/>
      <c r="B60" s="36"/>
      <c r="C60" s="36"/>
      <c r="D60" s="86"/>
      <c r="E60" s="92" t="str">
        <f>'DNO inputs'!E262</f>
        <v>2007/08 RRP expenditure, by cost category</v>
      </c>
      <c r="F60" s="36"/>
      <c r="G60" s="92" t="str">
        <f>'DNO inputs'!G263</f>
        <v>£ per year</v>
      </c>
      <c r="H60" s="101"/>
      <c r="I60" s="101"/>
      <c r="J60" s="119">
        <f t="array" ref="J60:AR60">TRANSPOSE('DNO inputs'!H263:H297)</f>
        <v>35500000</v>
      </c>
      <c r="K60" s="119">
        <v>51900000</v>
      </c>
      <c r="L60" s="119">
        <v>7700000</v>
      </c>
      <c r="M60" s="119">
        <v>22600000</v>
      </c>
      <c r="N60" s="119">
        <v>13500000</v>
      </c>
      <c r="O60" s="119">
        <v>6900000</v>
      </c>
      <c r="P60" s="119">
        <v>200000</v>
      </c>
      <c r="Q60" s="119">
        <v>3000000</v>
      </c>
      <c r="R60" s="119">
        <v>6800000</v>
      </c>
      <c r="S60" s="119">
        <v>19700000</v>
      </c>
      <c r="T60" s="119">
        <v>2600000</v>
      </c>
      <c r="U60" s="119">
        <v>900000</v>
      </c>
      <c r="V60" s="119">
        <v>2500000</v>
      </c>
      <c r="W60" s="119">
        <v>1500000</v>
      </c>
      <c r="X60" s="119">
        <v>11900000</v>
      </c>
      <c r="Y60" s="119">
        <v>8300000.0000000009</v>
      </c>
      <c r="Z60" s="119">
        <v>3600000</v>
      </c>
      <c r="AA60" s="119">
        <v>3200000</v>
      </c>
      <c r="AB60" s="119">
        <v>1800000</v>
      </c>
      <c r="AC60" s="119">
        <v>9200000</v>
      </c>
      <c r="AD60" s="119">
        <v>2300000</v>
      </c>
      <c r="AE60" s="119">
        <v>3000000</v>
      </c>
      <c r="AF60" s="119">
        <v>27000000</v>
      </c>
      <c r="AG60" s="119">
        <v>13100000</v>
      </c>
      <c r="AH60" s="119">
        <v>26900000</v>
      </c>
      <c r="AI60" s="119">
        <v>-100000</v>
      </c>
      <c r="AJ60" s="119">
        <v>1000000</v>
      </c>
      <c r="AK60" s="119">
        <v>3900000</v>
      </c>
      <c r="AL60" s="119">
        <v>67900000</v>
      </c>
      <c r="AM60" s="119">
        <v>37800000</v>
      </c>
      <c r="AN60" s="119">
        <v>9800000</v>
      </c>
      <c r="AO60" s="119">
        <v>-27000000</v>
      </c>
      <c r="AP60" s="119">
        <v>1300000</v>
      </c>
      <c r="AQ60" s="119">
        <v>41600000</v>
      </c>
      <c r="AR60" s="119">
        <v>0</v>
      </c>
      <c r="AS60" s="58"/>
      <c r="AT60" s="36"/>
    </row>
    <row r="61" spans="1:46" x14ac:dyDescent="0.35">
      <c r="A61" s="36"/>
      <c r="B61" s="36"/>
      <c r="C61" s="36"/>
      <c r="D61" s="36"/>
      <c r="E61" s="86"/>
      <c r="F61" s="36"/>
      <c r="G61" s="36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36"/>
    </row>
    <row r="62" spans="1:46" x14ac:dyDescent="0.35">
      <c r="A62" s="98"/>
      <c r="B62" s="36"/>
      <c r="C62" s="36"/>
      <c r="D62" s="36"/>
      <c r="E62" s="92" t="s">
        <v>554</v>
      </c>
      <c r="F62" s="36"/>
      <c r="G62" s="92" t="str">
        <f>G$19</f>
        <v>£ per year</v>
      </c>
      <c r="H62" s="101"/>
      <c r="I62" s="112" t="s">
        <v>120</v>
      </c>
      <c r="J62" s="101">
        <f>J60 - J51</f>
        <v>-23800000.000000007</v>
      </c>
      <c r="K62" s="101">
        <f t="shared" ref="K62:AQ62" si="33">K60 - K51</f>
        <v>0</v>
      </c>
      <c r="L62" s="101">
        <f t="shared" si="33"/>
        <v>7700000</v>
      </c>
      <c r="M62" s="101">
        <f t="shared" si="33"/>
        <v>2100000</v>
      </c>
      <c r="N62" s="101">
        <f t="shared" si="33"/>
        <v>1100000</v>
      </c>
      <c r="O62" s="101">
        <f t="shared" si="33"/>
        <v>0</v>
      </c>
      <c r="P62" s="101">
        <f t="shared" si="33"/>
        <v>200000</v>
      </c>
      <c r="Q62" s="101">
        <f t="shared" si="33"/>
        <v>3000000</v>
      </c>
      <c r="R62" s="101">
        <f t="shared" si="33"/>
        <v>6800000</v>
      </c>
      <c r="S62" s="101">
        <f t="shared" si="33"/>
        <v>19700000</v>
      </c>
      <c r="T62" s="101">
        <f t="shared" si="33"/>
        <v>2600000</v>
      </c>
      <c r="U62" s="101">
        <f t="shared" si="33"/>
        <v>900000</v>
      </c>
      <c r="V62" s="101">
        <f t="shared" si="33"/>
        <v>2500000</v>
      </c>
      <c r="W62" s="101">
        <f t="shared" si="33"/>
        <v>1500000</v>
      </c>
      <c r="X62" s="101">
        <f t="shared" si="33"/>
        <v>11900000</v>
      </c>
      <c r="Y62" s="101">
        <f t="shared" si="33"/>
        <v>8300000.0000000009</v>
      </c>
      <c r="Z62" s="101">
        <f t="shared" si="33"/>
        <v>3600000</v>
      </c>
      <c r="AA62" s="101">
        <f t="shared" si="33"/>
        <v>3200000</v>
      </c>
      <c r="AB62" s="101">
        <f t="shared" si="33"/>
        <v>1800000</v>
      </c>
      <c r="AC62" s="101">
        <f t="shared" si="33"/>
        <v>9200000</v>
      </c>
      <c r="AD62" s="101">
        <f t="shared" si="33"/>
        <v>2300000</v>
      </c>
      <c r="AE62" s="101">
        <f t="shared" si="33"/>
        <v>3000000</v>
      </c>
      <c r="AF62" s="101">
        <f t="shared" si="33"/>
        <v>27000000</v>
      </c>
      <c r="AG62" s="101">
        <f t="shared" si="33"/>
        <v>13100000</v>
      </c>
      <c r="AH62" s="101">
        <f t="shared" si="33"/>
        <v>26900000</v>
      </c>
      <c r="AI62" s="101">
        <f t="shared" si="33"/>
        <v>-100000</v>
      </c>
      <c r="AJ62" s="101">
        <f t="shared" si="33"/>
        <v>1000000</v>
      </c>
      <c r="AK62" s="101">
        <f t="shared" si="33"/>
        <v>3900000</v>
      </c>
      <c r="AL62" s="101">
        <f t="shared" si="33"/>
        <v>67900000</v>
      </c>
      <c r="AM62" s="101">
        <f t="shared" si="33"/>
        <v>37800000</v>
      </c>
      <c r="AN62" s="101">
        <f t="shared" si="33"/>
        <v>9800000</v>
      </c>
      <c r="AO62" s="101">
        <f t="shared" si="33"/>
        <v>-27000000</v>
      </c>
      <c r="AP62" s="101">
        <f t="shared" ref="AP62" si="34">AP60 - AP51</f>
        <v>1300000</v>
      </c>
      <c r="AQ62" s="101">
        <f t="shared" si="33"/>
        <v>41600000</v>
      </c>
      <c r="AR62" s="101">
        <f t="shared" ref="AR62" si="35">AR60 - AR51</f>
        <v>0</v>
      </c>
      <c r="AS62" s="58"/>
      <c r="AT62" s="92" t="s">
        <v>360</v>
      </c>
    </row>
    <row r="63" spans="1:46" x14ac:dyDescent="0.35">
      <c r="A63" s="36"/>
      <c r="B63" s="36"/>
      <c r="C63" s="36"/>
      <c r="D63" s="36"/>
      <c r="E63" s="86"/>
      <c r="F63" s="36"/>
      <c r="G63" s="36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36"/>
    </row>
    <row r="64" spans="1:46" x14ac:dyDescent="0.35">
      <c r="A64" s="36"/>
      <c r="B64" s="36"/>
      <c r="C64" s="36"/>
      <c r="D64" s="36"/>
      <c r="E64" s="92" t="str">
        <f>'Fixed inputs'!E53</f>
        <v>Allocation rules allocation key, by cost category</v>
      </c>
      <c r="F64" s="36"/>
      <c r="G64" s="92" t="str">
        <f>'Fixed inputs'!G54</f>
        <v>option</v>
      </c>
      <c r="H64" s="101"/>
      <c r="I64" s="101"/>
      <c r="J64" s="127"/>
      <c r="K64" s="119" t="str">
        <f t="array" ref="K64:AR64">TRANSPOSE('Fixed inputs'!H55:H88)</f>
        <v>MEAV</v>
      </c>
      <c r="L64" s="119" t="str">
        <v>MEAV</v>
      </c>
      <c r="M64" s="119" t="str">
        <v>MEAV</v>
      </c>
      <c r="N64" s="119" t="str">
        <v>MEAV</v>
      </c>
      <c r="O64" s="119" t="str">
        <v>MEAV</v>
      </c>
      <c r="P64" s="119" t="str">
        <v>MEAV</v>
      </c>
      <c r="Q64" s="119" t="str">
        <v>MEAV</v>
      </c>
      <c r="R64" s="119" t="str">
        <v>MEAV</v>
      </c>
      <c r="S64" s="119" t="str">
        <v>MEAV</v>
      </c>
      <c r="T64" s="119" t="str">
        <v>MEAV</v>
      </c>
      <c r="U64" s="119" t="str">
        <v>MEAV</v>
      </c>
      <c r="V64" s="119" t="str">
        <v>MEAV</v>
      </c>
      <c r="W64" s="119" t="str">
        <v>MEAV</v>
      </c>
      <c r="X64" s="119" t="str">
        <v>MEAV</v>
      </c>
      <c r="Y64" s="119" t="str">
        <v>Do not allocate</v>
      </c>
      <c r="Z64" s="119" t="str">
        <v>Do not allocate</v>
      </c>
      <c r="AA64" s="119" t="str">
        <v>MEAV</v>
      </c>
      <c r="AB64" s="119" t="str">
        <v>MEAV</v>
      </c>
      <c r="AC64" s="119" t="str">
        <v>MEAV</v>
      </c>
      <c r="AD64" s="119" t="str">
        <v>MEAV</v>
      </c>
      <c r="AE64" s="119" t="str">
        <v>Do not allocate</v>
      </c>
      <c r="AF64" s="119" t="str">
        <v>Do not allocate</v>
      </c>
      <c r="AG64" s="119" t="str">
        <v>Do not allocate</v>
      </c>
      <c r="AH64" s="119" t="str">
        <v>Do not allocate</v>
      </c>
      <c r="AI64" s="119" t="str">
        <v>Do not allocate</v>
      </c>
      <c r="AJ64" s="119" t="str">
        <v>Do not allocate</v>
      </c>
      <c r="AK64" s="119" t="str">
        <v>Do not allocate</v>
      </c>
      <c r="AL64" s="119" t="str">
        <v>Do not allocate</v>
      </c>
      <c r="AM64" s="119" t="str">
        <v>Do not allocate</v>
      </c>
      <c r="AN64" s="119" t="str">
        <v>Deduct from revenue</v>
      </c>
      <c r="AO64" s="119" t="str">
        <v>Do not allocate</v>
      </c>
      <c r="AP64" s="119" t="str">
        <v>LV Services</v>
      </c>
      <c r="AQ64" s="119" t="str">
        <v>Do not allocate</v>
      </c>
      <c r="AR64" s="119" t="str">
        <v>LV Services</v>
      </c>
      <c r="AS64" s="58"/>
      <c r="AT64" s="36"/>
    </row>
    <row r="65" spans="1:46" x14ac:dyDescent="0.35">
      <c r="A65" s="36"/>
      <c r="B65" s="36"/>
      <c r="C65" s="36"/>
      <c r="D65" s="36"/>
      <c r="E65" s="86"/>
      <c r="F65" s="36"/>
      <c r="G65" s="36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36"/>
    </row>
    <row r="66" spans="1:46" x14ac:dyDescent="0.35">
      <c r="A66" s="36"/>
      <c r="B66" s="36"/>
      <c r="C66" s="36"/>
      <c r="D66" s="36"/>
      <c r="E66" s="92" t="str">
        <f>'Fixed inputs'!E49</f>
        <v>MEAV allocation option name</v>
      </c>
      <c r="F66" s="36"/>
      <c r="G66" s="92" t="s">
        <v>133</v>
      </c>
      <c r="H66" s="119" t="str">
        <f>'Fixed inputs'!H49</f>
        <v>MEAV</v>
      </c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1"/>
      <c r="AD66" s="101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1"/>
      <c r="AP66" s="101"/>
      <c r="AQ66" s="101"/>
      <c r="AR66" s="101"/>
      <c r="AS66" s="58"/>
      <c r="AT66" s="36"/>
    </row>
    <row r="67" spans="1:46" x14ac:dyDescent="0.35">
      <c r="A67" s="98"/>
      <c r="B67" s="36"/>
      <c r="C67" s="36"/>
      <c r="D67" s="36"/>
      <c r="E67" s="97" t="s">
        <v>546</v>
      </c>
      <c r="F67" s="36"/>
      <c r="G67" s="92" t="s">
        <v>190</v>
      </c>
      <c r="H67" s="107"/>
      <c r="I67" s="131" t="s">
        <v>120</v>
      </c>
      <c r="J67" s="107">
        <f t="shared" ref="J67:AQ67" si="36">IF($H66 = J64, 1, 0)</f>
        <v>0</v>
      </c>
      <c r="K67" s="107">
        <f t="shared" si="36"/>
        <v>1</v>
      </c>
      <c r="L67" s="107">
        <f t="shared" si="36"/>
        <v>1</v>
      </c>
      <c r="M67" s="107">
        <f t="shared" si="36"/>
        <v>1</v>
      </c>
      <c r="N67" s="107">
        <f t="shared" si="36"/>
        <v>1</v>
      </c>
      <c r="O67" s="107">
        <f t="shared" si="36"/>
        <v>1</v>
      </c>
      <c r="P67" s="107">
        <f t="shared" si="36"/>
        <v>1</v>
      </c>
      <c r="Q67" s="107">
        <f t="shared" si="36"/>
        <v>1</v>
      </c>
      <c r="R67" s="107">
        <f t="shared" si="36"/>
        <v>1</v>
      </c>
      <c r="S67" s="107">
        <f t="shared" si="36"/>
        <v>1</v>
      </c>
      <c r="T67" s="107">
        <f t="shared" si="36"/>
        <v>1</v>
      </c>
      <c r="U67" s="107">
        <f t="shared" si="36"/>
        <v>1</v>
      </c>
      <c r="V67" s="107">
        <f t="shared" si="36"/>
        <v>1</v>
      </c>
      <c r="W67" s="107">
        <f t="shared" si="36"/>
        <v>1</v>
      </c>
      <c r="X67" s="107">
        <f t="shared" si="36"/>
        <v>1</v>
      </c>
      <c r="Y67" s="107">
        <f t="shared" si="36"/>
        <v>0</v>
      </c>
      <c r="Z67" s="107">
        <f t="shared" si="36"/>
        <v>0</v>
      </c>
      <c r="AA67" s="107">
        <f t="shared" si="36"/>
        <v>1</v>
      </c>
      <c r="AB67" s="107">
        <f t="shared" si="36"/>
        <v>1</v>
      </c>
      <c r="AC67" s="107">
        <f t="shared" si="36"/>
        <v>1</v>
      </c>
      <c r="AD67" s="107">
        <f t="shared" si="36"/>
        <v>1</v>
      </c>
      <c r="AE67" s="107">
        <f t="shared" si="36"/>
        <v>0</v>
      </c>
      <c r="AF67" s="107">
        <f t="shared" si="36"/>
        <v>0</v>
      </c>
      <c r="AG67" s="107">
        <f t="shared" si="36"/>
        <v>0</v>
      </c>
      <c r="AH67" s="107">
        <f t="shared" si="36"/>
        <v>0</v>
      </c>
      <c r="AI67" s="107">
        <f t="shared" si="36"/>
        <v>0</v>
      </c>
      <c r="AJ67" s="107">
        <f t="shared" si="36"/>
        <v>0</v>
      </c>
      <c r="AK67" s="107">
        <f t="shared" si="36"/>
        <v>0</v>
      </c>
      <c r="AL67" s="107">
        <f t="shared" si="36"/>
        <v>0</v>
      </c>
      <c r="AM67" s="107">
        <f t="shared" si="36"/>
        <v>0</v>
      </c>
      <c r="AN67" s="107">
        <f t="shared" si="36"/>
        <v>0</v>
      </c>
      <c r="AO67" s="107">
        <f t="shared" si="36"/>
        <v>0</v>
      </c>
      <c r="AP67" s="107">
        <f t="shared" ref="AP67" si="37">IF($H66 = AP64, 1, 0)</f>
        <v>0</v>
      </c>
      <c r="AQ67" s="107">
        <f t="shared" si="36"/>
        <v>0</v>
      </c>
      <c r="AR67" s="107">
        <f t="shared" ref="AR67" si="38">IF($H66 = AR64, 1, 0)</f>
        <v>0</v>
      </c>
      <c r="AS67" s="58"/>
      <c r="AT67" s="92" t="s">
        <v>360</v>
      </c>
    </row>
    <row r="68" spans="1:46" x14ac:dyDescent="0.35">
      <c r="A68" s="36"/>
      <c r="B68" s="36"/>
      <c r="C68" s="36"/>
      <c r="D68" s="36"/>
      <c r="E68" s="86"/>
      <c r="F68" s="36"/>
      <c r="G68" s="36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36"/>
    </row>
    <row r="69" spans="1:46" x14ac:dyDescent="0.35">
      <c r="A69" s="98"/>
      <c r="B69" s="36"/>
      <c r="C69" s="36"/>
      <c r="D69" s="36"/>
      <c r="E69" s="92" t="s">
        <v>555</v>
      </c>
      <c r="F69" s="36"/>
      <c r="G69" s="92" t="str">
        <f>G$19</f>
        <v>£ per year</v>
      </c>
      <c r="H69" s="101"/>
      <c r="I69" s="112" t="s">
        <v>120</v>
      </c>
      <c r="J69" s="101">
        <f>J62 * J67</f>
        <v>0</v>
      </c>
      <c r="K69" s="101">
        <f t="shared" ref="K69:AQ69" si="39">K62 * K67</f>
        <v>0</v>
      </c>
      <c r="L69" s="101">
        <f t="shared" si="39"/>
        <v>7700000</v>
      </c>
      <c r="M69" s="101">
        <f t="shared" si="39"/>
        <v>2100000</v>
      </c>
      <c r="N69" s="101">
        <f t="shared" si="39"/>
        <v>1100000</v>
      </c>
      <c r="O69" s="101">
        <f t="shared" si="39"/>
        <v>0</v>
      </c>
      <c r="P69" s="101">
        <f t="shared" si="39"/>
        <v>200000</v>
      </c>
      <c r="Q69" s="101">
        <f t="shared" si="39"/>
        <v>3000000</v>
      </c>
      <c r="R69" s="101">
        <f t="shared" si="39"/>
        <v>6800000</v>
      </c>
      <c r="S69" s="101">
        <f t="shared" si="39"/>
        <v>19700000</v>
      </c>
      <c r="T69" s="101">
        <f t="shared" si="39"/>
        <v>2600000</v>
      </c>
      <c r="U69" s="101">
        <f t="shared" si="39"/>
        <v>900000</v>
      </c>
      <c r="V69" s="101">
        <f t="shared" si="39"/>
        <v>2500000</v>
      </c>
      <c r="W69" s="101">
        <f t="shared" si="39"/>
        <v>1500000</v>
      </c>
      <c r="X69" s="101">
        <f t="shared" si="39"/>
        <v>11900000</v>
      </c>
      <c r="Y69" s="101">
        <f t="shared" si="39"/>
        <v>0</v>
      </c>
      <c r="Z69" s="101">
        <f t="shared" si="39"/>
        <v>0</v>
      </c>
      <c r="AA69" s="101">
        <f t="shared" si="39"/>
        <v>3200000</v>
      </c>
      <c r="AB69" s="101">
        <f t="shared" si="39"/>
        <v>1800000</v>
      </c>
      <c r="AC69" s="101">
        <f t="shared" si="39"/>
        <v>9200000</v>
      </c>
      <c r="AD69" s="101">
        <f t="shared" si="39"/>
        <v>2300000</v>
      </c>
      <c r="AE69" s="101">
        <f t="shared" si="39"/>
        <v>0</v>
      </c>
      <c r="AF69" s="101">
        <f t="shared" si="39"/>
        <v>0</v>
      </c>
      <c r="AG69" s="101">
        <f t="shared" si="39"/>
        <v>0</v>
      </c>
      <c r="AH69" s="101">
        <f t="shared" si="39"/>
        <v>0</v>
      </c>
      <c r="AI69" s="101">
        <f t="shared" si="39"/>
        <v>0</v>
      </c>
      <c r="AJ69" s="101">
        <f t="shared" si="39"/>
        <v>0</v>
      </c>
      <c r="AK69" s="101">
        <f t="shared" si="39"/>
        <v>0</v>
      </c>
      <c r="AL69" s="101">
        <f t="shared" si="39"/>
        <v>0</v>
      </c>
      <c r="AM69" s="101">
        <f t="shared" si="39"/>
        <v>0</v>
      </c>
      <c r="AN69" s="101">
        <f t="shared" si="39"/>
        <v>0</v>
      </c>
      <c r="AO69" s="101">
        <f t="shared" si="39"/>
        <v>0</v>
      </c>
      <c r="AP69" s="101">
        <f t="shared" ref="AP69" si="40">AP62 * AP67</f>
        <v>0</v>
      </c>
      <c r="AQ69" s="101">
        <f t="shared" si="39"/>
        <v>0</v>
      </c>
      <c r="AR69" s="101">
        <f t="shared" ref="AR69" si="41">AR62 * AR67</f>
        <v>0</v>
      </c>
      <c r="AS69" s="58"/>
      <c r="AT69" s="92" t="s">
        <v>360</v>
      </c>
    </row>
    <row r="70" spans="1:46" x14ac:dyDescent="0.35">
      <c r="A70" s="36"/>
      <c r="B70" s="36"/>
      <c r="C70" s="36"/>
      <c r="D70" s="36"/>
      <c r="E70" s="86"/>
      <c r="F70" s="36"/>
      <c r="G70" s="36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36"/>
    </row>
    <row r="71" spans="1:46" x14ac:dyDescent="0.35">
      <c r="A71" s="36"/>
      <c r="B71" s="36"/>
      <c r="C71" s="87" t="s">
        <v>556</v>
      </c>
      <c r="D71" s="87"/>
      <c r="E71" s="87"/>
      <c r="F71" s="87"/>
      <c r="G71" s="87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88"/>
      <c r="AT71" s="87"/>
    </row>
    <row r="72" spans="1:46" x14ac:dyDescent="0.35">
      <c r="A72" s="36"/>
      <c r="B72" s="36"/>
      <c r="C72" s="86"/>
      <c r="D72" s="86"/>
      <c r="E72" s="36"/>
      <c r="F72" s="36"/>
      <c r="G72" s="36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36"/>
    </row>
    <row r="73" spans="1:46" x14ac:dyDescent="0.35">
      <c r="A73" s="36"/>
      <c r="B73" s="36"/>
      <c r="C73" s="36"/>
      <c r="D73" s="86"/>
      <c r="E73" s="89" t="str">
        <f>MEAV!E65</f>
        <v>Share of total MEAV, by network level</v>
      </c>
      <c r="F73" s="36"/>
      <c r="G73" s="36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36"/>
    </row>
    <row r="74" spans="1:46" x14ac:dyDescent="0.35">
      <c r="A74" s="36"/>
      <c r="B74" s="36"/>
      <c r="C74" s="36"/>
      <c r="D74" s="36"/>
      <c r="E74" s="36"/>
      <c r="F74" s="90" t="str">
        <f>MEAV!F66</f>
        <v>LV services</v>
      </c>
      <c r="G74" s="90" t="str">
        <f>MEAV!G66</f>
        <v>%</v>
      </c>
      <c r="H74" s="132">
        <f>MEAV!H66</f>
        <v>0.26733251065503977</v>
      </c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6"/>
      <c r="Y74" s="106"/>
      <c r="Z74" s="106"/>
      <c r="AA74" s="106"/>
      <c r="AB74" s="106"/>
      <c r="AC74" s="106"/>
      <c r="AD74" s="106"/>
      <c r="AE74" s="106"/>
      <c r="AF74" s="106"/>
      <c r="AG74" s="106"/>
      <c r="AH74" s="106"/>
      <c r="AI74" s="106"/>
      <c r="AJ74" s="106"/>
      <c r="AK74" s="106"/>
      <c r="AL74" s="106"/>
      <c r="AM74" s="106"/>
      <c r="AN74" s="106"/>
      <c r="AO74" s="106"/>
      <c r="AP74" s="106"/>
      <c r="AQ74" s="106"/>
      <c r="AR74" s="106"/>
      <c r="AS74" s="58"/>
      <c r="AT74" s="36"/>
    </row>
    <row r="75" spans="1:46" x14ac:dyDescent="0.35">
      <c r="A75" s="36"/>
      <c r="B75" s="36"/>
      <c r="C75" s="36"/>
      <c r="D75" s="36"/>
      <c r="E75" s="36"/>
      <c r="F75" s="92" t="str">
        <f>MEAV!F67</f>
        <v>LV mains</v>
      </c>
      <c r="G75" s="92" t="str">
        <f>MEAV!G67</f>
        <v>%</v>
      </c>
      <c r="H75" s="130">
        <f>MEAV!H67</f>
        <v>0.2761830721794562</v>
      </c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06"/>
      <c r="Z75" s="106"/>
      <c r="AA75" s="106"/>
      <c r="AB75" s="106"/>
      <c r="AC75" s="106"/>
      <c r="AD75" s="106"/>
      <c r="AE75" s="106"/>
      <c r="AF75" s="106"/>
      <c r="AG75" s="106"/>
      <c r="AH75" s="106"/>
      <c r="AI75" s="106"/>
      <c r="AJ75" s="106"/>
      <c r="AK75" s="106"/>
      <c r="AL75" s="106"/>
      <c r="AM75" s="106"/>
      <c r="AN75" s="106"/>
      <c r="AO75" s="106"/>
      <c r="AP75" s="106"/>
      <c r="AQ75" s="106"/>
      <c r="AR75" s="106"/>
      <c r="AS75" s="58"/>
      <c r="AT75" s="36"/>
    </row>
    <row r="76" spans="1:46" x14ac:dyDescent="0.35">
      <c r="A76" s="36"/>
      <c r="B76" s="36"/>
      <c r="C76" s="36"/>
      <c r="D76" s="36"/>
      <c r="E76" s="36"/>
      <c r="F76" s="92" t="str">
        <f>MEAV!F68</f>
        <v>HV/LV</v>
      </c>
      <c r="G76" s="92" t="str">
        <f>MEAV!G68</f>
        <v>%</v>
      </c>
      <c r="H76" s="130">
        <f>MEAV!H68</f>
        <v>6.8573481261425137E-2</v>
      </c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6"/>
      <c r="AL76" s="106"/>
      <c r="AM76" s="106"/>
      <c r="AN76" s="106"/>
      <c r="AO76" s="106"/>
      <c r="AP76" s="106"/>
      <c r="AQ76" s="106"/>
      <c r="AR76" s="106"/>
      <c r="AS76" s="58"/>
      <c r="AT76" s="36"/>
    </row>
    <row r="77" spans="1:46" x14ac:dyDescent="0.35">
      <c r="A77" s="36"/>
      <c r="B77" s="36"/>
      <c r="C77" s="36"/>
      <c r="D77" s="36"/>
      <c r="E77" s="36"/>
      <c r="F77" s="92" t="str">
        <f>MEAV!F69</f>
        <v>HV</v>
      </c>
      <c r="G77" s="92" t="str">
        <f>MEAV!G69</f>
        <v>%</v>
      </c>
      <c r="H77" s="130">
        <f>MEAV!H69</f>
        <v>0.20573021935414951</v>
      </c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6"/>
      <c r="AB77" s="106"/>
      <c r="AC77" s="106"/>
      <c r="AD77" s="106"/>
      <c r="AE77" s="106"/>
      <c r="AF77" s="106"/>
      <c r="AG77" s="106"/>
      <c r="AH77" s="106"/>
      <c r="AI77" s="106"/>
      <c r="AJ77" s="106"/>
      <c r="AK77" s="106"/>
      <c r="AL77" s="106"/>
      <c r="AM77" s="106"/>
      <c r="AN77" s="106"/>
      <c r="AO77" s="106"/>
      <c r="AP77" s="106"/>
      <c r="AQ77" s="106"/>
      <c r="AR77" s="106"/>
      <c r="AS77" s="58"/>
      <c r="AT77" s="36"/>
    </row>
    <row r="78" spans="1:46" x14ac:dyDescent="0.35">
      <c r="A78" s="36"/>
      <c r="B78" s="36"/>
      <c r="C78" s="36"/>
      <c r="D78" s="36"/>
      <c r="E78" s="36"/>
      <c r="F78" s="94" t="str">
        <f>MEAV!F70</f>
        <v>EHV and 132kV</v>
      </c>
      <c r="G78" s="94" t="str">
        <f>MEAV!G70</f>
        <v>%</v>
      </c>
      <c r="H78" s="133">
        <f>MEAV!H70</f>
        <v>0.18218071654992934</v>
      </c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/>
      <c r="AL78" s="106"/>
      <c r="AM78" s="106"/>
      <c r="AN78" s="106"/>
      <c r="AO78" s="106"/>
      <c r="AP78" s="106"/>
      <c r="AQ78" s="106"/>
      <c r="AR78" s="106"/>
      <c r="AS78" s="58"/>
      <c r="AT78" s="36"/>
    </row>
    <row r="79" spans="1:46" x14ac:dyDescent="0.35">
      <c r="A79" s="36"/>
      <c r="B79" s="36"/>
      <c r="C79" s="36"/>
      <c r="D79" s="36"/>
      <c r="E79" s="36"/>
      <c r="F79" s="36"/>
      <c r="G79" s="36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36"/>
    </row>
    <row r="80" spans="1:46" x14ac:dyDescent="0.35">
      <c r="A80" s="36"/>
      <c r="B80" s="36"/>
      <c r="C80" s="36"/>
      <c r="D80" s="36"/>
      <c r="E80" s="89" t="str">
        <f>MEAV!E136</f>
        <v>Share of total adjusted MEAV, by network level</v>
      </c>
      <c r="F80" s="36"/>
      <c r="G80" s="36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  <c r="AT80" s="36"/>
    </row>
    <row r="81" spans="1:46" x14ac:dyDescent="0.35">
      <c r="A81" s="36"/>
      <c r="B81" s="36"/>
      <c r="C81" s="36"/>
      <c r="D81" s="36"/>
      <c r="E81" s="36"/>
      <c r="F81" s="90" t="str">
        <f>MEAV!F137</f>
        <v>LV services</v>
      </c>
      <c r="G81" s="90" t="str">
        <f>MEAV!G137</f>
        <v>%</v>
      </c>
      <c r="H81" s="132">
        <f>MEAV!H137</f>
        <v>0.27634592176728717</v>
      </c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06"/>
      <c r="AN81" s="106"/>
      <c r="AO81" s="106"/>
      <c r="AP81" s="106"/>
      <c r="AQ81" s="106"/>
      <c r="AR81" s="106"/>
      <c r="AS81" s="58"/>
      <c r="AT81" s="36"/>
    </row>
    <row r="82" spans="1:46" x14ac:dyDescent="0.35">
      <c r="A82" s="36"/>
      <c r="B82" s="36"/>
      <c r="C82" s="36"/>
      <c r="D82" s="36"/>
      <c r="E82" s="36"/>
      <c r="F82" s="92" t="str">
        <f>MEAV!F138</f>
        <v>LV mains</v>
      </c>
      <c r="G82" s="92" t="str">
        <f>MEAV!G138</f>
        <v>%</v>
      </c>
      <c r="H82" s="130">
        <f>MEAV!H138</f>
        <v>0.28549488975711385</v>
      </c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58"/>
      <c r="AT82" s="36"/>
    </row>
    <row r="83" spans="1:46" x14ac:dyDescent="0.35">
      <c r="A83" s="36"/>
      <c r="B83" s="36"/>
      <c r="C83" s="36"/>
      <c r="D83" s="36"/>
      <c r="E83" s="36"/>
      <c r="F83" s="92" t="str">
        <f>MEAV!F139</f>
        <v>HV/LV</v>
      </c>
      <c r="G83" s="92" t="str">
        <f>MEAV!G139</f>
        <v>%</v>
      </c>
      <c r="H83" s="130">
        <f>MEAV!H139</f>
        <v>7.088551198485922E-2</v>
      </c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  <c r="AH83" s="106"/>
      <c r="AI83" s="106"/>
      <c r="AJ83" s="106"/>
      <c r="AK83" s="106"/>
      <c r="AL83" s="106"/>
      <c r="AM83" s="106"/>
      <c r="AN83" s="106"/>
      <c r="AO83" s="106"/>
      <c r="AP83" s="106"/>
      <c r="AQ83" s="106"/>
      <c r="AR83" s="106"/>
      <c r="AS83" s="58"/>
      <c r="AT83" s="36"/>
    </row>
    <row r="84" spans="1:46" x14ac:dyDescent="0.35">
      <c r="A84" s="36"/>
      <c r="B84" s="36"/>
      <c r="C84" s="36"/>
      <c r="D84" s="36"/>
      <c r="E84" s="36"/>
      <c r="F84" s="92" t="str">
        <f>MEAV!F140</f>
        <v>HV</v>
      </c>
      <c r="G84" s="92" t="str">
        <f>MEAV!G140</f>
        <v>%</v>
      </c>
      <c r="H84" s="130">
        <f>MEAV!H140</f>
        <v>0.21266664111859618</v>
      </c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106"/>
      <c r="AI84" s="106"/>
      <c r="AJ84" s="106"/>
      <c r="AK84" s="106"/>
      <c r="AL84" s="106"/>
      <c r="AM84" s="106"/>
      <c r="AN84" s="106"/>
      <c r="AO84" s="106"/>
      <c r="AP84" s="106"/>
      <c r="AQ84" s="106"/>
      <c r="AR84" s="106"/>
      <c r="AS84" s="58"/>
      <c r="AT84" s="36"/>
    </row>
    <row r="85" spans="1:46" x14ac:dyDescent="0.35">
      <c r="A85" s="36"/>
      <c r="B85" s="36"/>
      <c r="C85" s="36"/>
      <c r="D85" s="36"/>
      <c r="E85" s="36"/>
      <c r="F85" s="94" t="str">
        <f>MEAV!F141</f>
        <v>EHV and 132kV</v>
      </c>
      <c r="G85" s="94" t="str">
        <f>MEAV!G141</f>
        <v>%</v>
      </c>
      <c r="H85" s="133">
        <f>MEAV!H141</f>
        <v>0.15460703537214351</v>
      </c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6"/>
      <c r="AM85" s="106"/>
      <c r="AN85" s="106"/>
      <c r="AO85" s="106"/>
      <c r="AP85" s="106"/>
      <c r="AQ85" s="106"/>
      <c r="AR85" s="106"/>
      <c r="AS85" s="58"/>
      <c r="AT85" s="36"/>
    </row>
    <row r="86" spans="1:46" x14ac:dyDescent="0.35">
      <c r="A86" s="36"/>
      <c r="B86" s="36"/>
      <c r="C86" s="36"/>
      <c r="D86" s="36"/>
      <c r="E86" s="36"/>
      <c r="F86" s="36"/>
      <c r="G86" s="36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58"/>
      <c r="AS86" s="58"/>
      <c r="AT86" s="36"/>
    </row>
    <row r="87" spans="1:46" x14ac:dyDescent="0.35">
      <c r="A87" s="36"/>
      <c r="B87" s="36"/>
      <c r="C87" s="87" t="s">
        <v>557</v>
      </c>
      <c r="D87" s="87"/>
      <c r="E87" s="87"/>
      <c r="F87" s="87"/>
      <c r="G87" s="87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8"/>
      <c r="AI87" s="88"/>
      <c r="AJ87" s="88"/>
      <c r="AK87" s="88"/>
      <c r="AL87" s="88"/>
      <c r="AM87" s="88"/>
      <c r="AN87" s="88"/>
      <c r="AO87" s="88"/>
      <c r="AP87" s="88"/>
      <c r="AQ87" s="88"/>
      <c r="AR87" s="88"/>
      <c r="AS87" s="88"/>
      <c r="AT87" s="87"/>
    </row>
    <row r="88" spans="1:46" x14ac:dyDescent="0.35">
      <c r="A88" s="36"/>
      <c r="B88" s="36"/>
      <c r="C88" s="86"/>
      <c r="D88" s="86"/>
      <c r="E88" s="36"/>
      <c r="F88" s="36"/>
      <c r="G88" s="36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58"/>
      <c r="AS88" s="58"/>
      <c r="AT88" s="36"/>
    </row>
    <row r="89" spans="1:46" x14ac:dyDescent="0.35">
      <c r="A89" s="98"/>
      <c r="B89" s="36"/>
      <c r="C89" s="36"/>
      <c r="D89" s="86"/>
      <c r="E89" s="89" t="s">
        <v>558</v>
      </c>
      <c r="F89" s="36"/>
      <c r="G89" s="36"/>
      <c r="H89" s="58"/>
      <c r="I89" s="103" t="s">
        <v>120</v>
      </c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8"/>
      <c r="AT89" s="92" t="s">
        <v>360</v>
      </c>
    </row>
    <row r="90" spans="1:46" x14ac:dyDescent="0.35">
      <c r="A90" s="36"/>
      <c r="B90" s="36"/>
      <c r="C90" s="36"/>
      <c r="D90" s="36"/>
      <c r="E90" s="36"/>
      <c r="F90" s="90" t="s">
        <v>196</v>
      </c>
      <c r="G90" s="90" t="str">
        <f>G$19</f>
        <v>£ per year</v>
      </c>
      <c r="H90" s="114"/>
      <c r="I90" s="114"/>
      <c r="J90" s="128">
        <f t="shared" ref="J90:AQ90" si="42">J$69 * $H74</f>
        <v>0</v>
      </c>
      <c r="K90" s="128">
        <f t="shared" si="42"/>
        <v>0</v>
      </c>
      <c r="L90" s="128">
        <f t="shared" si="42"/>
        <v>2058460.3320438063</v>
      </c>
      <c r="M90" s="128">
        <f t="shared" si="42"/>
        <v>561398.27237558353</v>
      </c>
      <c r="N90" s="128">
        <f t="shared" si="42"/>
        <v>294065.76172054373</v>
      </c>
      <c r="O90" s="128">
        <f t="shared" si="42"/>
        <v>0</v>
      </c>
      <c r="P90" s="128">
        <f t="shared" si="42"/>
        <v>53466.502131007954</v>
      </c>
      <c r="Q90" s="128">
        <f t="shared" si="42"/>
        <v>801997.5319651193</v>
      </c>
      <c r="R90" s="128">
        <f t="shared" si="42"/>
        <v>1817861.0724542704</v>
      </c>
      <c r="S90" s="128">
        <f t="shared" si="42"/>
        <v>5266450.4599042833</v>
      </c>
      <c r="T90" s="128">
        <f t="shared" si="42"/>
        <v>695064.52770310338</v>
      </c>
      <c r="U90" s="128">
        <f t="shared" si="42"/>
        <v>240599.2595895358</v>
      </c>
      <c r="V90" s="128">
        <f t="shared" si="42"/>
        <v>668331.27663759945</v>
      </c>
      <c r="W90" s="128">
        <f t="shared" si="42"/>
        <v>400998.76598255965</v>
      </c>
      <c r="X90" s="128">
        <f t="shared" si="42"/>
        <v>3181256.8767949734</v>
      </c>
      <c r="Y90" s="128">
        <f t="shared" si="42"/>
        <v>0</v>
      </c>
      <c r="Z90" s="128">
        <f t="shared" si="42"/>
        <v>0</v>
      </c>
      <c r="AA90" s="128">
        <f t="shared" si="42"/>
        <v>855464.03409612726</v>
      </c>
      <c r="AB90" s="128">
        <f t="shared" si="42"/>
        <v>481198.51917907159</v>
      </c>
      <c r="AC90" s="128">
        <f t="shared" si="42"/>
        <v>2459459.098026366</v>
      </c>
      <c r="AD90" s="128">
        <f t="shared" si="42"/>
        <v>614864.77450659149</v>
      </c>
      <c r="AE90" s="128">
        <f t="shared" si="42"/>
        <v>0</v>
      </c>
      <c r="AF90" s="128">
        <f t="shared" si="42"/>
        <v>0</v>
      </c>
      <c r="AG90" s="128">
        <f t="shared" si="42"/>
        <v>0</v>
      </c>
      <c r="AH90" s="128">
        <f t="shared" si="42"/>
        <v>0</v>
      </c>
      <c r="AI90" s="128">
        <f t="shared" si="42"/>
        <v>0</v>
      </c>
      <c r="AJ90" s="128">
        <f t="shared" si="42"/>
        <v>0</v>
      </c>
      <c r="AK90" s="128">
        <f t="shared" si="42"/>
        <v>0</v>
      </c>
      <c r="AL90" s="128">
        <f t="shared" si="42"/>
        <v>0</v>
      </c>
      <c r="AM90" s="128">
        <f t="shared" si="42"/>
        <v>0</v>
      </c>
      <c r="AN90" s="128">
        <f t="shared" si="42"/>
        <v>0</v>
      </c>
      <c r="AO90" s="128">
        <f t="shared" si="42"/>
        <v>0</v>
      </c>
      <c r="AP90" s="128">
        <f t="shared" ref="AP90" si="43">AP$69 * $H74</f>
        <v>0</v>
      </c>
      <c r="AQ90" s="128">
        <f t="shared" si="42"/>
        <v>0</v>
      </c>
      <c r="AR90" s="128">
        <f t="shared" ref="AR90" si="44">AR$69 * $H74</f>
        <v>0</v>
      </c>
      <c r="AS90" s="58"/>
      <c r="AT90" s="36"/>
    </row>
    <row r="91" spans="1:46" x14ac:dyDescent="0.35">
      <c r="A91" s="36"/>
      <c r="B91" s="36"/>
      <c r="C91" s="36"/>
      <c r="D91" s="36"/>
      <c r="E91" s="36"/>
      <c r="F91" s="92" t="s">
        <v>197</v>
      </c>
      <c r="G91" s="92" t="str">
        <f>G$19</f>
        <v>£ per year</v>
      </c>
      <c r="H91" s="101"/>
      <c r="I91" s="101"/>
      <c r="J91" s="129">
        <f t="shared" ref="J91:AQ91" si="45">J$69 * $H75</f>
        <v>0</v>
      </c>
      <c r="K91" s="129">
        <f t="shared" si="45"/>
        <v>0</v>
      </c>
      <c r="L91" s="129">
        <f t="shared" si="45"/>
        <v>2126609.655781813</v>
      </c>
      <c r="M91" s="129">
        <f t="shared" si="45"/>
        <v>579984.45157685806</v>
      </c>
      <c r="N91" s="129">
        <f t="shared" si="45"/>
        <v>303801.37939740182</v>
      </c>
      <c r="O91" s="129">
        <f t="shared" si="45"/>
        <v>0</v>
      </c>
      <c r="P91" s="129">
        <f t="shared" si="45"/>
        <v>55236.614435891242</v>
      </c>
      <c r="Q91" s="129">
        <f t="shared" si="45"/>
        <v>828549.21653836861</v>
      </c>
      <c r="R91" s="129">
        <f t="shared" si="45"/>
        <v>1878044.8908203021</v>
      </c>
      <c r="S91" s="129">
        <f t="shared" si="45"/>
        <v>5440806.5219352869</v>
      </c>
      <c r="T91" s="129">
        <f t="shared" si="45"/>
        <v>718075.98766658618</v>
      </c>
      <c r="U91" s="129">
        <f t="shared" si="45"/>
        <v>248564.76496151058</v>
      </c>
      <c r="V91" s="129">
        <f t="shared" si="45"/>
        <v>690457.68044864049</v>
      </c>
      <c r="W91" s="129">
        <f t="shared" si="45"/>
        <v>414274.6082691843</v>
      </c>
      <c r="X91" s="129">
        <f t="shared" si="45"/>
        <v>3286578.5589355286</v>
      </c>
      <c r="Y91" s="129">
        <f t="shared" si="45"/>
        <v>0</v>
      </c>
      <c r="Z91" s="129">
        <f t="shared" si="45"/>
        <v>0</v>
      </c>
      <c r="AA91" s="129">
        <f t="shared" si="45"/>
        <v>883785.83097425988</v>
      </c>
      <c r="AB91" s="129">
        <f t="shared" si="45"/>
        <v>497129.52992302115</v>
      </c>
      <c r="AC91" s="129">
        <f t="shared" si="45"/>
        <v>2540884.2640509969</v>
      </c>
      <c r="AD91" s="129">
        <f t="shared" si="45"/>
        <v>635221.06601274922</v>
      </c>
      <c r="AE91" s="129">
        <f t="shared" si="45"/>
        <v>0</v>
      </c>
      <c r="AF91" s="129">
        <f t="shared" si="45"/>
        <v>0</v>
      </c>
      <c r="AG91" s="129">
        <f t="shared" si="45"/>
        <v>0</v>
      </c>
      <c r="AH91" s="129">
        <f t="shared" si="45"/>
        <v>0</v>
      </c>
      <c r="AI91" s="129">
        <f t="shared" si="45"/>
        <v>0</v>
      </c>
      <c r="AJ91" s="129">
        <f t="shared" si="45"/>
        <v>0</v>
      </c>
      <c r="AK91" s="129">
        <f t="shared" si="45"/>
        <v>0</v>
      </c>
      <c r="AL91" s="129">
        <f t="shared" si="45"/>
        <v>0</v>
      </c>
      <c r="AM91" s="129">
        <f t="shared" si="45"/>
        <v>0</v>
      </c>
      <c r="AN91" s="129">
        <f t="shared" si="45"/>
        <v>0</v>
      </c>
      <c r="AO91" s="129">
        <f t="shared" si="45"/>
        <v>0</v>
      </c>
      <c r="AP91" s="129">
        <f t="shared" ref="AP91" si="46">AP$69 * $H75</f>
        <v>0</v>
      </c>
      <c r="AQ91" s="129">
        <f t="shared" si="45"/>
        <v>0</v>
      </c>
      <c r="AR91" s="129">
        <f t="shared" ref="AR91" si="47">AR$69 * $H75</f>
        <v>0</v>
      </c>
      <c r="AS91" s="58"/>
      <c r="AT91" s="36"/>
    </row>
    <row r="92" spans="1:46" x14ac:dyDescent="0.35">
      <c r="A92" s="36"/>
      <c r="B92" s="36"/>
      <c r="C92" s="36"/>
      <c r="D92" s="36"/>
      <c r="E92" s="36"/>
      <c r="F92" s="92" t="s">
        <v>198</v>
      </c>
      <c r="G92" s="92" t="str">
        <f>G$19</f>
        <v>£ per year</v>
      </c>
      <c r="H92" s="101"/>
      <c r="I92" s="101"/>
      <c r="J92" s="129">
        <f t="shared" ref="J92:AQ92" si="48">J$69 * $H76</f>
        <v>0</v>
      </c>
      <c r="K92" s="129">
        <f t="shared" si="48"/>
        <v>0</v>
      </c>
      <c r="L92" s="129">
        <f t="shared" si="48"/>
        <v>528015.80571297358</v>
      </c>
      <c r="M92" s="129">
        <f t="shared" si="48"/>
        <v>144004.31064899277</v>
      </c>
      <c r="N92" s="129">
        <f t="shared" si="48"/>
        <v>75430.829387567646</v>
      </c>
      <c r="O92" s="129">
        <f t="shared" si="48"/>
        <v>0</v>
      </c>
      <c r="P92" s="129">
        <f t="shared" si="48"/>
        <v>13714.696252285028</v>
      </c>
      <c r="Q92" s="129">
        <f t="shared" si="48"/>
        <v>205720.44378427541</v>
      </c>
      <c r="R92" s="129">
        <f t="shared" si="48"/>
        <v>466299.67257769092</v>
      </c>
      <c r="S92" s="129">
        <f t="shared" si="48"/>
        <v>1350897.5808500752</v>
      </c>
      <c r="T92" s="129">
        <f t="shared" si="48"/>
        <v>178291.05127970537</v>
      </c>
      <c r="U92" s="129">
        <f t="shared" si="48"/>
        <v>61716.133135282624</v>
      </c>
      <c r="V92" s="129">
        <f t="shared" si="48"/>
        <v>171433.70315356285</v>
      </c>
      <c r="W92" s="129">
        <f t="shared" si="48"/>
        <v>102860.22189213771</v>
      </c>
      <c r="X92" s="129">
        <f t="shared" si="48"/>
        <v>816024.42701095913</v>
      </c>
      <c r="Y92" s="129">
        <f t="shared" si="48"/>
        <v>0</v>
      </c>
      <c r="Z92" s="129">
        <f t="shared" si="48"/>
        <v>0</v>
      </c>
      <c r="AA92" s="129">
        <f t="shared" si="48"/>
        <v>219435.14003656045</v>
      </c>
      <c r="AB92" s="129">
        <f t="shared" si="48"/>
        <v>123432.26627056525</v>
      </c>
      <c r="AC92" s="129">
        <f t="shared" si="48"/>
        <v>630876.02760511125</v>
      </c>
      <c r="AD92" s="129">
        <f t="shared" si="48"/>
        <v>157719.00690127781</v>
      </c>
      <c r="AE92" s="129">
        <f t="shared" si="48"/>
        <v>0</v>
      </c>
      <c r="AF92" s="129">
        <f t="shared" si="48"/>
        <v>0</v>
      </c>
      <c r="AG92" s="129">
        <f t="shared" si="48"/>
        <v>0</v>
      </c>
      <c r="AH92" s="129">
        <f t="shared" si="48"/>
        <v>0</v>
      </c>
      <c r="AI92" s="129">
        <f t="shared" si="48"/>
        <v>0</v>
      </c>
      <c r="AJ92" s="129">
        <f t="shared" si="48"/>
        <v>0</v>
      </c>
      <c r="AK92" s="129">
        <f t="shared" si="48"/>
        <v>0</v>
      </c>
      <c r="AL92" s="129">
        <f t="shared" si="48"/>
        <v>0</v>
      </c>
      <c r="AM92" s="129">
        <f t="shared" si="48"/>
        <v>0</v>
      </c>
      <c r="AN92" s="129">
        <f t="shared" si="48"/>
        <v>0</v>
      </c>
      <c r="AO92" s="129">
        <f t="shared" si="48"/>
        <v>0</v>
      </c>
      <c r="AP92" s="129">
        <f t="shared" ref="AP92" si="49">AP$69 * $H76</f>
        <v>0</v>
      </c>
      <c r="AQ92" s="129">
        <f t="shared" si="48"/>
        <v>0</v>
      </c>
      <c r="AR92" s="129">
        <f t="shared" ref="AR92" si="50">AR$69 * $H76</f>
        <v>0</v>
      </c>
      <c r="AS92" s="58"/>
      <c r="AT92" s="36"/>
    </row>
    <row r="93" spans="1:46" x14ac:dyDescent="0.35">
      <c r="A93" s="36"/>
      <c r="B93" s="36"/>
      <c r="C93" s="36"/>
      <c r="D93" s="36"/>
      <c r="E93" s="36"/>
      <c r="F93" s="92" t="s">
        <v>199</v>
      </c>
      <c r="G93" s="92" t="str">
        <f>G$19</f>
        <v>£ per year</v>
      </c>
      <c r="H93" s="101"/>
      <c r="I93" s="101"/>
      <c r="J93" s="129">
        <f t="shared" ref="J93:AQ93" si="51">J$69 * $H77</f>
        <v>0</v>
      </c>
      <c r="K93" s="129">
        <f t="shared" si="51"/>
        <v>0</v>
      </c>
      <c r="L93" s="129">
        <f t="shared" si="51"/>
        <v>1584122.6890269511</v>
      </c>
      <c r="M93" s="129">
        <f t="shared" si="51"/>
        <v>432033.46064371394</v>
      </c>
      <c r="N93" s="129">
        <f t="shared" si="51"/>
        <v>226303.24128956447</v>
      </c>
      <c r="O93" s="129">
        <f t="shared" si="51"/>
        <v>0</v>
      </c>
      <c r="P93" s="129">
        <f t="shared" si="51"/>
        <v>41146.043870829904</v>
      </c>
      <c r="Q93" s="129">
        <f t="shared" si="51"/>
        <v>617190.65806244849</v>
      </c>
      <c r="R93" s="129">
        <f t="shared" si="51"/>
        <v>1398965.4916082167</v>
      </c>
      <c r="S93" s="129">
        <f t="shared" si="51"/>
        <v>4052885.3212767453</v>
      </c>
      <c r="T93" s="129">
        <f t="shared" si="51"/>
        <v>534898.57032078877</v>
      </c>
      <c r="U93" s="129">
        <f t="shared" si="51"/>
        <v>185157.19741873455</v>
      </c>
      <c r="V93" s="129">
        <f t="shared" si="51"/>
        <v>514325.54838537378</v>
      </c>
      <c r="W93" s="129">
        <f t="shared" si="51"/>
        <v>308595.32903122425</v>
      </c>
      <c r="X93" s="129">
        <f t="shared" si="51"/>
        <v>2448189.610314379</v>
      </c>
      <c r="Y93" s="129">
        <f t="shared" si="51"/>
        <v>0</v>
      </c>
      <c r="Z93" s="129">
        <f t="shared" si="51"/>
        <v>0</v>
      </c>
      <c r="AA93" s="129">
        <f t="shared" si="51"/>
        <v>658336.70193327847</v>
      </c>
      <c r="AB93" s="129">
        <f t="shared" si="51"/>
        <v>370314.3948374691</v>
      </c>
      <c r="AC93" s="129">
        <f t="shared" si="51"/>
        <v>1892718.0180581755</v>
      </c>
      <c r="AD93" s="129">
        <f t="shared" si="51"/>
        <v>473179.50451454386</v>
      </c>
      <c r="AE93" s="129">
        <f t="shared" si="51"/>
        <v>0</v>
      </c>
      <c r="AF93" s="129">
        <f t="shared" si="51"/>
        <v>0</v>
      </c>
      <c r="AG93" s="129">
        <f t="shared" si="51"/>
        <v>0</v>
      </c>
      <c r="AH93" s="129">
        <f t="shared" si="51"/>
        <v>0</v>
      </c>
      <c r="AI93" s="129">
        <f t="shared" si="51"/>
        <v>0</v>
      </c>
      <c r="AJ93" s="129">
        <f t="shared" si="51"/>
        <v>0</v>
      </c>
      <c r="AK93" s="129">
        <f t="shared" si="51"/>
        <v>0</v>
      </c>
      <c r="AL93" s="129">
        <f t="shared" si="51"/>
        <v>0</v>
      </c>
      <c r="AM93" s="129">
        <f t="shared" si="51"/>
        <v>0</v>
      </c>
      <c r="AN93" s="129">
        <f t="shared" si="51"/>
        <v>0</v>
      </c>
      <c r="AO93" s="129">
        <f t="shared" si="51"/>
        <v>0</v>
      </c>
      <c r="AP93" s="129">
        <f t="shared" ref="AP93" si="52">AP$69 * $H77</f>
        <v>0</v>
      </c>
      <c r="AQ93" s="129">
        <f t="shared" si="51"/>
        <v>0</v>
      </c>
      <c r="AR93" s="129">
        <f t="shared" ref="AR93" si="53">AR$69 * $H77</f>
        <v>0</v>
      </c>
      <c r="AS93" s="58"/>
      <c r="AT93" s="36"/>
    </row>
    <row r="94" spans="1:46" x14ac:dyDescent="0.35">
      <c r="A94" s="36"/>
      <c r="B94" s="36"/>
      <c r="C94" s="36"/>
      <c r="D94" s="36"/>
      <c r="E94" s="36"/>
      <c r="F94" s="94" t="s">
        <v>201</v>
      </c>
      <c r="G94" s="94" t="str">
        <f>G$19</f>
        <v>£ per year</v>
      </c>
      <c r="H94" s="115"/>
      <c r="I94" s="115"/>
      <c r="J94" s="184">
        <f t="shared" ref="J94:AQ94" si="54">J$69 * $H78</f>
        <v>0</v>
      </c>
      <c r="K94" s="184">
        <f t="shared" si="54"/>
        <v>0</v>
      </c>
      <c r="L94" s="184">
        <f t="shared" si="54"/>
        <v>1402791.5174344559</v>
      </c>
      <c r="M94" s="184">
        <f t="shared" si="54"/>
        <v>382579.50475485163</v>
      </c>
      <c r="N94" s="184">
        <f t="shared" si="54"/>
        <v>200398.78820492228</v>
      </c>
      <c r="O94" s="184">
        <f t="shared" si="54"/>
        <v>0</v>
      </c>
      <c r="P94" s="184">
        <f t="shared" si="54"/>
        <v>36436.14330998587</v>
      </c>
      <c r="Q94" s="184">
        <f t="shared" si="54"/>
        <v>546542.14964978804</v>
      </c>
      <c r="R94" s="184">
        <f t="shared" si="54"/>
        <v>1238828.8725395196</v>
      </c>
      <c r="S94" s="184">
        <f t="shared" si="54"/>
        <v>3588960.1160336081</v>
      </c>
      <c r="T94" s="184">
        <f t="shared" si="54"/>
        <v>473669.8630298163</v>
      </c>
      <c r="U94" s="184">
        <f t="shared" si="54"/>
        <v>163962.64489493641</v>
      </c>
      <c r="V94" s="184">
        <f t="shared" si="54"/>
        <v>455451.79137482337</v>
      </c>
      <c r="W94" s="184">
        <f t="shared" si="54"/>
        <v>273271.07482489402</v>
      </c>
      <c r="X94" s="184">
        <f t="shared" si="54"/>
        <v>2167950.5269441591</v>
      </c>
      <c r="Y94" s="184">
        <f t="shared" si="54"/>
        <v>0</v>
      </c>
      <c r="Z94" s="184">
        <f t="shared" si="54"/>
        <v>0</v>
      </c>
      <c r="AA94" s="184">
        <f t="shared" si="54"/>
        <v>582978.29295977391</v>
      </c>
      <c r="AB94" s="184">
        <f t="shared" si="54"/>
        <v>327925.28978987283</v>
      </c>
      <c r="AC94" s="184">
        <f t="shared" si="54"/>
        <v>1676062.59225935</v>
      </c>
      <c r="AD94" s="184">
        <f t="shared" si="54"/>
        <v>419015.6480648375</v>
      </c>
      <c r="AE94" s="184">
        <f t="shared" si="54"/>
        <v>0</v>
      </c>
      <c r="AF94" s="184">
        <f t="shared" si="54"/>
        <v>0</v>
      </c>
      <c r="AG94" s="184">
        <f t="shared" si="54"/>
        <v>0</v>
      </c>
      <c r="AH94" s="184">
        <f t="shared" si="54"/>
        <v>0</v>
      </c>
      <c r="AI94" s="184">
        <f t="shared" si="54"/>
        <v>0</v>
      </c>
      <c r="AJ94" s="184">
        <f t="shared" si="54"/>
        <v>0</v>
      </c>
      <c r="AK94" s="184">
        <f t="shared" si="54"/>
        <v>0</v>
      </c>
      <c r="AL94" s="184">
        <f t="shared" si="54"/>
        <v>0</v>
      </c>
      <c r="AM94" s="184">
        <f t="shared" si="54"/>
        <v>0</v>
      </c>
      <c r="AN94" s="184">
        <f t="shared" si="54"/>
        <v>0</v>
      </c>
      <c r="AO94" s="184">
        <f t="shared" si="54"/>
        <v>0</v>
      </c>
      <c r="AP94" s="184">
        <f t="shared" ref="AP94" si="55">AP$69 * $H78</f>
        <v>0</v>
      </c>
      <c r="AQ94" s="184">
        <f t="shared" si="54"/>
        <v>0</v>
      </c>
      <c r="AR94" s="184">
        <f t="shared" ref="AR94" si="56">AR$69 * $H78</f>
        <v>0</v>
      </c>
      <c r="AS94" s="58"/>
      <c r="AT94" s="36"/>
    </row>
    <row r="95" spans="1:46" x14ac:dyDescent="0.35">
      <c r="A95" s="36"/>
      <c r="B95" s="36"/>
      <c r="C95" s="36"/>
      <c r="D95" s="36"/>
      <c r="E95" s="36"/>
      <c r="F95" s="36"/>
      <c r="G95" s="36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58"/>
      <c r="AS95" s="58"/>
      <c r="AT95" s="36"/>
    </row>
    <row r="96" spans="1:46" x14ac:dyDescent="0.35">
      <c r="A96" s="98"/>
      <c r="B96" s="36"/>
      <c r="C96" s="36"/>
      <c r="D96" s="36"/>
      <c r="E96" s="89" t="s">
        <v>559</v>
      </c>
      <c r="F96" s="36"/>
      <c r="G96" s="36"/>
      <c r="H96" s="58"/>
      <c r="I96" s="103" t="s">
        <v>120</v>
      </c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58"/>
      <c r="AS96" s="58"/>
      <c r="AT96" s="92" t="s">
        <v>360</v>
      </c>
    </row>
    <row r="97" spans="1:46" x14ac:dyDescent="0.35">
      <c r="A97" s="36"/>
      <c r="B97" s="36"/>
      <c r="C97" s="36"/>
      <c r="D97" s="36"/>
      <c r="E97" s="36"/>
      <c r="F97" s="90" t="s">
        <v>196</v>
      </c>
      <c r="G97" s="90" t="str">
        <f>G$19</f>
        <v>£ per year</v>
      </c>
      <c r="H97" s="114"/>
      <c r="I97" s="114"/>
      <c r="J97" s="128">
        <f t="shared" ref="J97:AQ97" si="57">J$69 * $H81</f>
        <v>0</v>
      </c>
      <c r="K97" s="128">
        <f t="shared" si="57"/>
        <v>0</v>
      </c>
      <c r="L97" s="128">
        <f t="shared" si="57"/>
        <v>2127863.5976081113</v>
      </c>
      <c r="M97" s="128">
        <f t="shared" si="57"/>
        <v>580326.43571130303</v>
      </c>
      <c r="N97" s="128">
        <f t="shared" si="57"/>
        <v>303980.5139440159</v>
      </c>
      <c r="O97" s="128">
        <f t="shared" si="57"/>
        <v>0</v>
      </c>
      <c r="P97" s="128">
        <f t="shared" si="57"/>
        <v>55269.184353457436</v>
      </c>
      <c r="Q97" s="128">
        <f t="shared" si="57"/>
        <v>829037.76530186157</v>
      </c>
      <c r="R97" s="128">
        <f t="shared" si="57"/>
        <v>1879152.2680175528</v>
      </c>
      <c r="S97" s="128">
        <f t="shared" si="57"/>
        <v>5444014.6588155571</v>
      </c>
      <c r="T97" s="128">
        <f t="shared" si="57"/>
        <v>718499.39659494662</v>
      </c>
      <c r="U97" s="128">
        <f t="shared" si="57"/>
        <v>248711.32959055845</v>
      </c>
      <c r="V97" s="128">
        <f t="shared" si="57"/>
        <v>690864.80441821797</v>
      </c>
      <c r="W97" s="128">
        <f t="shared" si="57"/>
        <v>414518.88265093078</v>
      </c>
      <c r="X97" s="128">
        <f t="shared" si="57"/>
        <v>3288516.4690307174</v>
      </c>
      <c r="Y97" s="128">
        <f t="shared" si="57"/>
        <v>0</v>
      </c>
      <c r="Z97" s="128">
        <f t="shared" si="57"/>
        <v>0</v>
      </c>
      <c r="AA97" s="128">
        <f t="shared" si="57"/>
        <v>884306.94965531898</v>
      </c>
      <c r="AB97" s="128">
        <f t="shared" si="57"/>
        <v>497422.65918111691</v>
      </c>
      <c r="AC97" s="128">
        <f t="shared" si="57"/>
        <v>2542382.4802590418</v>
      </c>
      <c r="AD97" s="128">
        <f t="shared" si="57"/>
        <v>635595.62006476044</v>
      </c>
      <c r="AE97" s="128">
        <f t="shared" si="57"/>
        <v>0</v>
      </c>
      <c r="AF97" s="128">
        <f t="shared" si="57"/>
        <v>0</v>
      </c>
      <c r="AG97" s="128">
        <f t="shared" si="57"/>
        <v>0</v>
      </c>
      <c r="AH97" s="128">
        <f t="shared" si="57"/>
        <v>0</v>
      </c>
      <c r="AI97" s="128">
        <f t="shared" si="57"/>
        <v>0</v>
      </c>
      <c r="AJ97" s="128">
        <f t="shared" si="57"/>
        <v>0</v>
      </c>
      <c r="AK97" s="128">
        <f t="shared" si="57"/>
        <v>0</v>
      </c>
      <c r="AL97" s="128">
        <f t="shared" si="57"/>
        <v>0</v>
      </c>
      <c r="AM97" s="128">
        <f t="shared" si="57"/>
        <v>0</v>
      </c>
      <c r="AN97" s="128">
        <f t="shared" si="57"/>
        <v>0</v>
      </c>
      <c r="AO97" s="128">
        <f t="shared" si="57"/>
        <v>0</v>
      </c>
      <c r="AP97" s="128">
        <f t="shared" ref="AP97" si="58">AP$69 * $H81</f>
        <v>0</v>
      </c>
      <c r="AQ97" s="128">
        <f t="shared" si="57"/>
        <v>0</v>
      </c>
      <c r="AR97" s="128">
        <f t="shared" ref="AR97" si="59">AR$69 * $H81</f>
        <v>0</v>
      </c>
      <c r="AS97" s="58"/>
      <c r="AT97" s="36"/>
    </row>
    <row r="98" spans="1:46" x14ac:dyDescent="0.35">
      <c r="A98" s="36"/>
      <c r="B98" s="36"/>
      <c r="C98" s="36"/>
      <c r="D98" s="36"/>
      <c r="E98" s="36"/>
      <c r="F98" s="92" t="s">
        <v>197</v>
      </c>
      <c r="G98" s="92" t="str">
        <f>G$19</f>
        <v>£ per year</v>
      </c>
      <c r="H98" s="101"/>
      <c r="I98" s="101"/>
      <c r="J98" s="129">
        <f t="shared" ref="J98:AQ98" si="60">J$69 * $H82</f>
        <v>0</v>
      </c>
      <c r="K98" s="129">
        <f t="shared" si="60"/>
        <v>0</v>
      </c>
      <c r="L98" s="129">
        <f t="shared" si="60"/>
        <v>2198310.6511297766</v>
      </c>
      <c r="M98" s="129">
        <f t="shared" si="60"/>
        <v>599539.26848993904</v>
      </c>
      <c r="N98" s="129">
        <f t="shared" si="60"/>
        <v>314044.37873282522</v>
      </c>
      <c r="O98" s="129">
        <f t="shared" si="60"/>
        <v>0</v>
      </c>
      <c r="P98" s="129">
        <f t="shared" si="60"/>
        <v>57098.97795142277</v>
      </c>
      <c r="Q98" s="129">
        <f t="shared" si="60"/>
        <v>856484.66927134153</v>
      </c>
      <c r="R98" s="129">
        <f t="shared" si="60"/>
        <v>1941365.2503483742</v>
      </c>
      <c r="S98" s="129">
        <f t="shared" si="60"/>
        <v>5624249.3282151427</v>
      </c>
      <c r="T98" s="129">
        <f t="shared" si="60"/>
        <v>742286.71336849604</v>
      </c>
      <c r="U98" s="129">
        <f t="shared" si="60"/>
        <v>256945.40078140245</v>
      </c>
      <c r="V98" s="129">
        <f t="shared" si="60"/>
        <v>713737.22439278464</v>
      </c>
      <c r="W98" s="129">
        <f t="shared" si="60"/>
        <v>428242.33463567076</v>
      </c>
      <c r="X98" s="129">
        <f t="shared" si="60"/>
        <v>3397389.1881096549</v>
      </c>
      <c r="Y98" s="129">
        <f t="shared" si="60"/>
        <v>0</v>
      </c>
      <c r="Z98" s="129">
        <f t="shared" si="60"/>
        <v>0</v>
      </c>
      <c r="AA98" s="129">
        <f t="shared" si="60"/>
        <v>913583.64722276432</v>
      </c>
      <c r="AB98" s="129">
        <f t="shared" si="60"/>
        <v>513890.8015628049</v>
      </c>
      <c r="AC98" s="129">
        <f t="shared" si="60"/>
        <v>2626552.9857654474</v>
      </c>
      <c r="AD98" s="129">
        <f t="shared" si="60"/>
        <v>656638.24644136184</v>
      </c>
      <c r="AE98" s="129">
        <f t="shared" si="60"/>
        <v>0</v>
      </c>
      <c r="AF98" s="129">
        <f t="shared" si="60"/>
        <v>0</v>
      </c>
      <c r="AG98" s="129">
        <f t="shared" si="60"/>
        <v>0</v>
      </c>
      <c r="AH98" s="129">
        <f t="shared" si="60"/>
        <v>0</v>
      </c>
      <c r="AI98" s="129">
        <f t="shared" si="60"/>
        <v>0</v>
      </c>
      <c r="AJ98" s="129">
        <f t="shared" si="60"/>
        <v>0</v>
      </c>
      <c r="AK98" s="129">
        <f t="shared" si="60"/>
        <v>0</v>
      </c>
      <c r="AL98" s="129">
        <f t="shared" si="60"/>
        <v>0</v>
      </c>
      <c r="AM98" s="129">
        <f t="shared" si="60"/>
        <v>0</v>
      </c>
      <c r="AN98" s="129">
        <f t="shared" si="60"/>
        <v>0</v>
      </c>
      <c r="AO98" s="129">
        <f t="shared" si="60"/>
        <v>0</v>
      </c>
      <c r="AP98" s="129">
        <f t="shared" ref="AP98" si="61">AP$69 * $H82</f>
        <v>0</v>
      </c>
      <c r="AQ98" s="129">
        <f t="shared" si="60"/>
        <v>0</v>
      </c>
      <c r="AR98" s="129">
        <f t="shared" ref="AR98" si="62">AR$69 * $H82</f>
        <v>0</v>
      </c>
      <c r="AS98" s="58"/>
      <c r="AT98" s="36"/>
    </row>
    <row r="99" spans="1:46" x14ac:dyDescent="0.35">
      <c r="A99" s="36"/>
      <c r="B99" s="36"/>
      <c r="C99" s="36"/>
      <c r="D99" s="36"/>
      <c r="E99" s="36"/>
      <c r="F99" s="92" t="s">
        <v>198</v>
      </c>
      <c r="G99" s="92" t="str">
        <f>G$19</f>
        <v>£ per year</v>
      </c>
      <c r="H99" s="101"/>
      <c r="I99" s="101"/>
      <c r="J99" s="129">
        <f t="shared" ref="J99:AQ99" si="63">J$69 * $H83</f>
        <v>0</v>
      </c>
      <c r="K99" s="129">
        <f t="shared" si="63"/>
        <v>0</v>
      </c>
      <c r="L99" s="129">
        <f t="shared" si="63"/>
        <v>545818.44228341605</v>
      </c>
      <c r="M99" s="129">
        <f t="shared" si="63"/>
        <v>148859.57516820435</v>
      </c>
      <c r="N99" s="129">
        <f t="shared" si="63"/>
        <v>77974.063183345148</v>
      </c>
      <c r="O99" s="129">
        <f t="shared" si="63"/>
        <v>0</v>
      </c>
      <c r="P99" s="129">
        <f t="shared" si="63"/>
        <v>14177.102396971844</v>
      </c>
      <c r="Q99" s="129">
        <f t="shared" si="63"/>
        <v>212656.53595457767</v>
      </c>
      <c r="R99" s="129">
        <f t="shared" si="63"/>
        <v>482021.4814970427</v>
      </c>
      <c r="S99" s="129">
        <f t="shared" si="63"/>
        <v>1396444.5861017266</v>
      </c>
      <c r="T99" s="129">
        <f t="shared" si="63"/>
        <v>184302.33116063397</v>
      </c>
      <c r="U99" s="129">
        <f t="shared" si="63"/>
        <v>63796.960786373296</v>
      </c>
      <c r="V99" s="129">
        <f t="shared" si="63"/>
        <v>177213.77996214805</v>
      </c>
      <c r="W99" s="129">
        <f t="shared" si="63"/>
        <v>106328.26797728884</v>
      </c>
      <c r="X99" s="129">
        <f t="shared" si="63"/>
        <v>843537.59261982469</v>
      </c>
      <c r="Y99" s="129">
        <f t="shared" si="63"/>
        <v>0</v>
      </c>
      <c r="Z99" s="129">
        <f t="shared" si="63"/>
        <v>0</v>
      </c>
      <c r="AA99" s="129">
        <f t="shared" si="63"/>
        <v>226833.63835154951</v>
      </c>
      <c r="AB99" s="129">
        <f t="shared" si="63"/>
        <v>127593.92157274659</v>
      </c>
      <c r="AC99" s="129">
        <f t="shared" si="63"/>
        <v>652146.71026070486</v>
      </c>
      <c r="AD99" s="129">
        <f t="shared" si="63"/>
        <v>163036.67756517621</v>
      </c>
      <c r="AE99" s="129">
        <f t="shared" si="63"/>
        <v>0</v>
      </c>
      <c r="AF99" s="129">
        <f t="shared" si="63"/>
        <v>0</v>
      </c>
      <c r="AG99" s="129">
        <f t="shared" si="63"/>
        <v>0</v>
      </c>
      <c r="AH99" s="129">
        <f t="shared" si="63"/>
        <v>0</v>
      </c>
      <c r="AI99" s="129">
        <f t="shared" si="63"/>
        <v>0</v>
      </c>
      <c r="AJ99" s="129">
        <f t="shared" si="63"/>
        <v>0</v>
      </c>
      <c r="AK99" s="129">
        <f t="shared" si="63"/>
        <v>0</v>
      </c>
      <c r="AL99" s="129">
        <f t="shared" si="63"/>
        <v>0</v>
      </c>
      <c r="AM99" s="129">
        <f t="shared" si="63"/>
        <v>0</v>
      </c>
      <c r="AN99" s="129">
        <f t="shared" si="63"/>
        <v>0</v>
      </c>
      <c r="AO99" s="129">
        <f t="shared" si="63"/>
        <v>0</v>
      </c>
      <c r="AP99" s="129">
        <f t="shared" ref="AP99" si="64">AP$69 * $H83</f>
        <v>0</v>
      </c>
      <c r="AQ99" s="129">
        <f t="shared" si="63"/>
        <v>0</v>
      </c>
      <c r="AR99" s="129">
        <f t="shared" ref="AR99" si="65">AR$69 * $H83</f>
        <v>0</v>
      </c>
      <c r="AS99" s="58"/>
      <c r="AT99" s="36"/>
    </row>
    <row r="100" spans="1:46" x14ac:dyDescent="0.35">
      <c r="A100" s="36"/>
      <c r="B100" s="36"/>
      <c r="C100" s="36"/>
      <c r="D100" s="36"/>
      <c r="E100" s="36"/>
      <c r="F100" s="92" t="s">
        <v>199</v>
      </c>
      <c r="G100" s="92" t="str">
        <f>G$19</f>
        <v>£ per year</v>
      </c>
      <c r="H100" s="101"/>
      <c r="I100" s="101"/>
      <c r="J100" s="129">
        <f t="shared" ref="J100:AQ100" si="66">J$69 * $H84</f>
        <v>0</v>
      </c>
      <c r="K100" s="129">
        <f t="shared" si="66"/>
        <v>0</v>
      </c>
      <c r="L100" s="129">
        <f t="shared" si="66"/>
        <v>1637533.1366131906</v>
      </c>
      <c r="M100" s="129">
        <f t="shared" si="66"/>
        <v>446599.94634905196</v>
      </c>
      <c r="N100" s="129">
        <f t="shared" si="66"/>
        <v>233933.30523045579</v>
      </c>
      <c r="O100" s="129">
        <f t="shared" si="66"/>
        <v>0</v>
      </c>
      <c r="P100" s="129">
        <f t="shared" si="66"/>
        <v>42533.328223719232</v>
      </c>
      <c r="Q100" s="129">
        <f t="shared" si="66"/>
        <v>637999.92335578857</v>
      </c>
      <c r="R100" s="129">
        <f t="shared" si="66"/>
        <v>1446133.159606454</v>
      </c>
      <c r="S100" s="129">
        <f t="shared" si="66"/>
        <v>4189532.8300363449</v>
      </c>
      <c r="T100" s="129">
        <f t="shared" si="66"/>
        <v>552933.26690835005</v>
      </c>
      <c r="U100" s="129">
        <f t="shared" si="66"/>
        <v>191399.97700673656</v>
      </c>
      <c r="V100" s="129">
        <f t="shared" si="66"/>
        <v>531666.60279649042</v>
      </c>
      <c r="W100" s="129">
        <f t="shared" si="66"/>
        <v>318999.96167789429</v>
      </c>
      <c r="X100" s="129">
        <f t="shared" si="66"/>
        <v>2530733.0293112947</v>
      </c>
      <c r="Y100" s="129">
        <f t="shared" si="66"/>
        <v>0</v>
      </c>
      <c r="Z100" s="129">
        <f t="shared" si="66"/>
        <v>0</v>
      </c>
      <c r="AA100" s="129">
        <f t="shared" si="66"/>
        <v>680533.25157950772</v>
      </c>
      <c r="AB100" s="129">
        <f t="shared" si="66"/>
        <v>382799.95401347312</v>
      </c>
      <c r="AC100" s="129">
        <f t="shared" si="66"/>
        <v>1956533.0982910849</v>
      </c>
      <c r="AD100" s="129">
        <f t="shared" si="66"/>
        <v>489133.27457277122</v>
      </c>
      <c r="AE100" s="129">
        <f t="shared" si="66"/>
        <v>0</v>
      </c>
      <c r="AF100" s="129">
        <f t="shared" si="66"/>
        <v>0</v>
      </c>
      <c r="AG100" s="129">
        <f t="shared" si="66"/>
        <v>0</v>
      </c>
      <c r="AH100" s="129">
        <f t="shared" si="66"/>
        <v>0</v>
      </c>
      <c r="AI100" s="129">
        <f t="shared" si="66"/>
        <v>0</v>
      </c>
      <c r="AJ100" s="129">
        <f t="shared" si="66"/>
        <v>0</v>
      </c>
      <c r="AK100" s="129">
        <f t="shared" si="66"/>
        <v>0</v>
      </c>
      <c r="AL100" s="129">
        <f t="shared" si="66"/>
        <v>0</v>
      </c>
      <c r="AM100" s="129">
        <f t="shared" si="66"/>
        <v>0</v>
      </c>
      <c r="AN100" s="129">
        <f t="shared" si="66"/>
        <v>0</v>
      </c>
      <c r="AO100" s="129">
        <f t="shared" si="66"/>
        <v>0</v>
      </c>
      <c r="AP100" s="129">
        <f t="shared" ref="AP100" si="67">AP$69 * $H84</f>
        <v>0</v>
      </c>
      <c r="AQ100" s="129">
        <f t="shared" si="66"/>
        <v>0</v>
      </c>
      <c r="AR100" s="129">
        <f t="shared" ref="AR100" si="68">AR$69 * $H84</f>
        <v>0</v>
      </c>
      <c r="AS100" s="58"/>
      <c r="AT100" s="36"/>
    </row>
    <row r="101" spans="1:46" x14ac:dyDescent="0.35">
      <c r="A101" s="36"/>
      <c r="B101" s="36"/>
      <c r="C101" s="36"/>
      <c r="D101" s="36"/>
      <c r="E101" s="36"/>
      <c r="F101" s="94" t="s">
        <v>201</v>
      </c>
      <c r="G101" s="94" t="str">
        <f>G$19</f>
        <v>£ per year</v>
      </c>
      <c r="H101" s="115"/>
      <c r="I101" s="115"/>
      <c r="J101" s="184">
        <f t="shared" ref="J101:AQ101" si="69">J$69 * $H85</f>
        <v>0</v>
      </c>
      <c r="K101" s="184">
        <f t="shared" si="69"/>
        <v>0</v>
      </c>
      <c r="L101" s="184">
        <f t="shared" si="69"/>
        <v>1190474.172365505</v>
      </c>
      <c r="M101" s="184">
        <f t="shared" si="69"/>
        <v>324674.77428150136</v>
      </c>
      <c r="N101" s="184">
        <f t="shared" si="69"/>
        <v>170067.73890935787</v>
      </c>
      <c r="O101" s="184">
        <f t="shared" si="69"/>
        <v>0</v>
      </c>
      <c r="P101" s="184">
        <f t="shared" si="69"/>
        <v>30921.407074428702</v>
      </c>
      <c r="Q101" s="184">
        <f t="shared" si="69"/>
        <v>463821.10611643054</v>
      </c>
      <c r="R101" s="184">
        <f t="shared" si="69"/>
        <v>1051327.840530576</v>
      </c>
      <c r="S101" s="184">
        <f t="shared" si="69"/>
        <v>3045758.5968312272</v>
      </c>
      <c r="T101" s="184">
        <f t="shared" si="69"/>
        <v>401978.29196757311</v>
      </c>
      <c r="U101" s="184">
        <f t="shared" si="69"/>
        <v>139146.33183492915</v>
      </c>
      <c r="V101" s="184">
        <f t="shared" si="69"/>
        <v>386517.5884303588</v>
      </c>
      <c r="W101" s="184">
        <f t="shared" si="69"/>
        <v>231910.55305821527</v>
      </c>
      <c r="X101" s="184">
        <f t="shared" si="69"/>
        <v>1839823.7209285079</v>
      </c>
      <c r="Y101" s="184">
        <f t="shared" si="69"/>
        <v>0</v>
      </c>
      <c r="Z101" s="184">
        <f t="shared" si="69"/>
        <v>0</v>
      </c>
      <c r="AA101" s="184">
        <f t="shared" si="69"/>
        <v>494742.51319085923</v>
      </c>
      <c r="AB101" s="184">
        <f t="shared" si="69"/>
        <v>278292.6636698583</v>
      </c>
      <c r="AC101" s="184">
        <f t="shared" si="69"/>
        <v>1422384.7254237204</v>
      </c>
      <c r="AD101" s="184">
        <f t="shared" si="69"/>
        <v>355596.18135593011</v>
      </c>
      <c r="AE101" s="184">
        <f t="shared" si="69"/>
        <v>0</v>
      </c>
      <c r="AF101" s="184">
        <f t="shared" si="69"/>
        <v>0</v>
      </c>
      <c r="AG101" s="184">
        <f t="shared" si="69"/>
        <v>0</v>
      </c>
      <c r="AH101" s="184">
        <f t="shared" si="69"/>
        <v>0</v>
      </c>
      <c r="AI101" s="184">
        <f t="shared" si="69"/>
        <v>0</v>
      </c>
      <c r="AJ101" s="184">
        <f t="shared" si="69"/>
        <v>0</v>
      </c>
      <c r="AK101" s="184">
        <f t="shared" si="69"/>
        <v>0</v>
      </c>
      <c r="AL101" s="184">
        <f t="shared" si="69"/>
        <v>0</v>
      </c>
      <c r="AM101" s="184">
        <f t="shared" si="69"/>
        <v>0</v>
      </c>
      <c r="AN101" s="184">
        <f t="shared" si="69"/>
        <v>0</v>
      </c>
      <c r="AO101" s="184">
        <f t="shared" si="69"/>
        <v>0</v>
      </c>
      <c r="AP101" s="184">
        <f t="shared" ref="AP101" si="70">AP$69 * $H85</f>
        <v>0</v>
      </c>
      <c r="AQ101" s="184">
        <f t="shared" si="69"/>
        <v>0</v>
      </c>
      <c r="AR101" s="184">
        <f t="shared" ref="AR101" si="71">AR$69 * $H85</f>
        <v>0</v>
      </c>
      <c r="AS101" s="58"/>
      <c r="AT101" s="36"/>
    </row>
    <row r="102" spans="1:46" x14ac:dyDescent="0.35">
      <c r="A102" s="36"/>
      <c r="B102" s="36"/>
      <c r="C102" s="36"/>
      <c r="D102" s="36"/>
      <c r="E102" s="36"/>
      <c r="F102" s="36"/>
      <c r="G102" s="36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  <c r="AS102" s="58"/>
      <c r="AT102" s="36"/>
    </row>
    <row r="103" spans="1:46" x14ac:dyDescent="0.35">
      <c r="A103" s="36"/>
      <c r="B103" s="84" t="s">
        <v>560</v>
      </c>
      <c r="C103" s="84"/>
      <c r="D103" s="84"/>
      <c r="E103" s="84"/>
      <c r="F103" s="84"/>
      <c r="G103" s="84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  <c r="AA103" s="85"/>
      <c r="AB103" s="85"/>
      <c r="AC103" s="85"/>
      <c r="AD103" s="85"/>
      <c r="AE103" s="85"/>
      <c r="AF103" s="85"/>
      <c r="AG103" s="85"/>
      <c r="AH103" s="85"/>
      <c r="AI103" s="85"/>
      <c r="AJ103" s="85"/>
      <c r="AK103" s="85"/>
      <c r="AL103" s="85"/>
      <c r="AM103" s="85"/>
      <c r="AN103" s="85"/>
      <c r="AO103" s="85"/>
      <c r="AP103" s="85"/>
      <c r="AQ103" s="85"/>
      <c r="AR103" s="85"/>
      <c r="AS103" s="85"/>
      <c r="AT103" s="84"/>
    </row>
    <row r="104" spans="1:46" x14ac:dyDescent="0.35">
      <c r="A104" s="36"/>
      <c r="B104" s="36"/>
      <c r="C104" s="36"/>
      <c r="D104" s="36"/>
      <c r="E104" s="36"/>
      <c r="F104" s="36"/>
      <c r="G104" s="36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  <c r="AQ104" s="58"/>
      <c r="AR104" s="58"/>
      <c r="AS104" s="58"/>
      <c r="AT104" s="36"/>
    </row>
    <row r="105" spans="1:46" x14ac:dyDescent="0.35">
      <c r="A105" s="36"/>
      <c r="B105" s="36"/>
      <c r="C105" s="86" t="s">
        <v>561</v>
      </c>
      <c r="D105" s="86"/>
      <c r="E105" s="36"/>
      <c r="F105" s="36"/>
      <c r="G105" s="36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58"/>
      <c r="AO105" s="58"/>
      <c r="AP105" s="58"/>
      <c r="AQ105" s="58"/>
      <c r="AR105" s="58"/>
      <c r="AS105" s="58"/>
      <c r="AT105" s="36"/>
    </row>
    <row r="106" spans="1:46" x14ac:dyDescent="0.35">
      <c r="A106" s="36"/>
      <c r="B106" s="36"/>
      <c r="C106" s="86"/>
      <c r="D106" s="86"/>
      <c r="E106" s="36"/>
      <c r="F106" s="36"/>
      <c r="G106" s="36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  <c r="AN106" s="58"/>
      <c r="AO106" s="58"/>
      <c r="AP106" s="58"/>
      <c r="AQ106" s="58"/>
      <c r="AR106" s="58"/>
      <c r="AS106" s="58"/>
      <c r="AT106" s="36"/>
    </row>
    <row r="107" spans="1:46" x14ac:dyDescent="0.35">
      <c r="A107" s="36"/>
      <c r="B107" s="36"/>
      <c r="C107" s="87" t="s">
        <v>562</v>
      </c>
      <c r="D107" s="87"/>
      <c r="E107" s="87"/>
      <c r="F107" s="87"/>
      <c r="G107" s="87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7"/>
    </row>
    <row r="108" spans="1:46" x14ac:dyDescent="0.35">
      <c r="A108" s="36"/>
      <c r="B108" s="36"/>
      <c r="C108" s="86"/>
      <c r="D108" s="86"/>
      <c r="E108" s="36"/>
      <c r="F108" s="36"/>
      <c r="G108" s="36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  <c r="AN108" s="58"/>
      <c r="AO108" s="58"/>
      <c r="AP108" s="58"/>
      <c r="AQ108" s="58"/>
      <c r="AR108" s="58"/>
      <c r="AS108" s="58"/>
      <c r="AT108" s="36"/>
    </row>
    <row r="109" spans="1:46" x14ac:dyDescent="0.35">
      <c r="A109" s="36"/>
      <c r="B109" s="36"/>
      <c r="C109" s="36"/>
      <c r="D109" s="36"/>
      <c r="E109" s="92" t="s">
        <v>180</v>
      </c>
      <c r="F109" s="36"/>
      <c r="G109" s="36" t="s">
        <v>434</v>
      </c>
      <c r="H109" s="119">
        <f>'DNO inputs'!H49</f>
        <v>8205460.0480434187</v>
      </c>
      <c r="I109" s="58"/>
      <c r="J109" s="101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  <c r="AR109" s="129"/>
      <c r="AS109" s="58"/>
      <c r="AT109" s="36"/>
    </row>
    <row r="110" spans="1:46" x14ac:dyDescent="0.35">
      <c r="A110" s="98"/>
      <c r="B110" s="36"/>
      <c r="C110" s="36"/>
      <c r="D110" s="36"/>
      <c r="E110" s="161"/>
      <c r="F110" s="36"/>
      <c r="G110" s="92"/>
      <c r="H110" s="101"/>
      <c r="I110" s="112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101"/>
      <c r="AQ110" s="101"/>
      <c r="AR110" s="101"/>
      <c r="AS110" s="58"/>
      <c r="AT110" s="36"/>
    </row>
    <row r="111" spans="1:46" x14ac:dyDescent="0.35">
      <c r="A111" s="36"/>
      <c r="B111" s="36"/>
      <c r="C111" s="86"/>
      <c r="D111" s="86"/>
      <c r="E111" s="36" t="s">
        <v>352</v>
      </c>
      <c r="F111" s="36"/>
      <c r="G111" s="36" t="s">
        <v>113</v>
      </c>
      <c r="H111" s="119">
        <f>'DNO inputs'!H66</f>
        <v>208.59200000000001</v>
      </c>
      <c r="I111" s="58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1"/>
      <c r="AD111" s="101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1"/>
      <c r="AP111" s="101"/>
      <c r="AQ111" s="101"/>
      <c r="AR111" s="101"/>
      <c r="AS111" s="58"/>
      <c r="AT111" s="36"/>
    </row>
    <row r="112" spans="1:46" x14ac:dyDescent="0.35">
      <c r="A112" s="36"/>
      <c r="B112" s="36"/>
      <c r="C112" s="86"/>
      <c r="D112" s="86"/>
      <c r="E112" s="36"/>
      <c r="F112" s="36"/>
      <c r="G112" s="36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  <c r="AR112" s="58"/>
      <c r="AS112" s="58"/>
      <c r="AT112" s="36"/>
    </row>
    <row r="113" spans="1:46" x14ac:dyDescent="0.35">
      <c r="A113" s="36"/>
      <c r="B113" s="36"/>
      <c r="C113" s="36"/>
      <c r="D113" s="36"/>
      <c r="E113" s="92" t="s">
        <v>353</v>
      </c>
      <c r="F113" s="36"/>
      <c r="G113" s="36" t="s">
        <v>113</v>
      </c>
      <c r="H113" s="119">
        <f>'DNO inputs'!H68</f>
        <v>375.39601397083999</v>
      </c>
      <c r="I113" s="101"/>
      <c r="J113" s="58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58"/>
      <c r="AT113" s="36"/>
    </row>
    <row r="114" spans="1:46" x14ac:dyDescent="0.35">
      <c r="A114" s="36"/>
      <c r="B114" s="36"/>
      <c r="C114" s="36"/>
      <c r="D114" s="36"/>
      <c r="E114" s="86"/>
      <c r="F114" s="36"/>
      <c r="G114" s="36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  <c r="AM114" s="58"/>
      <c r="AN114" s="58"/>
      <c r="AO114" s="58"/>
      <c r="AP114" s="58"/>
      <c r="AQ114" s="58"/>
      <c r="AR114" s="58"/>
      <c r="AS114" s="58"/>
      <c r="AT114" s="36"/>
    </row>
    <row r="115" spans="1:46" x14ac:dyDescent="0.35">
      <c r="A115" s="36"/>
      <c r="B115" s="36"/>
      <c r="C115" s="36"/>
      <c r="D115" s="36"/>
      <c r="E115" s="92" t="s">
        <v>563</v>
      </c>
      <c r="F115" s="36"/>
      <c r="G115" s="92" t="s">
        <v>113</v>
      </c>
      <c r="H115" s="129">
        <f xml:space="preserve"> IF(H111 &lt;&gt; 0, H113 / H111, 0)</f>
        <v>1.799666401256232</v>
      </c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101"/>
      <c r="AQ115" s="101"/>
      <c r="AR115" s="101"/>
      <c r="AS115" s="58"/>
      <c r="AT115" s="36"/>
    </row>
    <row r="116" spans="1:46" x14ac:dyDescent="0.35">
      <c r="A116" s="98"/>
      <c r="B116" s="36"/>
      <c r="C116" s="36"/>
      <c r="D116" s="36"/>
      <c r="E116" s="165"/>
      <c r="F116" s="36"/>
      <c r="G116" s="92"/>
      <c r="H116" s="107"/>
      <c r="I116" s="131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58"/>
      <c r="AT116" s="36"/>
    </row>
    <row r="117" spans="1:46" x14ac:dyDescent="0.35">
      <c r="A117" s="98"/>
      <c r="B117" s="36"/>
      <c r="C117" s="36"/>
      <c r="D117" s="36"/>
      <c r="E117" s="161" t="s">
        <v>564</v>
      </c>
      <c r="F117" s="36"/>
      <c r="G117" s="92" t="s">
        <v>434</v>
      </c>
      <c r="H117" s="101"/>
      <c r="I117" s="112" t="s">
        <v>120</v>
      </c>
      <c r="J117" s="127"/>
      <c r="K117" s="127"/>
      <c r="L117" s="127"/>
      <c r="M117" s="127"/>
      <c r="N117" s="127"/>
      <c r="O117" s="127"/>
      <c r="P117" s="127"/>
      <c r="Q117" s="127"/>
      <c r="R117" s="127"/>
      <c r="S117" s="127"/>
      <c r="T117" s="127"/>
      <c r="U117" s="127"/>
      <c r="V117" s="127"/>
      <c r="W117" s="127"/>
      <c r="X117" s="127"/>
      <c r="Y117" s="127"/>
      <c r="Z117" s="127"/>
      <c r="AA117" s="127"/>
      <c r="AB117" s="127"/>
      <c r="AC117" s="127"/>
      <c r="AD117" s="127"/>
      <c r="AE117" s="127"/>
      <c r="AF117" s="127"/>
      <c r="AG117" s="127"/>
      <c r="AH117" s="127"/>
      <c r="AI117" s="127"/>
      <c r="AJ117" s="127"/>
      <c r="AK117" s="127"/>
      <c r="AL117" s="127"/>
      <c r="AM117" s="127"/>
      <c r="AN117" s="127"/>
      <c r="AO117" s="127"/>
      <c r="AP117" s="127"/>
      <c r="AQ117" s="127"/>
      <c r="AR117" s="101">
        <f>IF(H115 &lt;&gt; 0, H109 / H115, 0)</f>
        <v>4559433.9274855116</v>
      </c>
      <c r="AS117" s="58"/>
      <c r="AT117" s="36" t="s">
        <v>181</v>
      </c>
    </row>
    <row r="118" spans="1:46" x14ac:dyDescent="0.35">
      <c r="A118" s="36"/>
      <c r="B118" s="36"/>
      <c r="C118" s="36"/>
      <c r="D118" s="36"/>
      <c r="E118" s="86"/>
      <c r="F118" s="36"/>
      <c r="G118" s="36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  <c r="AN118" s="58"/>
      <c r="AO118" s="58"/>
      <c r="AP118" s="58"/>
      <c r="AQ118" s="58"/>
      <c r="AR118" s="58"/>
      <c r="AS118" s="58"/>
      <c r="AT118" s="36"/>
    </row>
    <row r="119" spans="1:46" x14ac:dyDescent="0.35">
      <c r="A119" s="36"/>
      <c r="B119" s="36"/>
      <c r="C119" s="87" t="s">
        <v>565</v>
      </c>
      <c r="D119" s="87"/>
      <c r="E119" s="87"/>
      <c r="F119" s="87"/>
      <c r="G119" s="87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  <c r="AA119" s="88"/>
      <c r="AB119" s="88"/>
      <c r="AC119" s="88"/>
      <c r="AD119" s="88"/>
      <c r="AE119" s="88"/>
      <c r="AF119" s="88"/>
      <c r="AG119" s="88"/>
      <c r="AH119" s="88"/>
      <c r="AI119" s="88"/>
      <c r="AJ119" s="88"/>
      <c r="AK119" s="88"/>
      <c r="AL119" s="88"/>
      <c r="AM119" s="88"/>
      <c r="AN119" s="88"/>
      <c r="AO119" s="88"/>
      <c r="AP119" s="88"/>
      <c r="AQ119" s="88"/>
      <c r="AR119" s="88"/>
      <c r="AS119" s="88"/>
      <c r="AT119" s="87"/>
    </row>
    <row r="120" spans="1:46" x14ac:dyDescent="0.35">
      <c r="A120" s="36"/>
      <c r="B120" s="36"/>
      <c r="C120" s="86"/>
      <c r="D120" s="86"/>
      <c r="E120" s="36"/>
      <c r="F120" s="36"/>
      <c r="G120" s="36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  <c r="AR120" s="58"/>
      <c r="AS120" s="58"/>
      <c r="AT120" s="36"/>
    </row>
    <row r="121" spans="1:46" x14ac:dyDescent="0.35">
      <c r="A121" s="36"/>
      <c r="B121" s="36"/>
      <c r="C121" s="86"/>
      <c r="D121" s="86"/>
      <c r="E121" s="36" t="s">
        <v>554</v>
      </c>
      <c r="F121" s="36"/>
      <c r="G121" s="36"/>
      <c r="H121" s="58"/>
      <c r="I121" s="58" t="s">
        <v>120</v>
      </c>
      <c r="J121" s="101">
        <f t="shared" ref="J121:AR121" si="72" xml:space="preserve"> J62 - J69 + J117</f>
        <v>-23800000.000000007</v>
      </c>
      <c r="K121" s="101">
        <f t="shared" si="72"/>
        <v>0</v>
      </c>
      <c r="L121" s="101">
        <f t="shared" si="72"/>
        <v>0</v>
      </c>
      <c r="M121" s="101">
        <f t="shared" si="72"/>
        <v>0</v>
      </c>
      <c r="N121" s="101">
        <f t="shared" si="72"/>
        <v>0</v>
      </c>
      <c r="O121" s="101">
        <f t="shared" si="72"/>
        <v>0</v>
      </c>
      <c r="P121" s="101">
        <f t="shared" si="72"/>
        <v>0</v>
      </c>
      <c r="Q121" s="101">
        <f t="shared" si="72"/>
        <v>0</v>
      </c>
      <c r="R121" s="101">
        <f t="shared" si="72"/>
        <v>0</v>
      </c>
      <c r="S121" s="101">
        <f t="shared" si="72"/>
        <v>0</v>
      </c>
      <c r="T121" s="101">
        <f t="shared" si="72"/>
        <v>0</v>
      </c>
      <c r="U121" s="101">
        <f t="shared" si="72"/>
        <v>0</v>
      </c>
      <c r="V121" s="101">
        <f t="shared" si="72"/>
        <v>0</v>
      </c>
      <c r="W121" s="101">
        <f t="shared" si="72"/>
        <v>0</v>
      </c>
      <c r="X121" s="101">
        <f t="shared" si="72"/>
        <v>0</v>
      </c>
      <c r="Y121" s="101">
        <f t="shared" si="72"/>
        <v>8300000.0000000009</v>
      </c>
      <c r="Z121" s="101">
        <f t="shared" si="72"/>
        <v>3600000</v>
      </c>
      <c r="AA121" s="101">
        <f t="shared" si="72"/>
        <v>0</v>
      </c>
      <c r="AB121" s="101">
        <f t="shared" si="72"/>
        <v>0</v>
      </c>
      <c r="AC121" s="101">
        <f t="shared" si="72"/>
        <v>0</v>
      </c>
      <c r="AD121" s="101">
        <f t="shared" si="72"/>
        <v>0</v>
      </c>
      <c r="AE121" s="101">
        <f t="shared" si="72"/>
        <v>3000000</v>
      </c>
      <c r="AF121" s="101">
        <f t="shared" si="72"/>
        <v>27000000</v>
      </c>
      <c r="AG121" s="101">
        <f t="shared" si="72"/>
        <v>13100000</v>
      </c>
      <c r="AH121" s="101">
        <f t="shared" si="72"/>
        <v>26900000</v>
      </c>
      <c r="AI121" s="101">
        <f t="shared" si="72"/>
        <v>-100000</v>
      </c>
      <c r="AJ121" s="101">
        <f t="shared" si="72"/>
        <v>1000000</v>
      </c>
      <c r="AK121" s="101">
        <f t="shared" si="72"/>
        <v>3900000</v>
      </c>
      <c r="AL121" s="101">
        <f t="shared" si="72"/>
        <v>67900000</v>
      </c>
      <c r="AM121" s="101">
        <f t="shared" si="72"/>
        <v>37800000</v>
      </c>
      <c r="AN121" s="101">
        <f t="shared" si="72"/>
        <v>9800000</v>
      </c>
      <c r="AO121" s="101">
        <f t="shared" si="72"/>
        <v>-27000000</v>
      </c>
      <c r="AP121" s="101">
        <f t="shared" si="72"/>
        <v>1300000</v>
      </c>
      <c r="AQ121" s="101">
        <f t="shared" si="72"/>
        <v>41600000</v>
      </c>
      <c r="AR121" s="101">
        <f t="shared" si="72"/>
        <v>4559433.9274855116</v>
      </c>
      <c r="AS121" s="58"/>
      <c r="AT121" s="36" t="s">
        <v>178</v>
      </c>
    </row>
    <row r="122" spans="1:46" x14ac:dyDescent="0.35">
      <c r="A122" s="36"/>
      <c r="B122" s="36"/>
      <c r="C122" s="86"/>
      <c r="D122" s="86"/>
      <c r="E122" s="36"/>
      <c r="F122" s="36"/>
      <c r="G122" s="36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58"/>
      <c r="AJ122" s="58"/>
      <c r="AK122" s="58"/>
      <c r="AL122" s="58"/>
      <c r="AM122" s="58"/>
      <c r="AN122" s="58"/>
      <c r="AO122" s="58"/>
      <c r="AP122" s="58"/>
      <c r="AQ122" s="58"/>
      <c r="AR122" s="58"/>
      <c r="AS122" s="58"/>
      <c r="AT122" s="36"/>
    </row>
    <row r="123" spans="1:46" x14ac:dyDescent="0.35">
      <c r="A123" s="36"/>
      <c r="B123" s="36"/>
      <c r="C123" s="36"/>
      <c r="D123" s="36"/>
      <c r="E123" s="92" t="str">
        <f>'Fixed inputs'!E53</f>
        <v>Allocation rules allocation key, by cost category</v>
      </c>
      <c r="F123" s="36"/>
      <c r="G123" s="92" t="str">
        <f>'Fixed inputs'!G101</f>
        <v>%</v>
      </c>
      <c r="H123" s="101"/>
      <c r="I123" s="101"/>
      <c r="J123" s="127"/>
      <c r="K123" s="119" t="str">
        <f t="array" ref="K123:AR123">TRANSPOSE('Fixed inputs'!H55:H88)</f>
        <v>MEAV</v>
      </c>
      <c r="L123" s="119" t="str">
        <v>MEAV</v>
      </c>
      <c r="M123" s="119" t="str">
        <v>MEAV</v>
      </c>
      <c r="N123" s="119" t="str">
        <v>MEAV</v>
      </c>
      <c r="O123" s="119" t="str">
        <v>MEAV</v>
      </c>
      <c r="P123" s="119" t="str">
        <v>MEAV</v>
      </c>
      <c r="Q123" s="119" t="str">
        <v>MEAV</v>
      </c>
      <c r="R123" s="119" t="str">
        <v>MEAV</v>
      </c>
      <c r="S123" s="119" t="str">
        <v>MEAV</v>
      </c>
      <c r="T123" s="119" t="str">
        <v>MEAV</v>
      </c>
      <c r="U123" s="119" t="str">
        <v>MEAV</v>
      </c>
      <c r="V123" s="119" t="str">
        <v>MEAV</v>
      </c>
      <c r="W123" s="119" t="str">
        <v>MEAV</v>
      </c>
      <c r="X123" s="119" t="str">
        <v>MEAV</v>
      </c>
      <c r="Y123" s="119" t="str">
        <v>Do not allocate</v>
      </c>
      <c r="Z123" s="119" t="str">
        <v>Do not allocate</v>
      </c>
      <c r="AA123" s="119" t="str">
        <v>MEAV</v>
      </c>
      <c r="AB123" s="119" t="str">
        <v>MEAV</v>
      </c>
      <c r="AC123" s="119" t="str">
        <v>MEAV</v>
      </c>
      <c r="AD123" s="119" t="str">
        <v>MEAV</v>
      </c>
      <c r="AE123" s="119" t="str">
        <v>Do not allocate</v>
      </c>
      <c r="AF123" s="119" t="str">
        <v>Do not allocate</v>
      </c>
      <c r="AG123" s="119" t="str">
        <v>Do not allocate</v>
      </c>
      <c r="AH123" s="119" t="str">
        <v>Do not allocate</v>
      </c>
      <c r="AI123" s="119" t="str">
        <v>Do not allocate</v>
      </c>
      <c r="AJ123" s="119" t="str">
        <v>Do not allocate</v>
      </c>
      <c r="AK123" s="119" t="str">
        <v>Do not allocate</v>
      </c>
      <c r="AL123" s="119" t="str">
        <v>Do not allocate</v>
      </c>
      <c r="AM123" s="119" t="str">
        <v>Do not allocate</v>
      </c>
      <c r="AN123" s="119" t="str">
        <v>Deduct from revenue</v>
      </c>
      <c r="AO123" s="119" t="str">
        <v>Do not allocate</v>
      </c>
      <c r="AP123" s="119" t="str">
        <v>LV Services</v>
      </c>
      <c r="AQ123" s="119" t="str">
        <v>Do not allocate</v>
      </c>
      <c r="AR123" s="119" t="str">
        <v>LV Services</v>
      </c>
      <c r="AS123" s="58"/>
      <c r="AT123" s="36"/>
    </row>
    <row r="124" spans="1:46" x14ac:dyDescent="0.35">
      <c r="A124" s="36"/>
      <c r="B124" s="36"/>
      <c r="C124" s="36"/>
      <c r="D124" s="36"/>
      <c r="E124" s="86"/>
      <c r="F124" s="36"/>
      <c r="G124" s="36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  <c r="AM124" s="58"/>
      <c r="AN124" s="58"/>
      <c r="AO124" s="58"/>
      <c r="AP124" s="58"/>
      <c r="AQ124" s="58"/>
      <c r="AR124" s="58"/>
      <c r="AS124" s="58"/>
      <c r="AT124" s="36"/>
    </row>
    <row r="125" spans="1:46" x14ac:dyDescent="0.35">
      <c r="A125" s="36"/>
      <c r="B125" s="36"/>
      <c r="C125" s="36"/>
      <c r="D125" s="36"/>
      <c r="E125" s="92" t="str">
        <f>'Fixed inputs'!E51</f>
        <v>LV Services allocation option name</v>
      </c>
      <c r="F125" s="36"/>
      <c r="G125" s="92" t="s">
        <v>133</v>
      </c>
      <c r="H125" s="119" t="str">
        <f>'Fixed inputs'!H51</f>
        <v>LV Services</v>
      </c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101"/>
      <c r="AQ125" s="101"/>
      <c r="AR125" s="101"/>
      <c r="AS125" s="58"/>
      <c r="AT125" s="36"/>
    </row>
    <row r="126" spans="1:46" x14ac:dyDescent="0.35">
      <c r="A126" s="92"/>
      <c r="B126" s="36"/>
      <c r="C126" s="36"/>
      <c r="D126" s="36"/>
      <c r="E126" s="165" t="s">
        <v>566</v>
      </c>
      <c r="F126" s="36"/>
      <c r="G126" s="92" t="s">
        <v>190</v>
      </c>
      <c r="H126" s="107"/>
      <c r="I126" s="131" t="s">
        <v>120</v>
      </c>
      <c r="J126" s="107">
        <f t="shared" ref="J126:AQ126" si="73">IF($H125 = J123, 1, 0)</f>
        <v>0</v>
      </c>
      <c r="K126" s="107">
        <f t="shared" si="73"/>
        <v>0</v>
      </c>
      <c r="L126" s="107">
        <f t="shared" si="73"/>
        <v>0</v>
      </c>
      <c r="M126" s="107">
        <f t="shared" si="73"/>
        <v>0</v>
      </c>
      <c r="N126" s="107">
        <f t="shared" si="73"/>
        <v>0</v>
      </c>
      <c r="O126" s="107">
        <f t="shared" si="73"/>
        <v>0</v>
      </c>
      <c r="P126" s="107">
        <f t="shared" si="73"/>
        <v>0</v>
      </c>
      <c r="Q126" s="107">
        <f t="shared" si="73"/>
        <v>0</v>
      </c>
      <c r="R126" s="107">
        <f t="shared" si="73"/>
        <v>0</v>
      </c>
      <c r="S126" s="107">
        <f t="shared" si="73"/>
        <v>0</v>
      </c>
      <c r="T126" s="107">
        <f t="shared" si="73"/>
        <v>0</v>
      </c>
      <c r="U126" s="107">
        <f t="shared" si="73"/>
        <v>0</v>
      </c>
      <c r="V126" s="107">
        <f t="shared" si="73"/>
        <v>0</v>
      </c>
      <c r="W126" s="107">
        <f t="shared" si="73"/>
        <v>0</v>
      </c>
      <c r="X126" s="107">
        <f t="shared" si="73"/>
        <v>0</v>
      </c>
      <c r="Y126" s="107">
        <f t="shared" si="73"/>
        <v>0</v>
      </c>
      <c r="Z126" s="107">
        <f t="shared" si="73"/>
        <v>0</v>
      </c>
      <c r="AA126" s="107">
        <f t="shared" si="73"/>
        <v>0</v>
      </c>
      <c r="AB126" s="107">
        <f t="shared" si="73"/>
        <v>0</v>
      </c>
      <c r="AC126" s="107">
        <f t="shared" si="73"/>
        <v>0</v>
      </c>
      <c r="AD126" s="107">
        <f t="shared" si="73"/>
        <v>0</v>
      </c>
      <c r="AE126" s="107">
        <f t="shared" si="73"/>
        <v>0</v>
      </c>
      <c r="AF126" s="107">
        <f t="shared" si="73"/>
        <v>0</v>
      </c>
      <c r="AG126" s="107">
        <f t="shared" si="73"/>
        <v>0</v>
      </c>
      <c r="AH126" s="107">
        <f t="shared" si="73"/>
        <v>0</v>
      </c>
      <c r="AI126" s="107">
        <f t="shared" si="73"/>
        <v>0</v>
      </c>
      <c r="AJ126" s="107">
        <f t="shared" si="73"/>
        <v>0</v>
      </c>
      <c r="AK126" s="107">
        <f t="shared" si="73"/>
        <v>0</v>
      </c>
      <c r="AL126" s="107">
        <f t="shared" si="73"/>
        <v>0</v>
      </c>
      <c r="AM126" s="107">
        <f t="shared" si="73"/>
        <v>0</v>
      </c>
      <c r="AN126" s="107">
        <f t="shared" si="73"/>
        <v>0</v>
      </c>
      <c r="AO126" s="107">
        <f t="shared" si="73"/>
        <v>0</v>
      </c>
      <c r="AP126" s="107">
        <f t="shared" si="73"/>
        <v>1</v>
      </c>
      <c r="AQ126" s="107">
        <f t="shared" si="73"/>
        <v>0</v>
      </c>
      <c r="AR126" s="107">
        <f t="shared" ref="AR126" si="74">IF($H125 = AR123, 1, 0)</f>
        <v>1</v>
      </c>
      <c r="AS126" s="58"/>
      <c r="AT126" s="36" t="s">
        <v>178</v>
      </c>
    </row>
    <row r="127" spans="1:46" x14ac:dyDescent="0.35">
      <c r="A127" s="36"/>
      <c r="B127" s="36"/>
      <c r="C127" s="36"/>
      <c r="D127" s="36"/>
      <c r="E127" s="86"/>
      <c r="F127" s="36"/>
      <c r="G127" s="36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  <c r="AQ127" s="58"/>
      <c r="AR127" s="58"/>
      <c r="AS127" s="58"/>
      <c r="AT127" s="36"/>
    </row>
    <row r="128" spans="1:46" x14ac:dyDescent="0.35">
      <c r="A128" s="92"/>
      <c r="B128" s="36"/>
      <c r="C128" s="36"/>
      <c r="D128" s="36"/>
      <c r="E128" s="161" t="s">
        <v>567</v>
      </c>
      <c r="F128" s="36"/>
      <c r="G128" s="92" t="str">
        <f>G$19</f>
        <v>£ per year</v>
      </c>
      <c r="H128" s="101"/>
      <c r="I128" s="112" t="s">
        <v>120</v>
      </c>
      <c r="J128" s="101">
        <f>J121 * J126</f>
        <v>0</v>
      </c>
      <c r="K128" s="101">
        <f t="shared" ref="K128:AQ128" si="75">K121 * K126</f>
        <v>0</v>
      </c>
      <c r="L128" s="101">
        <f t="shared" si="75"/>
        <v>0</v>
      </c>
      <c r="M128" s="101">
        <f t="shared" si="75"/>
        <v>0</v>
      </c>
      <c r="N128" s="101">
        <f t="shared" si="75"/>
        <v>0</v>
      </c>
      <c r="O128" s="101">
        <f t="shared" si="75"/>
        <v>0</v>
      </c>
      <c r="P128" s="101">
        <f t="shared" si="75"/>
        <v>0</v>
      </c>
      <c r="Q128" s="101">
        <f t="shared" si="75"/>
        <v>0</v>
      </c>
      <c r="R128" s="101">
        <f t="shared" si="75"/>
        <v>0</v>
      </c>
      <c r="S128" s="101">
        <f t="shared" si="75"/>
        <v>0</v>
      </c>
      <c r="T128" s="101">
        <f t="shared" si="75"/>
        <v>0</v>
      </c>
      <c r="U128" s="101">
        <f t="shared" si="75"/>
        <v>0</v>
      </c>
      <c r="V128" s="101">
        <f t="shared" si="75"/>
        <v>0</v>
      </c>
      <c r="W128" s="101">
        <f t="shared" si="75"/>
        <v>0</v>
      </c>
      <c r="X128" s="101">
        <f t="shared" si="75"/>
        <v>0</v>
      </c>
      <c r="Y128" s="101">
        <f t="shared" si="75"/>
        <v>0</v>
      </c>
      <c r="Z128" s="101">
        <f t="shared" si="75"/>
        <v>0</v>
      </c>
      <c r="AA128" s="101">
        <f t="shared" si="75"/>
        <v>0</v>
      </c>
      <c r="AB128" s="101">
        <f t="shared" si="75"/>
        <v>0</v>
      </c>
      <c r="AC128" s="101">
        <f t="shared" si="75"/>
        <v>0</v>
      </c>
      <c r="AD128" s="101">
        <f t="shared" si="75"/>
        <v>0</v>
      </c>
      <c r="AE128" s="101">
        <f t="shared" si="75"/>
        <v>0</v>
      </c>
      <c r="AF128" s="101">
        <f t="shared" si="75"/>
        <v>0</v>
      </c>
      <c r="AG128" s="101">
        <f t="shared" si="75"/>
        <v>0</v>
      </c>
      <c r="AH128" s="101">
        <f t="shared" si="75"/>
        <v>0</v>
      </c>
      <c r="AI128" s="101">
        <f t="shared" si="75"/>
        <v>0</v>
      </c>
      <c r="AJ128" s="101">
        <f t="shared" si="75"/>
        <v>0</v>
      </c>
      <c r="AK128" s="101">
        <f t="shared" si="75"/>
        <v>0</v>
      </c>
      <c r="AL128" s="101">
        <f t="shared" si="75"/>
        <v>0</v>
      </c>
      <c r="AM128" s="101">
        <f t="shared" si="75"/>
        <v>0</v>
      </c>
      <c r="AN128" s="101">
        <f t="shared" si="75"/>
        <v>0</v>
      </c>
      <c r="AO128" s="101">
        <f t="shared" si="75"/>
        <v>0</v>
      </c>
      <c r="AP128" s="101">
        <f t="shared" si="75"/>
        <v>1300000</v>
      </c>
      <c r="AQ128" s="101">
        <f t="shared" si="75"/>
        <v>0</v>
      </c>
      <c r="AR128" s="101">
        <f t="shared" ref="AR128" si="76">AR121 * AR126</f>
        <v>4559433.9274855116</v>
      </c>
      <c r="AS128" s="58"/>
      <c r="AT128" s="36" t="s">
        <v>178</v>
      </c>
    </row>
    <row r="129" spans="1:46" x14ac:dyDescent="0.35">
      <c r="A129" s="92"/>
      <c r="B129" s="36"/>
      <c r="C129" s="36"/>
      <c r="D129" s="36"/>
      <c r="E129" s="161"/>
      <c r="F129" s="36"/>
      <c r="G129" s="92"/>
      <c r="H129" s="101"/>
      <c r="I129" s="112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1"/>
      <c r="AD129" s="101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1"/>
      <c r="AP129" s="101"/>
      <c r="AQ129" s="101"/>
      <c r="AR129" s="101"/>
      <c r="AS129" s="58"/>
      <c r="AT129" s="36"/>
    </row>
    <row r="130" spans="1:46" x14ac:dyDescent="0.35">
      <c r="A130" s="92"/>
      <c r="B130" s="36"/>
      <c r="C130" s="36"/>
      <c r="D130" s="36"/>
      <c r="E130" s="161" t="s">
        <v>568</v>
      </c>
      <c r="F130" s="36"/>
      <c r="G130" s="161" t="s">
        <v>73</v>
      </c>
      <c r="H130" s="168"/>
      <c r="I130" s="169"/>
      <c r="J130" s="107">
        <f t="shared" ref="J130:AR130" si="77">IF( AND( SUM( J19:J22 ) &lt;&gt; 0, J126 &lt;&gt; 0), 1, 0)</f>
        <v>0</v>
      </c>
      <c r="K130" s="107">
        <f t="shared" si="77"/>
        <v>0</v>
      </c>
      <c r="L130" s="107">
        <f t="shared" si="77"/>
        <v>0</v>
      </c>
      <c r="M130" s="107">
        <f t="shared" si="77"/>
        <v>0</v>
      </c>
      <c r="N130" s="107">
        <f t="shared" si="77"/>
        <v>0</v>
      </c>
      <c r="O130" s="107">
        <f t="shared" si="77"/>
        <v>0</v>
      </c>
      <c r="P130" s="107">
        <f t="shared" si="77"/>
        <v>0</v>
      </c>
      <c r="Q130" s="107">
        <f t="shared" si="77"/>
        <v>0</v>
      </c>
      <c r="R130" s="107">
        <f t="shared" si="77"/>
        <v>0</v>
      </c>
      <c r="S130" s="107">
        <f t="shared" si="77"/>
        <v>0</v>
      </c>
      <c r="T130" s="107">
        <f t="shared" si="77"/>
        <v>0</v>
      </c>
      <c r="U130" s="107">
        <f t="shared" si="77"/>
        <v>0</v>
      </c>
      <c r="V130" s="107">
        <f t="shared" si="77"/>
        <v>0</v>
      </c>
      <c r="W130" s="107">
        <f t="shared" si="77"/>
        <v>0</v>
      </c>
      <c r="X130" s="107">
        <f t="shared" si="77"/>
        <v>0</v>
      </c>
      <c r="Y130" s="107">
        <f t="shared" si="77"/>
        <v>0</v>
      </c>
      <c r="Z130" s="107">
        <f t="shared" si="77"/>
        <v>0</v>
      </c>
      <c r="AA130" s="107">
        <f t="shared" si="77"/>
        <v>0</v>
      </c>
      <c r="AB130" s="107">
        <f t="shared" si="77"/>
        <v>0</v>
      </c>
      <c r="AC130" s="107">
        <f t="shared" si="77"/>
        <v>0</v>
      </c>
      <c r="AD130" s="107">
        <f t="shared" si="77"/>
        <v>0</v>
      </c>
      <c r="AE130" s="107">
        <f t="shared" si="77"/>
        <v>0</v>
      </c>
      <c r="AF130" s="107">
        <f t="shared" si="77"/>
        <v>0</v>
      </c>
      <c r="AG130" s="107">
        <f t="shared" si="77"/>
        <v>0</v>
      </c>
      <c r="AH130" s="107">
        <f t="shared" si="77"/>
        <v>0</v>
      </c>
      <c r="AI130" s="107">
        <f t="shared" si="77"/>
        <v>0</v>
      </c>
      <c r="AJ130" s="107">
        <f t="shared" si="77"/>
        <v>0</v>
      </c>
      <c r="AK130" s="107">
        <f t="shared" si="77"/>
        <v>0</v>
      </c>
      <c r="AL130" s="107">
        <f t="shared" si="77"/>
        <v>0</v>
      </c>
      <c r="AM130" s="107">
        <f t="shared" si="77"/>
        <v>0</v>
      </c>
      <c r="AN130" s="107">
        <f t="shared" si="77"/>
        <v>0</v>
      </c>
      <c r="AO130" s="107">
        <f t="shared" si="77"/>
        <v>0</v>
      </c>
      <c r="AP130" s="107">
        <f t="shared" si="77"/>
        <v>0</v>
      </c>
      <c r="AQ130" s="107">
        <f t="shared" si="77"/>
        <v>0</v>
      </c>
      <c r="AR130" s="107">
        <f t="shared" si="77"/>
        <v>0</v>
      </c>
      <c r="AS130" s="58"/>
      <c r="AT130" s="36"/>
    </row>
    <row r="131" spans="1:46" x14ac:dyDescent="0.35">
      <c r="A131" s="92"/>
      <c r="B131" s="36"/>
      <c r="C131" s="36"/>
      <c r="D131" s="36"/>
      <c r="E131" s="161" t="s">
        <v>496</v>
      </c>
      <c r="F131" s="36"/>
      <c r="G131" s="161" t="s">
        <v>73</v>
      </c>
      <c r="H131" s="107">
        <f>SUM(J130:AR130)</f>
        <v>0</v>
      </c>
      <c r="I131" s="169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  <c r="Y131" s="168"/>
      <c r="Z131" s="168"/>
      <c r="AA131" s="168"/>
      <c r="AB131" s="168"/>
      <c r="AC131" s="168"/>
      <c r="AD131" s="168"/>
      <c r="AE131" s="168"/>
      <c r="AF131" s="168"/>
      <c r="AG131" s="168"/>
      <c r="AH131" s="168"/>
      <c r="AI131" s="168"/>
      <c r="AJ131" s="168"/>
      <c r="AK131" s="168"/>
      <c r="AL131" s="168"/>
      <c r="AM131" s="168"/>
      <c r="AN131" s="168"/>
      <c r="AO131" s="168"/>
      <c r="AP131" s="168"/>
      <c r="AQ131" s="168"/>
      <c r="AR131" s="168"/>
      <c r="AS131" s="58"/>
      <c r="AT131" s="36"/>
    </row>
    <row r="132" spans="1:46" x14ac:dyDescent="0.35">
      <c r="A132" s="36"/>
      <c r="B132" s="36"/>
      <c r="C132" s="36"/>
      <c r="D132" s="36"/>
      <c r="E132" s="86"/>
      <c r="F132" s="36"/>
      <c r="G132" s="36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  <c r="AP132" s="58"/>
      <c r="AQ132" s="58"/>
      <c r="AR132" s="58"/>
      <c r="AS132" s="58"/>
      <c r="AT132" s="36"/>
    </row>
    <row r="133" spans="1:46" x14ac:dyDescent="0.35">
      <c r="A133" s="36"/>
      <c r="B133" s="84" t="s">
        <v>569</v>
      </c>
      <c r="C133" s="84"/>
      <c r="D133" s="84"/>
      <c r="E133" s="84"/>
      <c r="F133" s="84"/>
      <c r="G133" s="84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  <c r="AA133" s="85"/>
      <c r="AB133" s="85"/>
      <c r="AC133" s="85"/>
      <c r="AD133" s="85"/>
      <c r="AE133" s="85"/>
      <c r="AF133" s="85"/>
      <c r="AG133" s="85"/>
      <c r="AH133" s="85"/>
      <c r="AI133" s="85"/>
      <c r="AJ133" s="85"/>
      <c r="AK133" s="85"/>
      <c r="AL133" s="85"/>
      <c r="AM133" s="85"/>
      <c r="AN133" s="85"/>
      <c r="AO133" s="85"/>
      <c r="AP133" s="85"/>
      <c r="AQ133" s="85"/>
      <c r="AR133" s="85"/>
      <c r="AS133" s="85"/>
      <c r="AT133" s="84"/>
    </row>
    <row r="134" spans="1:46" x14ac:dyDescent="0.35">
      <c r="A134" s="36"/>
      <c r="B134" s="36"/>
      <c r="C134" s="36"/>
      <c r="D134" s="36"/>
      <c r="E134" s="36"/>
      <c r="F134" s="36"/>
      <c r="G134" s="36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  <c r="AQ134" s="58"/>
      <c r="AR134" s="58"/>
      <c r="AS134" s="58"/>
      <c r="AT134" s="36"/>
    </row>
    <row r="135" spans="1:46" x14ac:dyDescent="0.35">
      <c r="A135" s="36"/>
      <c r="B135" s="36"/>
      <c r="C135" s="86" t="s">
        <v>570</v>
      </c>
      <c r="D135" s="86"/>
      <c r="E135" s="36"/>
      <c r="F135" s="36"/>
      <c r="G135" s="36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  <c r="AQ135" s="58"/>
      <c r="AR135" s="58"/>
      <c r="AS135" s="58"/>
      <c r="AT135" s="36"/>
    </row>
    <row r="136" spans="1:46" x14ac:dyDescent="0.35">
      <c r="A136" s="36"/>
      <c r="B136" s="36"/>
      <c r="C136" s="86" t="s">
        <v>571</v>
      </c>
      <c r="D136" s="86"/>
      <c r="E136" s="36"/>
      <c r="F136" s="36"/>
      <c r="G136" s="36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  <c r="AP136" s="58"/>
      <c r="AQ136" s="58"/>
      <c r="AR136" s="58"/>
      <c r="AS136" s="58"/>
      <c r="AT136" s="36"/>
    </row>
    <row r="137" spans="1:46" x14ac:dyDescent="0.35">
      <c r="A137" s="36"/>
      <c r="B137" s="36"/>
      <c r="C137" s="86"/>
      <c r="D137" s="86"/>
      <c r="E137" s="36"/>
      <c r="F137" s="36"/>
      <c r="G137" s="36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  <c r="AQ137" s="58"/>
      <c r="AR137" s="58"/>
      <c r="AS137" s="58"/>
      <c r="AT137" s="36"/>
    </row>
    <row r="138" spans="1:46" x14ac:dyDescent="0.35">
      <c r="A138" s="36"/>
      <c r="B138" s="36"/>
      <c r="C138" s="87" t="s">
        <v>572</v>
      </c>
      <c r="D138" s="87"/>
      <c r="E138" s="87"/>
      <c r="F138" s="87"/>
      <c r="G138" s="87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7"/>
    </row>
    <row r="139" spans="1:46" x14ac:dyDescent="0.35">
      <c r="A139" s="36"/>
      <c r="B139" s="36"/>
      <c r="C139" s="86"/>
      <c r="D139" s="86"/>
      <c r="E139" s="36"/>
      <c r="F139" s="36"/>
      <c r="G139" s="36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58"/>
      <c r="AS139" s="58"/>
      <c r="AT139" s="36"/>
    </row>
    <row r="140" spans="1:46" x14ac:dyDescent="0.35">
      <c r="A140" s="92"/>
      <c r="B140" s="36"/>
      <c r="C140" s="36"/>
      <c r="D140" s="36"/>
      <c r="E140" s="89" t="s">
        <v>573</v>
      </c>
      <c r="F140" s="36"/>
      <c r="G140" s="36"/>
      <c r="H140" s="58"/>
      <c r="I140" s="103" t="s">
        <v>120</v>
      </c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  <c r="AP140" s="58"/>
      <c r="AQ140" s="58"/>
      <c r="AR140" s="58"/>
      <c r="AS140" s="58"/>
      <c r="AT140" s="92" t="s">
        <v>574</v>
      </c>
    </row>
    <row r="141" spans="1:46" x14ac:dyDescent="0.35">
      <c r="A141" s="36"/>
      <c r="B141" s="36"/>
      <c r="C141" s="36"/>
      <c r="D141" s="36"/>
      <c r="E141" s="36"/>
      <c r="F141" s="90" t="s">
        <v>575</v>
      </c>
      <c r="G141" s="90" t="str">
        <f>G$19</f>
        <v>£ per year</v>
      </c>
      <c r="H141" s="114"/>
      <c r="I141" s="114"/>
      <c r="J141" s="166">
        <f t="shared" ref="J141:AR141" si="78">J45 + J90 + J128</f>
        <v>0</v>
      </c>
      <c r="K141" s="166">
        <f t="shared" si="78"/>
        <v>9837160.8505084664</v>
      </c>
      <c r="L141" s="166">
        <f t="shared" si="78"/>
        <v>2058460.3320438063</v>
      </c>
      <c r="M141" s="166">
        <f t="shared" si="78"/>
        <v>6955552.825206087</v>
      </c>
      <c r="N141" s="166">
        <f t="shared" si="78"/>
        <v>1917197.3020544406</v>
      </c>
      <c r="O141" s="166">
        <f t="shared" si="78"/>
        <v>1377202.5190711853</v>
      </c>
      <c r="P141" s="166">
        <f t="shared" si="78"/>
        <v>53466.502131007954</v>
      </c>
      <c r="Q141" s="166">
        <f t="shared" si="78"/>
        <v>801997.5319651193</v>
      </c>
      <c r="R141" s="166">
        <f t="shared" si="78"/>
        <v>1817861.0724542704</v>
      </c>
      <c r="S141" s="166">
        <f t="shared" si="78"/>
        <v>5266450.4599042833</v>
      </c>
      <c r="T141" s="166">
        <f t="shared" si="78"/>
        <v>695064.52770310338</v>
      </c>
      <c r="U141" s="166">
        <f t="shared" si="78"/>
        <v>240599.2595895358</v>
      </c>
      <c r="V141" s="166">
        <f t="shared" si="78"/>
        <v>668331.27663759945</v>
      </c>
      <c r="W141" s="166">
        <f t="shared" si="78"/>
        <v>400998.76598255965</v>
      </c>
      <c r="X141" s="166">
        <f t="shared" si="78"/>
        <v>3181256.8767949734</v>
      </c>
      <c r="Y141" s="166">
        <f t="shared" si="78"/>
        <v>0</v>
      </c>
      <c r="Z141" s="166">
        <f t="shared" si="78"/>
        <v>0</v>
      </c>
      <c r="AA141" s="166">
        <f t="shared" si="78"/>
        <v>855464.03409612726</v>
      </c>
      <c r="AB141" s="166">
        <f t="shared" si="78"/>
        <v>481198.51917907159</v>
      </c>
      <c r="AC141" s="166">
        <f t="shared" si="78"/>
        <v>2459459.098026366</v>
      </c>
      <c r="AD141" s="166">
        <f t="shared" si="78"/>
        <v>614864.77450659149</v>
      </c>
      <c r="AE141" s="166">
        <f t="shared" si="78"/>
        <v>0</v>
      </c>
      <c r="AF141" s="166">
        <f t="shared" si="78"/>
        <v>0</v>
      </c>
      <c r="AG141" s="166">
        <f t="shared" si="78"/>
        <v>0</v>
      </c>
      <c r="AH141" s="166">
        <f t="shared" si="78"/>
        <v>0</v>
      </c>
      <c r="AI141" s="166">
        <f t="shared" si="78"/>
        <v>0</v>
      </c>
      <c r="AJ141" s="166">
        <f t="shared" si="78"/>
        <v>0</v>
      </c>
      <c r="AK141" s="166">
        <f t="shared" si="78"/>
        <v>0</v>
      </c>
      <c r="AL141" s="166">
        <f t="shared" si="78"/>
        <v>0</v>
      </c>
      <c r="AM141" s="166">
        <f t="shared" si="78"/>
        <v>0</v>
      </c>
      <c r="AN141" s="166">
        <f t="shared" si="78"/>
        <v>0</v>
      </c>
      <c r="AO141" s="166">
        <f t="shared" si="78"/>
        <v>0</v>
      </c>
      <c r="AP141" s="166">
        <f>AP45 + AP90 + AP128</f>
        <v>1300000</v>
      </c>
      <c r="AQ141" s="166">
        <f t="shared" si="78"/>
        <v>0</v>
      </c>
      <c r="AR141" s="166">
        <f t="shared" si="78"/>
        <v>4559433.9274855116</v>
      </c>
      <c r="AS141" s="58"/>
      <c r="AT141" s="36"/>
    </row>
    <row r="142" spans="1:46" x14ac:dyDescent="0.35">
      <c r="A142" s="36"/>
      <c r="B142" s="36"/>
      <c r="C142" s="36"/>
      <c r="D142" s="36"/>
      <c r="E142" s="36"/>
      <c r="F142" s="92" t="s">
        <v>576</v>
      </c>
      <c r="G142" s="92" t="str">
        <f>G$19</f>
        <v>£ per year</v>
      </c>
      <c r="H142" s="101"/>
      <c r="I142" s="101"/>
      <c r="J142" s="134">
        <f t="shared" ref="J142:AR142" si="79">J46 + J91</f>
        <v>4840000.0000000037</v>
      </c>
      <c r="K142" s="134">
        <f t="shared" si="79"/>
        <v>10162839.149491534</v>
      </c>
      <c r="L142" s="134">
        <f t="shared" si="79"/>
        <v>2126609.655781813</v>
      </c>
      <c r="M142" s="134">
        <f t="shared" si="79"/>
        <v>7185829.8987463545</v>
      </c>
      <c r="N142" s="134">
        <f t="shared" si="79"/>
        <v>1980669.8390635049</v>
      </c>
      <c r="O142" s="134">
        <f t="shared" si="79"/>
        <v>1422797.4809288147</v>
      </c>
      <c r="P142" s="134">
        <f t="shared" si="79"/>
        <v>55236.614435891242</v>
      </c>
      <c r="Q142" s="134">
        <f t="shared" si="79"/>
        <v>828549.21653836861</v>
      </c>
      <c r="R142" s="134">
        <f t="shared" si="79"/>
        <v>1878044.8908203021</v>
      </c>
      <c r="S142" s="134">
        <f t="shared" si="79"/>
        <v>5440806.5219352869</v>
      </c>
      <c r="T142" s="134">
        <f t="shared" si="79"/>
        <v>718075.98766658618</v>
      </c>
      <c r="U142" s="134">
        <f t="shared" si="79"/>
        <v>248564.76496151058</v>
      </c>
      <c r="V142" s="134">
        <f t="shared" si="79"/>
        <v>690457.68044864049</v>
      </c>
      <c r="W142" s="134">
        <f t="shared" si="79"/>
        <v>414274.6082691843</v>
      </c>
      <c r="X142" s="134">
        <f t="shared" si="79"/>
        <v>3286578.5589355286</v>
      </c>
      <c r="Y142" s="134">
        <f t="shared" si="79"/>
        <v>0</v>
      </c>
      <c r="Z142" s="134">
        <f t="shared" si="79"/>
        <v>0</v>
      </c>
      <c r="AA142" s="134">
        <f t="shared" si="79"/>
        <v>883785.83097425988</v>
      </c>
      <c r="AB142" s="134">
        <f t="shared" si="79"/>
        <v>497129.52992302115</v>
      </c>
      <c r="AC142" s="134">
        <f t="shared" si="79"/>
        <v>2540884.2640509969</v>
      </c>
      <c r="AD142" s="134">
        <f t="shared" si="79"/>
        <v>635221.06601274922</v>
      </c>
      <c r="AE142" s="134">
        <f t="shared" si="79"/>
        <v>0</v>
      </c>
      <c r="AF142" s="134">
        <f t="shared" si="79"/>
        <v>0</v>
      </c>
      <c r="AG142" s="134">
        <f t="shared" si="79"/>
        <v>0</v>
      </c>
      <c r="AH142" s="134">
        <f t="shared" si="79"/>
        <v>0</v>
      </c>
      <c r="AI142" s="134">
        <f t="shared" si="79"/>
        <v>0</v>
      </c>
      <c r="AJ142" s="134">
        <f t="shared" si="79"/>
        <v>0</v>
      </c>
      <c r="AK142" s="134">
        <f t="shared" si="79"/>
        <v>0</v>
      </c>
      <c r="AL142" s="134">
        <f t="shared" si="79"/>
        <v>0</v>
      </c>
      <c r="AM142" s="134">
        <f t="shared" si="79"/>
        <v>0</v>
      </c>
      <c r="AN142" s="134">
        <f t="shared" si="79"/>
        <v>0</v>
      </c>
      <c r="AO142" s="134">
        <f t="shared" si="79"/>
        <v>0</v>
      </c>
      <c r="AP142" s="134">
        <f t="shared" si="79"/>
        <v>0</v>
      </c>
      <c r="AQ142" s="134">
        <f t="shared" si="79"/>
        <v>0</v>
      </c>
      <c r="AR142" s="134">
        <f t="shared" si="79"/>
        <v>0</v>
      </c>
      <c r="AS142" s="58"/>
      <c r="AT142" s="36"/>
    </row>
    <row r="143" spans="1:46" x14ac:dyDescent="0.35">
      <c r="A143" s="36"/>
      <c r="B143" s="36"/>
      <c r="C143" s="36"/>
      <c r="D143" s="36"/>
      <c r="E143" s="36"/>
      <c r="F143" s="92" t="s">
        <v>577</v>
      </c>
      <c r="G143" s="92" t="str">
        <f>G$19</f>
        <v>£ per year</v>
      </c>
      <c r="H143" s="101"/>
      <c r="I143" s="101"/>
      <c r="J143" s="134">
        <f t="shared" ref="J143:AR143" si="80">J47 + J92</f>
        <v>0</v>
      </c>
      <c r="K143" s="134">
        <f t="shared" si="80"/>
        <v>7800000</v>
      </c>
      <c r="L143" s="134">
        <f t="shared" si="80"/>
        <v>528015.80571297358</v>
      </c>
      <c r="M143" s="134">
        <f t="shared" si="80"/>
        <v>644004.31064899277</v>
      </c>
      <c r="N143" s="134">
        <f t="shared" si="80"/>
        <v>3475430.8293875675</v>
      </c>
      <c r="O143" s="134">
        <f t="shared" si="80"/>
        <v>0</v>
      </c>
      <c r="P143" s="134">
        <f t="shared" si="80"/>
        <v>13714.696252285028</v>
      </c>
      <c r="Q143" s="134">
        <f t="shared" si="80"/>
        <v>205720.44378427541</v>
      </c>
      <c r="R143" s="134">
        <f t="shared" si="80"/>
        <v>466299.67257769092</v>
      </c>
      <c r="S143" s="134">
        <f t="shared" si="80"/>
        <v>1350897.5808500752</v>
      </c>
      <c r="T143" s="134">
        <f t="shared" si="80"/>
        <v>178291.05127970537</v>
      </c>
      <c r="U143" s="134">
        <f t="shared" si="80"/>
        <v>61716.133135282624</v>
      </c>
      <c r="V143" s="134">
        <f t="shared" si="80"/>
        <v>171433.70315356285</v>
      </c>
      <c r="W143" s="134">
        <f t="shared" si="80"/>
        <v>102860.22189213771</v>
      </c>
      <c r="X143" s="134">
        <f t="shared" si="80"/>
        <v>816024.42701095913</v>
      </c>
      <c r="Y143" s="134">
        <f t="shared" si="80"/>
        <v>0</v>
      </c>
      <c r="Z143" s="134">
        <f t="shared" si="80"/>
        <v>0</v>
      </c>
      <c r="AA143" s="134">
        <f t="shared" si="80"/>
        <v>219435.14003656045</v>
      </c>
      <c r="AB143" s="134">
        <f t="shared" si="80"/>
        <v>123432.26627056525</v>
      </c>
      <c r="AC143" s="134">
        <f t="shared" si="80"/>
        <v>630876.02760511125</v>
      </c>
      <c r="AD143" s="134">
        <f t="shared" si="80"/>
        <v>157719.00690127781</v>
      </c>
      <c r="AE143" s="134">
        <f t="shared" si="80"/>
        <v>0</v>
      </c>
      <c r="AF143" s="134">
        <f t="shared" si="80"/>
        <v>0</v>
      </c>
      <c r="AG143" s="134">
        <f t="shared" si="80"/>
        <v>0</v>
      </c>
      <c r="AH143" s="134">
        <f t="shared" si="80"/>
        <v>0</v>
      </c>
      <c r="AI143" s="134">
        <f t="shared" si="80"/>
        <v>0</v>
      </c>
      <c r="AJ143" s="134">
        <f t="shared" si="80"/>
        <v>0</v>
      </c>
      <c r="AK143" s="134">
        <f t="shared" si="80"/>
        <v>0</v>
      </c>
      <c r="AL143" s="134">
        <f t="shared" si="80"/>
        <v>0</v>
      </c>
      <c r="AM143" s="134">
        <f t="shared" si="80"/>
        <v>0</v>
      </c>
      <c r="AN143" s="134">
        <f t="shared" si="80"/>
        <v>0</v>
      </c>
      <c r="AO143" s="134">
        <f t="shared" si="80"/>
        <v>0</v>
      </c>
      <c r="AP143" s="134">
        <f>AP47 + AP92</f>
        <v>0</v>
      </c>
      <c r="AQ143" s="134">
        <f t="shared" si="80"/>
        <v>0</v>
      </c>
      <c r="AR143" s="134">
        <f t="shared" si="80"/>
        <v>0</v>
      </c>
      <c r="AS143" s="58"/>
      <c r="AT143" s="36"/>
    </row>
    <row r="144" spans="1:46" x14ac:dyDescent="0.35">
      <c r="A144" s="36"/>
      <c r="B144" s="36"/>
      <c r="C144" s="36"/>
      <c r="D144" s="36"/>
      <c r="E144" s="36"/>
      <c r="F144" s="92" t="s">
        <v>578</v>
      </c>
      <c r="G144" s="92" t="str">
        <f>G$19</f>
        <v>£ per year</v>
      </c>
      <c r="H144" s="101"/>
      <c r="I144" s="101"/>
      <c r="J144" s="134">
        <f t="shared" ref="J144:AR144" si="81">J48 + J93</f>
        <v>17380000.000000004</v>
      </c>
      <c r="K144" s="134">
        <f t="shared" si="81"/>
        <v>10800000</v>
      </c>
      <c r="L144" s="134">
        <f t="shared" si="81"/>
        <v>1584122.6890269511</v>
      </c>
      <c r="M144" s="134">
        <f t="shared" si="81"/>
        <v>6532033.4606437143</v>
      </c>
      <c r="N144" s="134">
        <f t="shared" si="81"/>
        <v>1126303.2412895644</v>
      </c>
      <c r="O144" s="134">
        <f t="shared" si="81"/>
        <v>2900000</v>
      </c>
      <c r="P144" s="134">
        <f t="shared" si="81"/>
        <v>41146.043870829904</v>
      </c>
      <c r="Q144" s="134">
        <f t="shared" si="81"/>
        <v>617190.65806244849</v>
      </c>
      <c r="R144" s="134">
        <f t="shared" si="81"/>
        <v>1398965.4916082167</v>
      </c>
      <c r="S144" s="134">
        <f t="shared" si="81"/>
        <v>4052885.3212767453</v>
      </c>
      <c r="T144" s="134">
        <f t="shared" si="81"/>
        <v>534898.57032078877</v>
      </c>
      <c r="U144" s="134">
        <f t="shared" si="81"/>
        <v>185157.19741873455</v>
      </c>
      <c r="V144" s="134">
        <f t="shared" si="81"/>
        <v>514325.54838537378</v>
      </c>
      <c r="W144" s="134">
        <f t="shared" si="81"/>
        <v>308595.32903122425</v>
      </c>
      <c r="X144" s="134">
        <f t="shared" si="81"/>
        <v>2448189.610314379</v>
      </c>
      <c r="Y144" s="134">
        <f t="shared" si="81"/>
        <v>0</v>
      </c>
      <c r="Z144" s="134">
        <f t="shared" si="81"/>
        <v>0</v>
      </c>
      <c r="AA144" s="134">
        <f t="shared" si="81"/>
        <v>658336.70193327847</v>
      </c>
      <c r="AB144" s="134">
        <f t="shared" si="81"/>
        <v>370314.3948374691</v>
      </c>
      <c r="AC144" s="134">
        <f t="shared" si="81"/>
        <v>1892718.0180581755</v>
      </c>
      <c r="AD144" s="134">
        <f t="shared" si="81"/>
        <v>473179.50451454386</v>
      </c>
      <c r="AE144" s="134">
        <f t="shared" si="81"/>
        <v>0</v>
      </c>
      <c r="AF144" s="134">
        <f t="shared" si="81"/>
        <v>0</v>
      </c>
      <c r="AG144" s="134">
        <f t="shared" si="81"/>
        <v>0</v>
      </c>
      <c r="AH144" s="134">
        <f t="shared" si="81"/>
        <v>0</v>
      </c>
      <c r="AI144" s="134">
        <f t="shared" si="81"/>
        <v>0</v>
      </c>
      <c r="AJ144" s="134">
        <f t="shared" si="81"/>
        <v>0</v>
      </c>
      <c r="AK144" s="134">
        <f t="shared" si="81"/>
        <v>0</v>
      </c>
      <c r="AL144" s="134">
        <f t="shared" si="81"/>
        <v>0</v>
      </c>
      <c r="AM144" s="134">
        <f t="shared" si="81"/>
        <v>0</v>
      </c>
      <c r="AN144" s="134">
        <f t="shared" si="81"/>
        <v>0</v>
      </c>
      <c r="AO144" s="134">
        <f t="shared" si="81"/>
        <v>0</v>
      </c>
      <c r="AP144" s="134">
        <f t="shared" si="81"/>
        <v>0</v>
      </c>
      <c r="AQ144" s="134">
        <f t="shared" si="81"/>
        <v>0</v>
      </c>
      <c r="AR144" s="134">
        <f t="shared" si="81"/>
        <v>0</v>
      </c>
      <c r="AS144" s="58"/>
      <c r="AT144" s="36"/>
    </row>
    <row r="145" spans="1:46" x14ac:dyDescent="0.35">
      <c r="A145" s="36"/>
      <c r="B145" s="36"/>
      <c r="C145" s="36"/>
      <c r="D145" s="36"/>
      <c r="E145" s="36"/>
      <c r="F145" s="94" t="s">
        <v>579</v>
      </c>
      <c r="G145" s="94" t="str">
        <f>G$19</f>
        <v>£ per year</v>
      </c>
      <c r="H145" s="115"/>
      <c r="I145" s="115"/>
      <c r="J145" s="186">
        <f t="shared" ref="J145:AR145" si="82">J49 + J94</f>
        <v>37080000</v>
      </c>
      <c r="K145" s="186">
        <f t="shared" si="82"/>
        <v>13299999.999999998</v>
      </c>
      <c r="L145" s="186">
        <f t="shared" si="82"/>
        <v>1402791.5174344559</v>
      </c>
      <c r="M145" s="186">
        <f t="shared" si="82"/>
        <v>1282579.5047548516</v>
      </c>
      <c r="N145" s="186">
        <f t="shared" si="82"/>
        <v>5000398.7882049223</v>
      </c>
      <c r="O145" s="186">
        <f t="shared" si="82"/>
        <v>1200000</v>
      </c>
      <c r="P145" s="186">
        <f t="shared" si="82"/>
        <v>36436.14330998587</v>
      </c>
      <c r="Q145" s="186">
        <f t="shared" si="82"/>
        <v>546542.14964978804</v>
      </c>
      <c r="R145" s="186">
        <f t="shared" si="82"/>
        <v>1238828.8725395196</v>
      </c>
      <c r="S145" s="186">
        <f t="shared" si="82"/>
        <v>3588960.1160336081</v>
      </c>
      <c r="T145" s="186">
        <f t="shared" si="82"/>
        <v>473669.8630298163</v>
      </c>
      <c r="U145" s="186">
        <f t="shared" si="82"/>
        <v>163962.64489493641</v>
      </c>
      <c r="V145" s="186">
        <f t="shared" si="82"/>
        <v>455451.79137482337</v>
      </c>
      <c r="W145" s="186">
        <f t="shared" si="82"/>
        <v>273271.07482489402</v>
      </c>
      <c r="X145" s="186">
        <f t="shared" si="82"/>
        <v>2167950.5269441591</v>
      </c>
      <c r="Y145" s="186">
        <f t="shared" si="82"/>
        <v>0</v>
      </c>
      <c r="Z145" s="186">
        <f t="shared" si="82"/>
        <v>0</v>
      </c>
      <c r="AA145" s="186">
        <f t="shared" si="82"/>
        <v>582978.29295977391</v>
      </c>
      <c r="AB145" s="186">
        <f t="shared" si="82"/>
        <v>327925.28978987283</v>
      </c>
      <c r="AC145" s="186">
        <f t="shared" si="82"/>
        <v>1676062.59225935</v>
      </c>
      <c r="AD145" s="186">
        <f t="shared" si="82"/>
        <v>419015.6480648375</v>
      </c>
      <c r="AE145" s="186">
        <f t="shared" si="82"/>
        <v>0</v>
      </c>
      <c r="AF145" s="186">
        <f t="shared" si="82"/>
        <v>0</v>
      </c>
      <c r="AG145" s="186">
        <f t="shared" si="82"/>
        <v>0</v>
      </c>
      <c r="AH145" s="186">
        <f t="shared" si="82"/>
        <v>0</v>
      </c>
      <c r="AI145" s="186">
        <f t="shared" si="82"/>
        <v>0</v>
      </c>
      <c r="AJ145" s="186">
        <f t="shared" si="82"/>
        <v>0</v>
      </c>
      <c r="AK145" s="186">
        <f t="shared" si="82"/>
        <v>0</v>
      </c>
      <c r="AL145" s="186">
        <f t="shared" si="82"/>
        <v>0</v>
      </c>
      <c r="AM145" s="186">
        <f t="shared" si="82"/>
        <v>0</v>
      </c>
      <c r="AN145" s="186">
        <f t="shared" si="82"/>
        <v>0</v>
      </c>
      <c r="AO145" s="186">
        <f t="shared" si="82"/>
        <v>0</v>
      </c>
      <c r="AP145" s="186">
        <f t="shared" si="82"/>
        <v>0</v>
      </c>
      <c r="AQ145" s="186">
        <f t="shared" si="82"/>
        <v>0</v>
      </c>
      <c r="AR145" s="186">
        <f t="shared" si="82"/>
        <v>0</v>
      </c>
      <c r="AS145" s="58"/>
      <c r="AT145" s="36"/>
    </row>
    <row r="146" spans="1:46" x14ac:dyDescent="0.35">
      <c r="A146" s="36"/>
      <c r="B146" s="36"/>
      <c r="C146" s="36"/>
      <c r="D146" s="36"/>
      <c r="E146" s="36"/>
      <c r="F146" s="36"/>
      <c r="G146" s="36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  <c r="AQ146" s="58"/>
      <c r="AR146" s="58"/>
      <c r="AS146" s="58"/>
      <c r="AT146" s="36"/>
    </row>
    <row r="147" spans="1:46" x14ac:dyDescent="0.35">
      <c r="A147" s="92"/>
      <c r="B147" s="36"/>
      <c r="C147" s="36"/>
      <c r="D147" s="36"/>
      <c r="E147" s="89" t="s">
        <v>580</v>
      </c>
      <c r="F147" s="36"/>
      <c r="G147" s="36"/>
      <c r="H147" s="58"/>
      <c r="I147" s="103" t="s">
        <v>120</v>
      </c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  <c r="AP147" s="58"/>
      <c r="AQ147" s="58"/>
      <c r="AR147" s="58"/>
      <c r="AS147" s="58"/>
      <c r="AT147" s="92" t="s">
        <v>574</v>
      </c>
    </row>
    <row r="148" spans="1:46" x14ac:dyDescent="0.35">
      <c r="A148" s="36"/>
      <c r="B148" s="36"/>
      <c r="C148" s="36"/>
      <c r="D148" s="36"/>
      <c r="E148" s="36"/>
      <c r="F148" s="90" t="s">
        <v>581</v>
      </c>
      <c r="G148" s="90" t="str">
        <f>G$19</f>
        <v>£ per year</v>
      </c>
      <c r="H148" s="114"/>
      <c r="I148" s="114"/>
      <c r="J148" s="166">
        <f t="shared" ref="J148:AR148" si="83">J45 + J97 + J128</f>
        <v>0</v>
      </c>
      <c r="K148" s="166">
        <f t="shared" si="83"/>
        <v>9837160.8505084664</v>
      </c>
      <c r="L148" s="166">
        <f t="shared" si="83"/>
        <v>2127863.5976081113</v>
      </c>
      <c r="M148" s="166">
        <f t="shared" si="83"/>
        <v>6974480.9885418061</v>
      </c>
      <c r="N148" s="166">
        <f t="shared" si="83"/>
        <v>1927112.0542779127</v>
      </c>
      <c r="O148" s="166">
        <f t="shared" si="83"/>
        <v>1377202.5190711853</v>
      </c>
      <c r="P148" s="166">
        <f t="shared" si="83"/>
        <v>55269.184353457436</v>
      </c>
      <c r="Q148" s="166">
        <f t="shared" si="83"/>
        <v>829037.76530186157</v>
      </c>
      <c r="R148" s="166">
        <f t="shared" si="83"/>
        <v>1879152.2680175528</v>
      </c>
      <c r="S148" s="166">
        <f t="shared" si="83"/>
        <v>5444014.6588155571</v>
      </c>
      <c r="T148" s="166">
        <f t="shared" si="83"/>
        <v>718499.39659494662</v>
      </c>
      <c r="U148" s="166">
        <f t="shared" si="83"/>
        <v>248711.32959055845</v>
      </c>
      <c r="V148" s="166">
        <f t="shared" si="83"/>
        <v>690864.80441821797</v>
      </c>
      <c r="W148" s="166">
        <f t="shared" si="83"/>
        <v>414518.88265093078</v>
      </c>
      <c r="X148" s="166">
        <f t="shared" si="83"/>
        <v>3288516.4690307174</v>
      </c>
      <c r="Y148" s="166">
        <f t="shared" si="83"/>
        <v>0</v>
      </c>
      <c r="Z148" s="166">
        <f t="shared" si="83"/>
        <v>0</v>
      </c>
      <c r="AA148" s="166">
        <f t="shared" si="83"/>
        <v>884306.94965531898</v>
      </c>
      <c r="AB148" s="166">
        <f t="shared" si="83"/>
        <v>497422.65918111691</v>
      </c>
      <c r="AC148" s="166">
        <f t="shared" si="83"/>
        <v>2542382.4802590418</v>
      </c>
      <c r="AD148" s="166">
        <f t="shared" si="83"/>
        <v>635595.62006476044</v>
      </c>
      <c r="AE148" s="166">
        <f t="shared" si="83"/>
        <v>0</v>
      </c>
      <c r="AF148" s="166">
        <f t="shared" si="83"/>
        <v>0</v>
      </c>
      <c r="AG148" s="166">
        <f t="shared" si="83"/>
        <v>0</v>
      </c>
      <c r="AH148" s="166">
        <f t="shared" si="83"/>
        <v>0</v>
      </c>
      <c r="AI148" s="166">
        <f t="shared" si="83"/>
        <v>0</v>
      </c>
      <c r="AJ148" s="166">
        <f t="shared" si="83"/>
        <v>0</v>
      </c>
      <c r="AK148" s="166">
        <f t="shared" si="83"/>
        <v>0</v>
      </c>
      <c r="AL148" s="166">
        <f t="shared" si="83"/>
        <v>0</v>
      </c>
      <c r="AM148" s="166">
        <f t="shared" si="83"/>
        <v>0</v>
      </c>
      <c r="AN148" s="166">
        <f t="shared" si="83"/>
        <v>0</v>
      </c>
      <c r="AO148" s="166">
        <f t="shared" si="83"/>
        <v>0</v>
      </c>
      <c r="AP148" s="166">
        <f t="shared" si="83"/>
        <v>1300000</v>
      </c>
      <c r="AQ148" s="166">
        <f t="shared" si="83"/>
        <v>0</v>
      </c>
      <c r="AR148" s="166">
        <f t="shared" si="83"/>
        <v>4559433.9274855116</v>
      </c>
      <c r="AS148" s="58"/>
      <c r="AT148" s="36"/>
    </row>
    <row r="149" spans="1:46" x14ac:dyDescent="0.35">
      <c r="A149" s="36"/>
      <c r="B149" s="36"/>
      <c r="C149" s="36"/>
      <c r="D149" s="36"/>
      <c r="E149" s="36"/>
      <c r="F149" s="92" t="s">
        <v>582</v>
      </c>
      <c r="G149" s="92" t="str">
        <f>G$19</f>
        <v>£ per year</v>
      </c>
      <c r="H149" s="101"/>
      <c r="I149" s="101"/>
      <c r="J149" s="134">
        <f t="shared" ref="J149:AQ149" si="84">J46 + J98</f>
        <v>4840000.0000000037</v>
      </c>
      <c r="K149" s="134">
        <f t="shared" si="84"/>
        <v>10162839.149491534</v>
      </c>
      <c r="L149" s="134">
        <f t="shared" si="84"/>
        <v>2198310.6511297766</v>
      </c>
      <c r="M149" s="134">
        <f t="shared" si="84"/>
        <v>7205384.7156594358</v>
      </c>
      <c r="N149" s="134">
        <f t="shared" si="84"/>
        <v>1990912.8383989283</v>
      </c>
      <c r="O149" s="134">
        <f t="shared" si="84"/>
        <v>1422797.4809288147</v>
      </c>
      <c r="P149" s="134">
        <f t="shared" si="84"/>
        <v>57098.97795142277</v>
      </c>
      <c r="Q149" s="134">
        <f t="shared" si="84"/>
        <v>856484.66927134153</v>
      </c>
      <c r="R149" s="134">
        <f t="shared" si="84"/>
        <v>1941365.2503483742</v>
      </c>
      <c r="S149" s="134">
        <f t="shared" si="84"/>
        <v>5624249.3282151427</v>
      </c>
      <c r="T149" s="134">
        <f t="shared" si="84"/>
        <v>742286.71336849604</v>
      </c>
      <c r="U149" s="134">
        <f t="shared" si="84"/>
        <v>256945.40078140245</v>
      </c>
      <c r="V149" s="134">
        <f t="shared" si="84"/>
        <v>713737.22439278464</v>
      </c>
      <c r="W149" s="134">
        <f t="shared" si="84"/>
        <v>428242.33463567076</v>
      </c>
      <c r="X149" s="134">
        <f t="shared" si="84"/>
        <v>3397389.1881096549</v>
      </c>
      <c r="Y149" s="134">
        <f t="shared" si="84"/>
        <v>0</v>
      </c>
      <c r="Z149" s="134">
        <f t="shared" si="84"/>
        <v>0</v>
      </c>
      <c r="AA149" s="134">
        <f t="shared" si="84"/>
        <v>913583.64722276432</v>
      </c>
      <c r="AB149" s="134">
        <f t="shared" si="84"/>
        <v>513890.8015628049</v>
      </c>
      <c r="AC149" s="134">
        <f t="shared" si="84"/>
        <v>2626552.9857654474</v>
      </c>
      <c r="AD149" s="134">
        <f t="shared" si="84"/>
        <v>656638.24644136184</v>
      </c>
      <c r="AE149" s="134">
        <f t="shared" si="84"/>
        <v>0</v>
      </c>
      <c r="AF149" s="134">
        <f t="shared" si="84"/>
        <v>0</v>
      </c>
      <c r="AG149" s="134">
        <f t="shared" si="84"/>
        <v>0</v>
      </c>
      <c r="AH149" s="134">
        <f t="shared" si="84"/>
        <v>0</v>
      </c>
      <c r="AI149" s="134">
        <f t="shared" si="84"/>
        <v>0</v>
      </c>
      <c r="AJ149" s="134">
        <f t="shared" si="84"/>
        <v>0</v>
      </c>
      <c r="AK149" s="134">
        <f t="shared" si="84"/>
        <v>0</v>
      </c>
      <c r="AL149" s="134">
        <f t="shared" si="84"/>
        <v>0</v>
      </c>
      <c r="AM149" s="134">
        <f t="shared" si="84"/>
        <v>0</v>
      </c>
      <c r="AN149" s="134">
        <f t="shared" si="84"/>
        <v>0</v>
      </c>
      <c r="AO149" s="134">
        <f t="shared" si="84"/>
        <v>0</v>
      </c>
      <c r="AP149" s="134">
        <f t="shared" ref="AP149" si="85">AP46 + AP98</f>
        <v>0</v>
      </c>
      <c r="AQ149" s="134">
        <f t="shared" si="84"/>
        <v>0</v>
      </c>
      <c r="AR149" s="134">
        <f t="shared" ref="AR149" si="86">AR46 + AR98</f>
        <v>0</v>
      </c>
      <c r="AS149" s="58"/>
      <c r="AT149" s="36"/>
    </row>
    <row r="150" spans="1:46" x14ac:dyDescent="0.35">
      <c r="A150" s="36"/>
      <c r="B150" s="36"/>
      <c r="C150" s="36"/>
      <c r="D150" s="36"/>
      <c r="E150" s="36"/>
      <c r="F150" s="92" t="s">
        <v>583</v>
      </c>
      <c r="G150" s="92" t="str">
        <f>G$19</f>
        <v>£ per year</v>
      </c>
      <c r="H150" s="101"/>
      <c r="I150" s="101"/>
      <c r="J150" s="134">
        <f t="shared" ref="J150:AQ150" si="87">J47 + J99</f>
        <v>0</v>
      </c>
      <c r="K150" s="134">
        <f t="shared" si="87"/>
        <v>7800000</v>
      </c>
      <c r="L150" s="134">
        <f t="shared" si="87"/>
        <v>545818.44228341605</v>
      </c>
      <c r="M150" s="134">
        <f t="shared" si="87"/>
        <v>648859.57516820438</v>
      </c>
      <c r="N150" s="134">
        <f t="shared" si="87"/>
        <v>3477974.0631833454</v>
      </c>
      <c r="O150" s="134">
        <f t="shared" si="87"/>
        <v>0</v>
      </c>
      <c r="P150" s="134">
        <f t="shared" si="87"/>
        <v>14177.102396971844</v>
      </c>
      <c r="Q150" s="134">
        <f t="shared" si="87"/>
        <v>212656.53595457767</v>
      </c>
      <c r="R150" s="134">
        <f t="shared" si="87"/>
        <v>482021.4814970427</v>
      </c>
      <c r="S150" s="134">
        <f t="shared" si="87"/>
        <v>1396444.5861017266</v>
      </c>
      <c r="T150" s="134">
        <f t="shared" si="87"/>
        <v>184302.33116063397</v>
      </c>
      <c r="U150" s="134">
        <f t="shared" si="87"/>
        <v>63796.960786373296</v>
      </c>
      <c r="V150" s="134">
        <f t="shared" si="87"/>
        <v>177213.77996214805</v>
      </c>
      <c r="W150" s="134">
        <f t="shared" si="87"/>
        <v>106328.26797728884</v>
      </c>
      <c r="X150" s="134">
        <f t="shared" si="87"/>
        <v>843537.59261982469</v>
      </c>
      <c r="Y150" s="134">
        <f t="shared" si="87"/>
        <v>0</v>
      </c>
      <c r="Z150" s="134">
        <f t="shared" si="87"/>
        <v>0</v>
      </c>
      <c r="AA150" s="134">
        <f t="shared" si="87"/>
        <v>226833.63835154951</v>
      </c>
      <c r="AB150" s="134">
        <f t="shared" si="87"/>
        <v>127593.92157274659</v>
      </c>
      <c r="AC150" s="134">
        <f t="shared" si="87"/>
        <v>652146.71026070486</v>
      </c>
      <c r="AD150" s="134">
        <f t="shared" si="87"/>
        <v>163036.67756517621</v>
      </c>
      <c r="AE150" s="134">
        <f t="shared" si="87"/>
        <v>0</v>
      </c>
      <c r="AF150" s="134">
        <f t="shared" si="87"/>
        <v>0</v>
      </c>
      <c r="AG150" s="134">
        <f t="shared" si="87"/>
        <v>0</v>
      </c>
      <c r="AH150" s="134">
        <f t="shared" si="87"/>
        <v>0</v>
      </c>
      <c r="AI150" s="134">
        <f t="shared" si="87"/>
        <v>0</v>
      </c>
      <c r="AJ150" s="134">
        <f t="shared" si="87"/>
        <v>0</v>
      </c>
      <c r="AK150" s="134">
        <f t="shared" si="87"/>
        <v>0</v>
      </c>
      <c r="AL150" s="134">
        <f t="shared" si="87"/>
        <v>0</v>
      </c>
      <c r="AM150" s="134">
        <f t="shared" si="87"/>
        <v>0</v>
      </c>
      <c r="AN150" s="134">
        <f t="shared" si="87"/>
        <v>0</v>
      </c>
      <c r="AO150" s="134">
        <f t="shared" si="87"/>
        <v>0</v>
      </c>
      <c r="AP150" s="134">
        <f t="shared" ref="AP150" si="88">AP47 + AP99</f>
        <v>0</v>
      </c>
      <c r="AQ150" s="134">
        <f t="shared" si="87"/>
        <v>0</v>
      </c>
      <c r="AR150" s="134">
        <f t="shared" ref="AR150" si="89">AR47 + AR99</f>
        <v>0</v>
      </c>
      <c r="AS150" s="58"/>
      <c r="AT150" s="36"/>
    </row>
    <row r="151" spans="1:46" x14ac:dyDescent="0.35">
      <c r="A151" s="36"/>
      <c r="B151" s="36"/>
      <c r="C151" s="36"/>
      <c r="D151" s="36"/>
      <c r="E151" s="36"/>
      <c r="F151" s="92" t="s">
        <v>584</v>
      </c>
      <c r="G151" s="92" t="str">
        <f>G$19</f>
        <v>£ per year</v>
      </c>
      <c r="H151" s="101"/>
      <c r="I151" s="101"/>
      <c r="J151" s="134">
        <f t="shared" ref="J151:AQ151" si="90">J48 + J100</f>
        <v>17380000.000000004</v>
      </c>
      <c r="K151" s="134">
        <f t="shared" si="90"/>
        <v>10800000</v>
      </c>
      <c r="L151" s="134">
        <f t="shared" si="90"/>
        <v>1637533.1366131906</v>
      </c>
      <c r="M151" s="134">
        <f t="shared" si="90"/>
        <v>6546599.9463490518</v>
      </c>
      <c r="N151" s="134">
        <f t="shared" si="90"/>
        <v>1133933.3052304557</v>
      </c>
      <c r="O151" s="134">
        <f t="shared" si="90"/>
        <v>2900000</v>
      </c>
      <c r="P151" s="134">
        <f t="shared" si="90"/>
        <v>42533.328223719232</v>
      </c>
      <c r="Q151" s="134">
        <f t="shared" si="90"/>
        <v>637999.92335578857</v>
      </c>
      <c r="R151" s="134">
        <f t="shared" si="90"/>
        <v>1446133.159606454</v>
      </c>
      <c r="S151" s="134">
        <f t="shared" si="90"/>
        <v>4189532.8300363449</v>
      </c>
      <c r="T151" s="134">
        <f t="shared" si="90"/>
        <v>552933.26690835005</v>
      </c>
      <c r="U151" s="134">
        <f t="shared" si="90"/>
        <v>191399.97700673656</v>
      </c>
      <c r="V151" s="134">
        <f t="shared" si="90"/>
        <v>531666.60279649042</v>
      </c>
      <c r="W151" s="134">
        <f t="shared" si="90"/>
        <v>318999.96167789429</v>
      </c>
      <c r="X151" s="134">
        <f t="shared" si="90"/>
        <v>2530733.0293112947</v>
      </c>
      <c r="Y151" s="134">
        <f t="shared" si="90"/>
        <v>0</v>
      </c>
      <c r="Z151" s="134">
        <f t="shared" si="90"/>
        <v>0</v>
      </c>
      <c r="AA151" s="134">
        <f t="shared" si="90"/>
        <v>680533.25157950772</v>
      </c>
      <c r="AB151" s="134">
        <f t="shared" si="90"/>
        <v>382799.95401347312</v>
      </c>
      <c r="AC151" s="134">
        <f t="shared" si="90"/>
        <v>1956533.0982910849</v>
      </c>
      <c r="AD151" s="134">
        <f t="shared" si="90"/>
        <v>489133.27457277122</v>
      </c>
      <c r="AE151" s="134">
        <f t="shared" si="90"/>
        <v>0</v>
      </c>
      <c r="AF151" s="134">
        <f t="shared" si="90"/>
        <v>0</v>
      </c>
      <c r="AG151" s="134">
        <f t="shared" si="90"/>
        <v>0</v>
      </c>
      <c r="AH151" s="134">
        <f t="shared" si="90"/>
        <v>0</v>
      </c>
      <c r="AI151" s="134">
        <f t="shared" si="90"/>
        <v>0</v>
      </c>
      <c r="AJ151" s="134">
        <f t="shared" si="90"/>
        <v>0</v>
      </c>
      <c r="AK151" s="134">
        <f t="shared" si="90"/>
        <v>0</v>
      </c>
      <c r="AL151" s="134">
        <f t="shared" si="90"/>
        <v>0</v>
      </c>
      <c r="AM151" s="134">
        <f t="shared" si="90"/>
        <v>0</v>
      </c>
      <c r="AN151" s="134">
        <f t="shared" si="90"/>
        <v>0</v>
      </c>
      <c r="AO151" s="134">
        <f t="shared" si="90"/>
        <v>0</v>
      </c>
      <c r="AP151" s="134">
        <f t="shared" ref="AP151" si="91">AP48 + AP100</f>
        <v>0</v>
      </c>
      <c r="AQ151" s="134">
        <f t="shared" si="90"/>
        <v>0</v>
      </c>
      <c r="AR151" s="134">
        <f t="shared" ref="AR151" si="92">AR48 + AR100</f>
        <v>0</v>
      </c>
      <c r="AS151" s="58"/>
      <c r="AT151" s="36"/>
    </row>
    <row r="152" spans="1:46" x14ac:dyDescent="0.35">
      <c r="A152" s="36"/>
      <c r="B152" s="36"/>
      <c r="C152" s="36"/>
      <c r="D152" s="36"/>
      <c r="E152" s="36"/>
      <c r="F152" s="94" t="s">
        <v>585</v>
      </c>
      <c r="G152" s="94" t="str">
        <f>G$19</f>
        <v>£ per year</v>
      </c>
      <c r="H152" s="115"/>
      <c r="I152" s="115"/>
      <c r="J152" s="186">
        <f t="shared" ref="J152:AQ152" si="93">J49 + J101</f>
        <v>37080000</v>
      </c>
      <c r="K152" s="186">
        <f t="shared" si="93"/>
        <v>13299999.999999998</v>
      </c>
      <c r="L152" s="186">
        <f t="shared" si="93"/>
        <v>1190474.172365505</v>
      </c>
      <c r="M152" s="186">
        <f t="shared" si="93"/>
        <v>1224674.7742815013</v>
      </c>
      <c r="N152" s="186">
        <f t="shared" si="93"/>
        <v>4970067.7389093582</v>
      </c>
      <c r="O152" s="186">
        <f t="shared" si="93"/>
        <v>1200000</v>
      </c>
      <c r="P152" s="186">
        <f t="shared" si="93"/>
        <v>30921.407074428702</v>
      </c>
      <c r="Q152" s="186">
        <f t="shared" si="93"/>
        <v>463821.10611643054</v>
      </c>
      <c r="R152" s="186">
        <f t="shared" si="93"/>
        <v>1051327.840530576</v>
      </c>
      <c r="S152" s="186">
        <f t="shared" si="93"/>
        <v>3045758.5968312272</v>
      </c>
      <c r="T152" s="186">
        <f t="shared" si="93"/>
        <v>401978.29196757311</v>
      </c>
      <c r="U152" s="186">
        <f t="shared" si="93"/>
        <v>139146.33183492915</v>
      </c>
      <c r="V152" s="186">
        <f t="shared" si="93"/>
        <v>386517.5884303588</v>
      </c>
      <c r="W152" s="186">
        <f t="shared" si="93"/>
        <v>231910.55305821527</v>
      </c>
      <c r="X152" s="186">
        <f t="shared" si="93"/>
        <v>1839823.7209285079</v>
      </c>
      <c r="Y152" s="186">
        <f t="shared" si="93"/>
        <v>0</v>
      </c>
      <c r="Z152" s="186">
        <f t="shared" si="93"/>
        <v>0</v>
      </c>
      <c r="AA152" s="186">
        <f t="shared" si="93"/>
        <v>494742.51319085923</v>
      </c>
      <c r="AB152" s="186">
        <f t="shared" si="93"/>
        <v>278292.6636698583</v>
      </c>
      <c r="AC152" s="186">
        <f t="shared" si="93"/>
        <v>1422384.7254237204</v>
      </c>
      <c r="AD152" s="186">
        <f t="shared" si="93"/>
        <v>355596.18135593011</v>
      </c>
      <c r="AE152" s="186">
        <f t="shared" si="93"/>
        <v>0</v>
      </c>
      <c r="AF152" s="186">
        <f t="shared" si="93"/>
        <v>0</v>
      </c>
      <c r="AG152" s="186">
        <f t="shared" si="93"/>
        <v>0</v>
      </c>
      <c r="AH152" s="186">
        <f t="shared" si="93"/>
        <v>0</v>
      </c>
      <c r="AI152" s="186">
        <f t="shared" si="93"/>
        <v>0</v>
      </c>
      <c r="AJ152" s="186">
        <f t="shared" si="93"/>
        <v>0</v>
      </c>
      <c r="AK152" s="186">
        <f t="shared" si="93"/>
        <v>0</v>
      </c>
      <c r="AL152" s="186">
        <f t="shared" si="93"/>
        <v>0</v>
      </c>
      <c r="AM152" s="186">
        <f t="shared" si="93"/>
        <v>0</v>
      </c>
      <c r="AN152" s="186">
        <f t="shared" si="93"/>
        <v>0</v>
      </c>
      <c r="AO152" s="186">
        <f t="shared" si="93"/>
        <v>0</v>
      </c>
      <c r="AP152" s="186">
        <f t="shared" ref="AP152" si="94">AP49 + AP101</f>
        <v>0</v>
      </c>
      <c r="AQ152" s="186">
        <f t="shared" si="93"/>
        <v>0</v>
      </c>
      <c r="AR152" s="186">
        <f t="shared" ref="AR152" si="95">AR49 + AR101</f>
        <v>0</v>
      </c>
      <c r="AS152" s="58"/>
      <c r="AT152" s="36"/>
    </row>
    <row r="153" spans="1:46" x14ac:dyDescent="0.35">
      <c r="A153" s="36"/>
      <c r="B153" s="36"/>
      <c r="C153" s="36"/>
      <c r="D153" s="36"/>
      <c r="E153" s="36"/>
      <c r="F153" s="36"/>
      <c r="G153" s="36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  <c r="AP153" s="58"/>
      <c r="AQ153" s="58"/>
      <c r="AR153" s="58"/>
      <c r="AS153" s="58"/>
      <c r="AT153" s="36"/>
    </row>
    <row r="154" spans="1:46" x14ac:dyDescent="0.35">
      <c r="A154" s="36"/>
      <c r="B154" s="36"/>
      <c r="C154" s="86"/>
      <c r="D154" s="86"/>
      <c r="E154" s="92" t="s">
        <v>586</v>
      </c>
      <c r="F154" s="36"/>
      <c r="G154" s="92" t="s">
        <v>73</v>
      </c>
      <c r="H154" s="107">
        <f>IF(SUM(J141:AR145) = 0, 1, 0) + IF(SUM(J148:AR152) = 0, 1, 0)</f>
        <v>0</v>
      </c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58"/>
      <c r="AT154" s="36"/>
    </row>
    <row r="155" spans="1:46" x14ac:dyDescent="0.35">
      <c r="A155" s="36"/>
      <c r="B155" s="36"/>
      <c r="C155" s="36"/>
      <c r="D155" s="36"/>
      <c r="E155" s="92" t="s">
        <v>587</v>
      </c>
      <c r="F155" s="36"/>
      <c r="G155" s="92" t="s">
        <v>73</v>
      </c>
      <c r="H155" s="107">
        <f>IF(ROUND(SUM(J141:AR145) - SUM(J148:AR152), 2) = 0, 0, 1)</f>
        <v>0</v>
      </c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58"/>
      <c r="AT155" s="36"/>
    </row>
    <row r="156" spans="1:46" x14ac:dyDescent="0.35">
      <c r="A156" s="36"/>
      <c r="B156" s="36"/>
      <c r="C156" s="36"/>
      <c r="D156" s="36"/>
      <c r="E156" s="36"/>
      <c r="F156" s="36"/>
      <c r="G156" s="36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8"/>
      <c r="AN156" s="58"/>
      <c r="AO156" s="58"/>
      <c r="AP156" s="58"/>
      <c r="AQ156" s="58"/>
      <c r="AR156" s="58"/>
      <c r="AS156" s="58"/>
      <c r="AT156" s="36"/>
    </row>
    <row r="157" spans="1:46" x14ac:dyDescent="0.35">
      <c r="A157" s="36"/>
      <c r="B157" s="84" t="s">
        <v>535</v>
      </c>
      <c r="C157" s="84"/>
      <c r="D157" s="84"/>
      <c r="E157" s="84"/>
      <c r="F157" s="84"/>
      <c r="G157" s="84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  <c r="AA157" s="85"/>
      <c r="AB157" s="85"/>
      <c r="AC157" s="85"/>
      <c r="AD157" s="85"/>
      <c r="AE157" s="85"/>
      <c r="AF157" s="85"/>
      <c r="AG157" s="85"/>
      <c r="AH157" s="85"/>
      <c r="AI157" s="85"/>
      <c r="AJ157" s="85"/>
      <c r="AK157" s="85"/>
      <c r="AL157" s="85"/>
      <c r="AM157" s="85"/>
      <c r="AN157" s="85"/>
      <c r="AO157" s="85"/>
      <c r="AP157" s="85"/>
      <c r="AQ157" s="85"/>
      <c r="AR157" s="85"/>
      <c r="AS157" s="85"/>
      <c r="AT157" s="84"/>
    </row>
    <row r="158" spans="1:46" x14ac:dyDescent="0.35">
      <c r="A158" s="36"/>
      <c r="B158" s="36"/>
      <c r="C158" s="36"/>
      <c r="D158" s="36"/>
      <c r="E158" s="86"/>
      <c r="F158" s="36"/>
      <c r="G158" s="36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  <c r="AP158" s="58"/>
      <c r="AQ158" s="58"/>
      <c r="AR158" s="58"/>
      <c r="AS158" s="58"/>
      <c r="AT158" s="36"/>
    </row>
    <row r="159" spans="1:46" x14ac:dyDescent="0.35">
      <c r="A159" s="36"/>
      <c r="B159" s="36"/>
      <c r="C159" s="86"/>
      <c r="D159" s="86"/>
      <c r="E159" s="92" t="s">
        <v>496</v>
      </c>
      <c r="F159" s="36"/>
      <c r="G159" s="92" t="s">
        <v>73</v>
      </c>
      <c r="H159" s="126">
        <f xml:space="preserve"> H131 + H154 + H155</f>
        <v>0</v>
      </c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  <c r="AM159" s="107"/>
      <c r="AN159" s="107"/>
      <c r="AO159" s="107"/>
      <c r="AP159" s="107"/>
      <c r="AQ159" s="107"/>
      <c r="AR159" s="107"/>
      <c r="AS159" s="58"/>
      <c r="AT159" s="36"/>
    </row>
    <row r="160" spans="1:46" x14ac:dyDescent="0.35">
      <c r="A160" s="36"/>
      <c r="B160" s="36"/>
      <c r="C160" s="36"/>
      <c r="D160" s="36"/>
      <c r="E160" s="86"/>
      <c r="F160" s="36"/>
      <c r="G160" s="36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  <c r="AN160" s="58"/>
      <c r="AO160" s="58"/>
      <c r="AP160" s="58"/>
      <c r="AQ160" s="58"/>
      <c r="AR160" s="58"/>
      <c r="AS160" s="58"/>
      <c r="AT160" s="36"/>
    </row>
    <row r="161" spans="1:46" x14ac:dyDescent="0.35">
      <c r="A161" s="36"/>
      <c r="B161" s="84" t="s">
        <v>87</v>
      </c>
      <c r="C161" s="84"/>
      <c r="D161" s="84"/>
      <c r="E161" s="84"/>
      <c r="F161" s="84"/>
      <c r="G161" s="84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  <c r="AA161" s="85"/>
      <c r="AB161" s="85"/>
      <c r="AC161" s="85"/>
      <c r="AD161" s="85"/>
      <c r="AE161" s="85"/>
      <c r="AF161" s="85"/>
      <c r="AG161" s="85"/>
      <c r="AH161" s="85"/>
      <c r="AI161" s="85"/>
      <c r="AJ161" s="85"/>
      <c r="AK161" s="85"/>
      <c r="AL161" s="85"/>
      <c r="AM161" s="85"/>
      <c r="AN161" s="85"/>
      <c r="AO161" s="85"/>
      <c r="AP161" s="85"/>
      <c r="AQ161" s="85"/>
      <c r="AR161" s="85"/>
      <c r="AS161" s="85"/>
      <c r="AT161" s="84"/>
    </row>
  </sheetData>
  <sheetProtection sheet="1" formatCells="0" formatColumns="0" formatRows="0" sort="0" autoFilter="0"/>
  <conditionalFormatting sqref="H154">
    <cfRule type="cellIs" dxfId="35" priority="10" stopIfTrue="1" operator="greaterThan">
      <formula>0</formula>
    </cfRule>
  </conditionalFormatting>
  <conditionalFormatting sqref="H155">
    <cfRule type="cellIs" dxfId="34" priority="11" stopIfTrue="1" operator="greaterThan">
      <formula>0</formula>
    </cfRule>
  </conditionalFormatting>
  <conditionalFormatting sqref="H159">
    <cfRule type="cellIs" dxfId="33" priority="12" stopIfTrue="1" operator="greaterThan">
      <formula>0</formula>
    </cfRule>
  </conditionalFormatting>
  <conditionalFormatting sqref="A4:AO4 AQ4 AS4:XFD4">
    <cfRule type="expression" dxfId="32" priority="9">
      <formula>LEFT($A$4,1) &lt;&gt; "0"</formula>
    </cfRule>
  </conditionalFormatting>
  <conditionalFormatting sqref="AP4">
    <cfRule type="expression" dxfId="31" priority="8">
      <formula>LEFT($A$4,1) &lt;&gt; "0"</formula>
    </cfRule>
  </conditionalFormatting>
  <conditionalFormatting sqref="H131">
    <cfRule type="cellIs" dxfId="30" priority="7" stopIfTrue="1" operator="greaterThan">
      <formula>0</formula>
    </cfRule>
  </conditionalFormatting>
  <conditionalFormatting sqref="J130:AQ130">
    <cfRule type="cellIs" dxfId="29" priority="6" stopIfTrue="1" operator="greaterThan">
      <formula>0</formula>
    </cfRule>
  </conditionalFormatting>
  <conditionalFormatting sqref="AR4">
    <cfRule type="expression" dxfId="28" priority="5">
      <formula>LEFT($A$4,1) &lt;&gt; "0"</formula>
    </cfRule>
  </conditionalFormatting>
  <conditionalFormatting sqref="AR130">
    <cfRule type="cellIs" dxfId="27" priority="4" stopIfTrue="1" operator="greaterThan">
      <formula>0</formula>
    </cfRule>
  </conditionalFormatting>
  <hyperlinks>
    <hyperlink ref="B5" location="'Model map'!A1" display="Click here to return to model map" xr:uid="{FE58079A-75BC-4940-9249-4D51F0C5AF1C}"/>
    <hyperlink ref="B5:H5" location="'Model map'!A4" tooltip="Click to return to model map" display="'Model map'!A4" xr:uid="{CC564AFA-0C63-4F0E-BF4E-E9D89C31704B}"/>
    <hyperlink ref="B5:F5" location="'Model map'!A4" tooltip="Click to return to model map" display="'Model map'!A4" xr:uid="{D0116607-6512-432B-9C2C-641F1929A2F8}"/>
    <hyperlink ref="A1" location="Index!A1" display="Index!A1" xr:uid="{60D2E758-B4A4-432E-9359-ACD27A9F0BE3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4" tint="0.59999389629810485"/>
  </sheetPr>
  <dimension ref="A1:AU8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4.5" x14ac:dyDescent="0.35"/>
  <cols>
    <col min="1" max="5" width="2.7265625" customWidth="1"/>
    <col min="6" max="6" width="60.7265625" customWidth="1"/>
    <col min="7" max="8" width="20.7265625" customWidth="1"/>
    <col min="9" max="9" width="2.7265625" customWidth="1"/>
    <col min="10" max="44" width="20.7265625" customWidth="1"/>
    <col min="45" max="45" width="2.7265625" customWidth="1"/>
    <col min="46" max="46" width="40.7265625" customWidth="1"/>
    <col min="47" max="47" width="2.7265625" customWidth="1"/>
    <col min="48" max="16384" width="9.1796875" hidden="1"/>
  </cols>
  <sheetData>
    <row r="1" spans="1:47" x14ac:dyDescent="0.35">
      <c r="A1" s="74" t="str">
        <f ca="1">MID(CELL("filename",A1),FIND("]",CELL("filename",A1))+1,255)</f>
        <v>Expensed</v>
      </c>
      <c r="B1" s="74"/>
      <c r="C1" s="74"/>
      <c r="D1" s="74"/>
      <c r="E1" s="74"/>
      <c r="F1" s="74"/>
      <c r="G1" s="74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4"/>
      <c r="AU1" s="2"/>
    </row>
    <row r="2" spans="1:47" x14ac:dyDescent="0.35">
      <c r="A2" s="74" t="str">
        <f>Cover!D21&amp;" - "&amp;Cover!D23</f>
        <v>Southern Electric Power Distribution - Final</v>
      </c>
      <c r="B2" s="74"/>
      <c r="C2" s="74"/>
      <c r="D2" s="74"/>
      <c r="E2" s="74"/>
      <c r="F2" s="74"/>
      <c r="G2" s="74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4"/>
      <c r="AU2" s="2"/>
    </row>
    <row r="3" spans="1:47" x14ac:dyDescent="0.35">
      <c r="A3" s="76" t="str">
        <f>Cover!D2&amp;" - "&amp;Cover!D8&amp;" v"&amp;Cover!D10&amp;" - "&amp;Cover!D19</f>
        <v>PCDM charging model - Release for charge setting v5 - 2024/25</v>
      </c>
      <c r="B3" s="77"/>
      <c r="C3" s="77"/>
      <c r="D3" s="77"/>
      <c r="E3" s="77"/>
      <c r="F3" s="77"/>
      <c r="G3" s="77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7"/>
      <c r="AU3" s="3"/>
    </row>
    <row r="4" spans="1:47" x14ac:dyDescent="0.35">
      <c r="A4" s="57" t="str">
        <f>H87 &amp; IF(H87 = 1, " issue", " issues") &amp;" identified in checks on this sheet"</f>
        <v>0 issues identified in checks on this sheet</v>
      </c>
      <c r="B4" s="36"/>
      <c r="C4" s="36"/>
      <c r="D4" s="36"/>
      <c r="E4" s="36"/>
      <c r="F4" s="36"/>
      <c r="G4" s="36"/>
      <c r="H4" s="58"/>
      <c r="I4" s="58"/>
      <c r="J4" s="36"/>
    </row>
    <row r="5" spans="1:47" ht="58" x14ac:dyDescent="0.35">
      <c r="A5" s="36"/>
      <c r="B5" s="79" t="s">
        <v>104</v>
      </c>
      <c r="C5" s="42"/>
      <c r="D5" s="42"/>
      <c r="E5" s="42"/>
      <c r="F5" s="42"/>
      <c r="G5" s="80" t="s">
        <v>105</v>
      </c>
      <c r="H5" s="100" t="s">
        <v>106</v>
      </c>
      <c r="I5" s="58"/>
      <c r="J5" s="81" t="s">
        <v>145</v>
      </c>
      <c r="K5" s="81" t="s">
        <v>146</v>
      </c>
      <c r="L5" s="81" t="s">
        <v>147</v>
      </c>
      <c r="M5" s="81" t="s">
        <v>148</v>
      </c>
      <c r="N5" s="81" t="s">
        <v>149</v>
      </c>
      <c r="O5" s="81" t="s">
        <v>150</v>
      </c>
      <c r="P5" s="81" t="s">
        <v>151</v>
      </c>
      <c r="Q5" s="81" t="s">
        <v>152</v>
      </c>
      <c r="R5" s="81" t="s">
        <v>153</v>
      </c>
      <c r="S5" s="81" t="s">
        <v>154</v>
      </c>
      <c r="T5" s="81" t="s">
        <v>155</v>
      </c>
      <c r="U5" s="81" t="s">
        <v>156</v>
      </c>
      <c r="V5" s="81" t="s">
        <v>157</v>
      </c>
      <c r="W5" s="81" t="s">
        <v>158</v>
      </c>
      <c r="X5" s="81" t="s">
        <v>159</v>
      </c>
      <c r="Y5" s="81" t="s">
        <v>160</v>
      </c>
      <c r="Z5" s="81" t="s">
        <v>161</v>
      </c>
      <c r="AA5" s="81" t="s">
        <v>162</v>
      </c>
      <c r="AB5" s="81" t="s">
        <v>163</v>
      </c>
      <c r="AC5" s="81" t="s">
        <v>164</v>
      </c>
      <c r="AD5" s="81" t="s">
        <v>165</v>
      </c>
      <c r="AE5" s="81" t="s">
        <v>166</v>
      </c>
      <c r="AF5" s="81" t="s">
        <v>167</v>
      </c>
      <c r="AG5" s="81" t="s">
        <v>168</v>
      </c>
      <c r="AH5" s="81" t="s">
        <v>169</v>
      </c>
      <c r="AI5" s="81" t="s">
        <v>170</v>
      </c>
      <c r="AJ5" s="81" t="s">
        <v>171</v>
      </c>
      <c r="AK5" s="81" t="s">
        <v>172</v>
      </c>
      <c r="AL5" s="81" t="s">
        <v>173</v>
      </c>
      <c r="AM5" s="81" t="s">
        <v>174</v>
      </c>
      <c r="AN5" s="81" t="s">
        <v>175</v>
      </c>
      <c r="AO5" s="81" t="s">
        <v>176</v>
      </c>
      <c r="AP5" s="81" t="s">
        <v>177</v>
      </c>
      <c r="AQ5" s="81" t="s">
        <v>179</v>
      </c>
      <c r="AR5" s="81" t="s">
        <v>180</v>
      </c>
      <c r="AS5" s="58"/>
      <c r="AT5" s="80" t="s">
        <v>107</v>
      </c>
    </row>
    <row r="6" spans="1:47" x14ac:dyDescent="0.35">
      <c r="A6" s="36"/>
      <c r="B6" s="36"/>
      <c r="C6" s="36"/>
      <c r="D6" s="36"/>
      <c r="E6" s="36"/>
      <c r="F6" s="36"/>
      <c r="G6" s="36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36"/>
    </row>
    <row r="7" spans="1:47" x14ac:dyDescent="0.35">
      <c r="A7" s="36"/>
      <c r="B7" s="84" t="s">
        <v>13</v>
      </c>
      <c r="C7" s="84"/>
      <c r="D7" s="84"/>
      <c r="E7" s="84"/>
      <c r="F7" s="84"/>
      <c r="G7" s="84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4"/>
    </row>
    <row r="8" spans="1:47" x14ac:dyDescent="0.35">
      <c r="A8" s="36"/>
      <c r="B8" s="36"/>
      <c r="C8" s="36"/>
      <c r="D8" s="36"/>
      <c r="E8" s="36"/>
      <c r="F8" s="36"/>
      <c r="G8" s="36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36"/>
    </row>
    <row r="9" spans="1:47" x14ac:dyDescent="0.35">
      <c r="A9" s="36"/>
      <c r="B9" s="36"/>
      <c r="C9" s="86" t="s">
        <v>588</v>
      </c>
      <c r="D9" s="86"/>
      <c r="E9" s="36"/>
      <c r="F9" s="36"/>
      <c r="G9" s="36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36"/>
    </row>
    <row r="10" spans="1:47" x14ac:dyDescent="0.35">
      <c r="A10" s="36"/>
      <c r="B10" s="36"/>
      <c r="C10" s="86" t="s">
        <v>589</v>
      </c>
      <c r="D10" s="86"/>
      <c r="E10" s="36"/>
      <c r="F10" s="36"/>
      <c r="G10" s="36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36"/>
    </row>
    <row r="11" spans="1:47" x14ac:dyDescent="0.35">
      <c r="A11" s="36"/>
      <c r="B11" s="36"/>
      <c r="C11" s="86" t="s">
        <v>590</v>
      </c>
      <c r="D11" s="86"/>
      <c r="E11" s="36"/>
      <c r="F11" s="36"/>
      <c r="G11" s="36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36"/>
      <c r="AU11" s="58"/>
    </row>
    <row r="12" spans="1:47" x14ac:dyDescent="0.35">
      <c r="A12" s="36"/>
      <c r="B12" s="36"/>
      <c r="C12" s="86"/>
      <c r="D12" s="86"/>
      <c r="E12" s="36"/>
      <c r="F12" s="36"/>
      <c r="G12" s="36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36"/>
    </row>
    <row r="13" spans="1:47" x14ac:dyDescent="0.35">
      <c r="A13" s="36"/>
      <c r="B13" s="84" t="s">
        <v>591</v>
      </c>
      <c r="C13" s="84"/>
      <c r="D13" s="84"/>
      <c r="E13" s="84"/>
      <c r="F13" s="84"/>
      <c r="G13" s="84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4"/>
    </row>
    <row r="14" spans="1:47" x14ac:dyDescent="0.35">
      <c r="A14" s="36"/>
      <c r="B14" s="36"/>
      <c r="C14" s="36"/>
      <c r="D14" s="36"/>
      <c r="E14" s="36"/>
      <c r="F14" s="36"/>
      <c r="G14" s="36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36"/>
    </row>
    <row r="15" spans="1:47" x14ac:dyDescent="0.35">
      <c r="A15" s="36"/>
      <c r="B15" s="36"/>
      <c r="C15" s="86" t="s">
        <v>592</v>
      </c>
      <c r="D15" s="86"/>
      <c r="E15" s="36"/>
      <c r="F15" s="36"/>
      <c r="G15" s="36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36"/>
    </row>
    <row r="16" spans="1:47" x14ac:dyDescent="0.35">
      <c r="A16" s="36"/>
      <c r="B16" s="36"/>
      <c r="C16" s="86" t="s">
        <v>593</v>
      </c>
      <c r="D16" s="86"/>
      <c r="E16" s="36"/>
      <c r="F16" s="36"/>
      <c r="G16" s="36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36"/>
    </row>
    <row r="17" spans="1:46" x14ac:dyDescent="0.35">
      <c r="A17" s="36"/>
      <c r="B17" s="36"/>
      <c r="C17" s="86"/>
      <c r="D17" s="86"/>
      <c r="E17" s="36"/>
      <c r="F17" s="36"/>
      <c r="G17" s="36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36"/>
    </row>
    <row r="18" spans="1:46" x14ac:dyDescent="0.35">
      <c r="A18" s="36"/>
      <c r="B18" s="36"/>
      <c r="C18" s="87" t="s">
        <v>594</v>
      </c>
      <c r="D18" s="87"/>
      <c r="E18" s="87"/>
      <c r="F18" s="87"/>
      <c r="G18" s="87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7"/>
    </row>
    <row r="19" spans="1:46" x14ac:dyDescent="0.35">
      <c r="A19" s="36"/>
      <c r="B19" s="36"/>
      <c r="C19" s="86"/>
      <c r="D19" s="86"/>
      <c r="E19" s="36"/>
      <c r="F19" s="36"/>
      <c r="G19" s="36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36"/>
    </row>
    <row r="20" spans="1:46" x14ac:dyDescent="0.35">
      <c r="A20" s="36"/>
      <c r="B20" s="36"/>
      <c r="C20" s="36"/>
      <c r="D20" s="86"/>
      <c r="E20" s="89" t="str">
        <f>Expenditure!E140</f>
        <v>Total expenditure allocated, by network level and cost category (EDCM)</v>
      </c>
      <c r="F20" s="36"/>
      <c r="G20" s="36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36"/>
    </row>
    <row r="21" spans="1:46" x14ac:dyDescent="0.35">
      <c r="A21" s="36"/>
      <c r="B21" s="36"/>
      <c r="C21" s="36"/>
      <c r="D21" s="36"/>
      <c r="E21" s="36"/>
      <c r="F21" s="90" t="str">
        <f>Expenditure!F141</f>
        <v>LV services (EDCM)</v>
      </c>
      <c r="G21" s="90" t="str">
        <f>Expenditure!G141</f>
        <v>£ per year</v>
      </c>
      <c r="H21" s="114"/>
      <c r="I21" s="114"/>
      <c r="J21" s="123">
        <f>Expenditure!J141</f>
        <v>0</v>
      </c>
      <c r="K21" s="123">
        <f>Expenditure!K141</f>
        <v>9837160.8505084664</v>
      </c>
      <c r="L21" s="123">
        <f>Expenditure!L141</f>
        <v>2058460.3320438063</v>
      </c>
      <c r="M21" s="123">
        <f>Expenditure!M141</f>
        <v>6955552.825206087</v>
      </c>
      <c r="N21" s="123">
        <f>Expenditure!N141</f>
        <v>1917197.3020544406</v>
      </c>
      <c r="O21" s="123">
        <f>Expenditure!O141</f>
        <v>1377202.5190711853</v>
      </c>
      <c r="P21" s="123">
        <f>Expenditure!P141</f>
        <v>53466.502131007954</v>
      </c>
      <c r="Q21" s="123">
        <f>Expenditure!Q141</f>
        <v>801997.5319651193</v>
      </c>
      <c r="R21" s="123">
        <f>Expenditure!R141</f>
        <v>1817861.0724542704</v>
      </c>
      <c r="S21" s="123">
        <f>Expenditure!S141</f>
        <v>5266450.4599042833</v>
      </c>
      <c r="T21" s="123">
        <f>Expenditure!T141</f>
        <v>695064.52770310338</v>
      </c>
      <c r="U21" s="123">
        <f>Expenditure!U141</f>
        <v>240599.2595895358</v>
      </c>
      <c r="V21" s="123">
        <f>Expenditure!V141</f>
        <v>668331.27663759945</v>
      </c>
      <c r="W21" s="123">
        <f>Expenditure!W141</f>
        <v>400998.76598255965</v>
      </c>
      <c r="X21" s="123">
        <f>Expenditure!X141</f>
        <v>3181256.8767949734</v>
      </c>
      <c r="Y21" s="123">
        <f>Expenditure!Y141</f>
        <v>0</v>
      </c>
      <c r="Z21" s="123">
        <f>Expenditure!Z141</f>
        <v>0</v>
      </c>
      <c r="AA21" s="123">
        <f>Expenditure!AA141</f>
        <v>855464.03409612726</v>
      </c>
      <c r="AB21" s="123">
        <f>Expenditure!AB141</f>
        <v>481198.51917907159</v>
      </c>
      <c r="AC21" s="123">
        <f>Expenditure!AC141</f>
        <v>2459459.098026366</v>
      </c>
      <c r="AD21" s="123">
        <f>Expenditure!AD141</f>
        <v>614864.77450659149</v>
      </c>
      <c r="AE21" s="123">
        <f>Expenditure!AE141</f>
        <v>0</v>
      </c>
      <c r="AF21" s="123">
        <f>Expenditure!AF141</f>
        <v>0</v>
      </c>
      <c r="AG21" s="123">
        <f>Expenditure!AG141</f>
        <v>0</v>
      </c>
      <c r="AH21" s="123">
        <f>Expenditure!AH141</f>
        <v>0</v>
      </c>
      <c r="AI21" s="123">
        <f>Expenditure!AI141</f>
        <v>0</v>
      </c>
      <c r="AJ21" s="123">
        <f>Expenditure!AJ141</f>
        <v>0</v>
      </c>
      <c r="AK21" s="123">
        <f>Expenditure!AK141</f>
        <v>0</v>
      </c>
      <c r="AL21" s="123">
        <f>Expenditure!AL141</f>
        <v>0</v>
      </c>
      <c r="AM21" s="123">
        <f>Expenditure!AM141</f>
        <v>0</v>
      </c>
      <c r="AN21" s="123">
        <f>Expenditure!AN141</f>
        <v>0</v>
      </c>
      <c r="AO21" s="123">
        <f>Expenditure!AO141</f>
        <v>0</v>
      </c>
      <c r="AP21" s="123">
        <f>Expenditure!AP141</f>
        <v>1300000</v>
      </c>
      <c r="AQ21" s="123">
        <f>Expenditure!AQ141</f>
        <v>0</v>
      </c>
      <c r="AR21" s="123">
        <f>Expenditure!AR141</f>
        <v>4559433.9274855116</v>
      </c>
      <c r="AS21" s="58"/>
      <c r="AT21" s="36"/>
    </row>
    <row r="22" spans="1:46" x14ac:dyDescent="0.35">
      <c r="A22" s="36"/>
      <c r="B22" s="36"/>
      <c r="C22" s="36"/>
      <c r="D22" s="36"/>
      <c r="E22" s="36"/>
      <c r="F22" s="92" t="str">
        <f>Expenditure!F142</f>
        <v>LV mains (EDCM)</v>
      </c>
      <c r="G22" s="92" t="str">
        <f>Expenditure!G142</f>
        <v>£ per year</v>
      </c>
      <c r="H22" s="101"/>
      <c r="I22" s="101"/>
      <c r="J22" s="119">
        <f>Expenditure!J142</f>
        <v>4840000.0000000037</v>
      </c>
      <c r="K22" s="119">
        <f>Expenditure!K142</f>
        <v>10162839.149491534</v>
      </c>
      <c r="L22" s="119">
        <f>Expenditure!L142</f>
        <v>2126609.655781813</v>
      </c>
      <c r="M22" s="119">
        <f>Expenditure!M142</f>
        <v>7185829.8987463545</v>
      </c>
      <c r="N22" s="119">
        <f>Expenditure!N142</f>
        <v>1980669.8390635049</v>
      </c>
      <c r="O22" s="119">
        <f>Expenditure!O142</f>
        <v>1422797.4809288147</v>
      </c>
      <c r="P22" s="119">
        <f>Expenditure!P142</f>
        <v>55236.614435891242</v>
      </c>
      <c r="Q22" s="119">
        <f>Expenditure!Q142</f>
        <v>828549.21653836861</v>
      </c>
      <c r="R22" s="119">
        <f>Expenditure!R142</f>
        <v>1878044.8908203021</v>
      </c>
      <c r="S22" s="119">
        <f>Expenditure!S142</f>
        <v>5440806.5219352869</v>
      </c>
      <c r="T22" s="119">
        <f>Expenditure!T142</f>
        <v>718075.98766658618</v>
      </c>
      <c r="U22" s="119">
        <f>Expenditure!U142</f>
        <v>248564.76496151058</v>
      </c>
      <c r="V22" s="119">
        <f>Expenditure!V142</f>
        <v>690457.68044864049</v>
      </c>
      <c r="W22" s="119">
        <f>Expenditure!W142</f>
        <v>414274.6082691843</v>
      </c>
      <c r="X22" s="119">
        <f>Expenditure!X142</f>
        <v>3286578.5589355286</v>
      </c>
      <c r="Y22" s="119">
        <f>Expenditure!Y142</f>
        <v>0</v>
      </c>
      <c r="Z22" s="119">
        <f>Expenditure!Z142</f>
        <v>0</v>
      </c>
      <c r="AA22" s="119">
        <f>Expenditure!AA142</f>
        <v>883785.83097425988</v>
      </c>
      <c r="AB22" s="119">
        <f>Expenditure!AB142</f>
        <v>497129.52992302115</v>
      </c>
      <c r="AC22" s="119">
        <f>Expenditure!AC142</f>
        <v>2540884.2640509969</v>
      </c>
      <c r="AD22" s="119">
        <f>Expenditure!AD142</f>
        <v>635221.06601274922</v>
      </c>
      <c r="AE22" s="119">
        <f>Expenditure!AE142</f>
        <v>0</v>
      </c>
      <c r="AF22" s="119">
        <f>Expenditure!AF142</f>
        <v>0</v>
      </c>
      <c r="AG22" s="119">
        <f>Expenditure!AG142</f>
        <v>0</v>
      </c>
      <c r="AH22" s="119">
        <f>Expenditure!AH142</f>
        <v>0</v>
      </c>
      <c r="AI22" s="119">
        <f>Expenditure!AI142</f>
        <v>0</v>
      </c>
      <c r="AJ22" s="119">
        <f>Expenditure!AJ142</f>
        <v>0</v>
      </c>
      <c r="AK22" s="119">
        <f>Expenditure!AK142</f>
        <v>0</v>
      </c>
      <c r="AL22" s="119">
        <f>Expenditure!AL142</f>
        <v>0</v>
      </c>
      <c r="AM22" s="119">
        <f>Expenditure!AM142</f>
        <v>0</v>
      </c>
      <c r="AN22" s="119">
        <f>Expenditure!AN142</f>
        <v>0</v>
      </c>
      <c r="AO22" s="119">
        <f>Expenditure!AO142</f>
        <v>0</v>
      </c>
      <c r="AP22" s="119">
        <f>Expenditure!AP142</f>
        <v>0</v>
      </c>
      <c r="AQ22" s="119">
        <f>Expenditure!AQ142</f>
        <v>0</v>
      </c>
      <c r="AR22" s="119">
        <f>Expenditure!AR142</f>
        <v>0</v>
      </c>
      <c r="AS22" s="58"/>
      <c r="AT22" s="36"/>
    </row>
    <row r="23" spans="1:46" x14ac:dyDescent="0.35">
      <c r="A23" s="36"/>
      <c r="B23" s="36"/>
      <c r="C23" s="36"/>
      <c r="D23" s="36"/>
      <c r="E23" s="36"/>
      <c r="F23" s="92" t="str">
        <f>Expenditure!F143</f>
        <v>HV/LV (EDCM)</v>
      </c>
      <c r="G23" s="92" t="str">
        <f>Expenditure!G143</f>
        <v>£ per year</v>
      </c>
      <c r="H23" s="101"/>
      <c r="I23" s="101"/>
      <c r="J23" s="119">
        <f>Expenditure!J143</f>
        <v>0</v>
      </c>
      <c r="K23" s="119">
        <f>Expenditure!K143</f>
        <v>7800000</v>
      </c>
      <c r="L23" s="119">
        <f>Expenditure!L143</f>
        <v>528015.80571297358</v>
      </c>
      <c r="M23" s="119">
        <f>Expenditure!M143</f>
        <v>644004.31064899277</v>
      </c>
      <c r="N23" s="119">
        <f>Expenditure!N143</f>
        <v>3475430.8293875675</v>
      </c>
      <c r="O23" s="119">
        <f>Expenditure!O143</f>
        <v>0</v>
      </c>
      <c r="P23" s="119">
        <f>Expenditure!P143</f>
        <v>13714.696252285028</v>
      </c>
      <c r="Q23" s="119">
        <f>Expenditure!Q143</f>
        <v>205720.44378427541</v>
      </c>
      <c r="R23" s="119">
        <f>Expenditure!R143</f>
        <v>466299.67257769092</v>
      </c>
      <c r="S23" s="119">
        <f>Expenditure!S143</f>
        <v>1350897.5808500752</v>
      </c>
      <c r="T23" s="119">
        <f>Expenditure!T143</f>
        <v>178291.05127970537</v>
      </c>
      <c r="U23" s="119">
        <f>Expenditure!U143</f>
        <v>61716.133135282624</v>
      </c>
      <c r="V23" s="119">
        <f>Expenditure!V143</f>
        <v>171433.70315356285</v>
      </c>
      <c r="W23" s="119">
        <f>Expenditure!W143</f>
        <v>102860.22189213771</v>
      </c>
      <c r="X23" s="119">
        <f>Expenditure!X143</f>
        <v>816024.42701095913</v>
      </c>
      <c r="Y23" s="119">
        <f>Expenditure!Y143</f>
        <v>0</v>
      </c>
      <c r="Z23" s="119">
        <f>Expenditure!Z143</f>
        <v>0</v>
      </c>
      <c r="AA23" s="119">
        <f>Expenditure!AA143</f>
        <v>219435.14003656045</v>
      </c>
      <c r="AB23" s="119">
        <f>Expenditure!AB143</f>
        <v>123432.26627056525</v>
      </c>
      <c r="AC23" s="119">
        <f>Expenditure!AC143</f>
        <v>630876.02760511125</v>
      </c>
      <c r="AD23" s="119">
        <f>Expenditure!AD143</f>
        <v>157719.00690127781</v>
      </c>
      <c r="AE23" s="119">
        <f>Expenditure!AE143</f>
        <v>0</v>
      </c>
      <c r="AF23" s="119">
        <f>Expenditure!AF143</f>
        <v>0</v>
      </c>
      <c r="AG23" s="119">
        <f>Expenditure!AG143</f>
        <v>0</v>
      </c>
      <c r="AH23" s="119">
        <f>Expenditure!AH143</f>
        <v>0</v>
      </c>
      <c r="AI23" s="119">
        <f>Expenditure!AI143</f>
        <v>0</v>
      </c>
      <c r="AJ23" s="119">
        <f>Expenditure!AJ143</f>
        <v>0</v>
      </c>
      <c r="AK23" s="119">
        <f>Expenditure!AK143</f>
        <v>0</v>
      </c>
      <c r="AL23" s="119">
        <f>Expenditure!AL143</f>
        <v>0</v>
      </c>
      <c r="AM23" s="119">
        <f>Expenditure!AM143</f>
        <v>0</v>
      </c>
      <c r="AN23" s="119">
        <f>Expenditure!AN143</f>
        <v>0</v>
      </c>
      <c r="AO23" s="119">
        <f>Expenditure!AO143</f>
        <v>0</v>
      </c>
      <c r="AP23" s="119">
        <f>Expenditure!AP143</f>
        <v>0</v>
      </c>
      <c r="AQ23" s="119">
        <f>Expenditure!AQ143</f>
        <v>0</v>
      </c>
      <c r="AR23" s="119">
        <f>Expenditure!AR143</f>
        <v>0</v>
      </c>
      <c r="AS23" s="58"/>
      <c r="AT23" s="36"/>
    </row>
    <row r="24" spans="1:46" x14ac:dyDescent="0.35">
      <c r="A24" s="36"/>
      <c r="B24" s="36"/>
      <c r="C24" s="36"/>
      <c r="D24" s="36"/>
      <c r="E24" s="36"/>
      <c r="F24" s="92" t="str">
        <f>Expenditure!F144</f>
        <v>HV (EDCM)</v>
      </c>
      <c r="G24" s="92" t="str">
        <f>Expenditure!G144</f>
        <v>£ per year</v>
      </c>
      <c r="H24" s="101"/>
      <c r="I24" s="101"/>
      <c r="J24" s="119">
        <f>Expenditure!J144</f>
        <v>17380000.000000004</v>
      </c>
      <c r="K24" s="119">
        <f>Expenditure!K144</f>
        <v>10800000</v>
      </c>
      <c r="L24" s="119">
        <f>Expenditure!L144</f>
        <v>1584122.6890269511</v>
      </c>
      <c r="M24" s="119">
        <f>Expenditure!M144</f>
        <v>6532033.4606437143</v>
      </c>
      <c r="N24" s="119">
        <f>Expenditure!N144</f>
        <v>1126303.2412895644</v>
      </c>
      <c r="O24" s="119">
        <f>Expenditure!O144</f>
        <v>2900000</v>
      </c>
      <c r="P24" s="119">
        <f>Expenditure!P144</f>
        <v>41146.043870829904</v>
      </c>
      <c r="Q24" s="119">
        <f>Expenditure!Q144</f>
        <v>617190.65806244849</v>
      </c>
      <c r="R24" s="119">
        <f>Expenditure!R144</f>
        <v>1398965.4916082167</v>
      </c>
      <c r="S24" s="119">
        <f>Expenditure!S144</f>
        <v>4052885.3212767453</v>
      </c>
      <c r="T24" s="119">
        <f>Expenditure!T144</f>
        <v>534898.57032078877</v>
      </c>
      <c r="U24" s="119">
        <f>Expenditure!U144</f>
        <v>185157.19741873455</v>
      </c>
      <c r="V24" s="119">
        <f>Expenditure!V144</f>
        <v>514325.54838537378</v>
      </c>
      <c r="W24" s="119">
        <f>Expenditure!W144</f>
        <v>308595.32903122425</v>
      </c>
      <c r="X24" s="119">
        <f>Expenditure!X144</f>
        <v>2448189.610314379</v>
      </c>
      <c r="Y24" s="119">
        <f>Expenditure!Y144</f>
        <v>0</v>
      </c>
      <c r="Z24" s="119">
        <f>Expenditure!Z144</f>
        <v>0</v>
      </c>
      <c r="AA24" s="119">
        <f>Expenditure!AA144</f>
        <v>658336.70193327847</v>
      </c>
      <c r="AB24" s="119">
        <f>Expenditure!AB144</f>
        <v>370314.3948374691</v>
      </c>
      <c r="AC24" s="119">
        <f>Expenditure!AC144</f>
        <v>1892718.0180581755</v>
      </c>
      <c r="AD24" s="119">
        <f>Expenditure!AD144</f>
        <v>473179.50451454386</v>
      </c>
      <c r="AE24" s="119">
        <f>Expenditure!AE144</f>
        <v>0</v>
      </c>
      <c r="AF24" s="119">
        <f>Expenditure!AF144</f>
        <v>0</v>
      </c>
      <c r="AG24" s="119">
        <f>Expenditure!AG144</f>
        <v>0</v>
      </c>
      <c r="AH24" s="119">
        <f>Expenditure!AH144</f>
        <v>0</v>
      </c>
      <c r="AI24" s="119">
        <f>Expenditure!AI144</f>
        <v>0</v>
      </c>
      <c r="AJ24" s="119">
        <f>Expenditure!AJ144</f>
        <v>0</v>
      </c>
      <c r="AK24" s="119">
        <f>Expenditure!AK144</f>
        <v>0</v>
      </c>
      <c r="AL24" s="119">
        <f>Expenditure!AL144</f>
        <v>0</v>
      </c>
      <c r="AM24" s="119">
        <f>Expenditure!AM144</f>
        <v>0</v>
      </c>
      <c r="AN24" s="119">
        <f>Expenditure!AN144</f>
        <v>0</v>
      </c>
      <c r="AO24" s="119">
        <f>Expenditure!AO144</f>
        <v>0</v>
      </c>
      <c r="AP24" s="119">
        <f>Expenditure!AP144</f>
        <v>0</v>
      </c>
      <c r="AQ24" s="119">
        <f>Expenditure!AQ144</f>
        <v>0</v>
      </c>
      <c r="AR24" s="119">
        <f>Expenditure!AR144</f>
        <v>0</v>
      </c>
      <c r="AS24" s="58"/>
      <c r="AT24" s="36"/>
    </row>
    <row r="25" spans="1:46" x14ac:dyDescent="0.35">
      <c r="A25" s="36"/>
      <c r="B25" s="36"/>
      <c r="C25" s="36"/>
      <c r="D25" s="36"/>
      <c r="E25" s="36"/>
      <c r="F25" s="94" t="str">
        <f>Expenditure!F145</f>
        <v>EHV and 132kV (EDCM)</v>
      </c>
      <c r="G25" s="94" t="str">
        <f>Expenditure!G145</f>
        <v>£ per year</v>
      </c>
      <c r="H25" s="115"/>
      <c r="I25" s="115"/>
      <c r="J25" s="124">
        <f>Expenditure!J145</f>
        <v>37080000</v>
      </c>
      <c r="K25" s="124">
        <f>Expenditure!K145</f>
        <v>13299999.999999998</v>
      </c>
      <c r="L25" s="124">
        <f>Expenditure!L145</f>
        <v>1402791.5174344559</v>
      </c>
      <c r="M25" s="124">
        <f>Expenditure!M145</f>
        <v>1282579.5047548516</v>
      </c>
      <c r="N25" s="124">
        <f>Expenditure!N145</f>
        <v>5000398.7882049223</v>
      </c>
      <c r="O25" s="124">
        <f>Expenditure!O145</f>
        <v>1200000</v>
      </c>
      <c r="P25" s="124">
        <f>Expenditure!P145</f>
        <v>36436.14330998587</v>
      </c>
      <c r="Q25" s="124">
        <f>Expenditure!Q145</f>
        <v>546542.14964978804</v>
      </c>
      <c r="R25" s="124">
        <f>Expenditure!R145</f>
        <v>1238828.8725395196</v>
      </c>
      <c r="S25" s="124">
        <f>Expenditure!S145</f>
        <v>3588960.1160336081</v>
      </c>
      <c r="T25" s="124">
        <f>Expenditure!T145</f>
        <v>473669.8630298163</v>
      </c>
      <c r="U25" s="124">
        <f>Expenditure!U145</f>
        <v>163962.64489493641</v>
      </c>
      <c r="V25" s="124">
        <f>Expenditure!V145</f>
        <v>455451.79137482337</v>
      </c>
      <c r="W25" s="124">
        <f>Expenditure!W145</f>
        <v>273271.07482489402</v>
      </c>
      <c r="X25" s="124">
        <f>Expenditure!X145</f>
        <v>2167950.5269441591</v>
      </c>
      <c r="Y25" s="124">
        <f>Expenditure!Y145</f>
        <v>0</v>
      </c>
      <c r="Z25" s="124">
        <f>Expenditure!Z145</f>
        <v>0</v>
      </c>
      <c r="AA25" s="124">
        <f>Expenditure!AA145</f>
        <v>582978.29295977391</v>
      </c>
      <c r="AB25" s="124">
        <f>Expenditure!AB145</f>
        <v>327925.28978987283</v>
      </c>
      <c r="AC25" s="124">
        <f>Expenditure!AC145</f>
        <v>1676062.59225935</v>
      </c>
      <c r="AD25" s="124">
        <f>Expenditure!AD145</f>
        <v>419015.6480648375</v>
      </c>
      <c r="AE25" s="124">
        <f>Expenditure!AE145</f>
        <v>0</v>
      </c>
      <c r="AF25" s="124">
        <f>Expenditure!AF145</f>
        <v>0</v>
      </c>
      <c r="AG25" s="124">
        <f>Expenditure!AG145</f>
        <v>0</v>
      </c>
      <c r="AH25" s="124">
        <f>Expenditure!AH145</f>
        <v>0</v>
      </c>
      <c r="AI25" s="124">
        <f>Expenditure!AI145</f>
        <v>0</v>
      </c>
      <c r="AJ25" s="124">
        <f>Expenditure!AJ145</f>
        <v>0</v>
      </c>
      <c r="AK25" s="124">
        <f>Expenditure!AK145</f>
        <v>0</v>
      </c>
      <c r="AL25" s="124">
        <f>Expenditure!AL145</f>
        <v>0</v>
      </c>
      <c r="AM25" s="124">
        <f>Expenditure!AM145</f>
        <v>0</v>
      </c>
      <c r="AN25" s="124">
        <f>Expenditure!AN145</f>
        <v>0</v>
      </c>
      <c r="AO25" s="124">
        <f>Expenditure!AO145</f>
        <v>0</v>
      </c>
      <c r="AP25" s="124">
        <f>Expenditure!AP145</f>
        <v>0</v>
      </c>
      <c r="AQ25" s="124">
        <f>Expenditure!AQ145</f>
        <v>0</v>
      </c>
      <c r="AR25" s="124">
        <f>Expenditure!AR145</f>
        <v>0</v>
      </c>
      <c r="AS25" s="58"/>
      <c r="AT25" s="36"/>
    </row>
    <row r="26" spans="1:46" x14ac:dyDescent="0.35">
      <c r="A26" s="36"/>
      <c r="B26" s="36"/>
      <c r="C26" s="36"/>
      <c r="D26" s="36"/>
      <c r="E26" s="36"/>
      <c r="F26" s="36"/>
      <c r="G26" s="36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36"/>
    </row>
    <row r="27" spans="1:46" x14ac:dyDescent="0.35">
      <c r="A27" s="36"/>
      <c r="B27" s="36"/>
      <c r="C27" s="36"/>
      <c r="D27" s="36"/>
      <c r="E27" s="89" t="str">
        <f>Expenditure!E147</f>
        <v>Total expenditure allocated, by network level and cost category (CDCM)</v>
      </c>
      <c r="F27" s="36"/>
      <c r="G27" s="36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36"/>
    </row>
    <row r="28" spans="1:46" x14ac:dyDescent="0.35">
      <c r="A28" s="36"/>
      <c r="B28" s="36"/>
      <c r="C28" s="36"/>
      <c r="D28" s="36"/>
      <c r="E28" s="36"/>
      <c r="F28" s="90" t="str">
        <f>Expenditure!F148</f>
        <v>LV services (CDCM)</v>
      </c>
      <c r="G28" s="90" t="str">
        <f>Expenditure!G148</f>
        <v>£ per year</v>
      </c>
      <c r="H28" s="114"/>
      <c r="I28" s="114"/>
      <c r="J28" s="123">
        <f>Expenditure!J148</f>
        <v>0</v>
      </c>
      <c r="K28" s="123">
        <f>Expenditure!K148</f>
        <v>9837160.8505084664</v>
      </c>
      <c r="L28" s="123">
        <f>Expenditure!L148</f>
        <v>2127863.5976081113</v>
      </c>
      <c r="M28" s="123">
        <f>Expenditure!M148</f>
        <v>6974480.9885418061</v>
      </c>
      <c r="N28" s="123">
        <f>Expenditure!N148</f>
        <v>1927112.0542779127</v>
      </c>
      <c r="O28" s="123">
        <f>Expenditure!O148</f>
        <v>1377202.5190711853</v>
      </c>
      <c r="P28" s="123">
        <f>Expenditure!P148</f>
        <v>55269.184353457436</v>
      </c>
      <c r="Q28" s="123">
        <f>Expenditure!Q148</f>
        <v>829037.76530186157</v>
      </c>
      <c r="R28" s="123">
        <f>Expenditure!R148</f>
        <v>1879152.2680175528</v>
      </c>
      <c r="S28" s="123">
        <f>Expenditure!S148</f>
        <v>5444014.6588155571</v>
      </c>
      <c r="T28" s="123">
        <f>Expenditure!T148</f>
        <v>718499.39659494662</v>
      </c>
      <c r="U28" s="123">
        <f>Expenditure!U148</f>
        <v>248711.32959055845</v>
      </c>
      <c r="V28" s="123">
        <f>Expenditure!V148</f>
        <v>690864.80441821797</v>
      </c>
      <c r="W28" s="123">
        <f>Expenditure!W148</f>
        <v>414518.88265093078</v>
      </c>
      <c r="X28" s="123">
        <f>Expenditure!X148</f>
        <v>3288516.4690307174</v>
      </c>
      <c r="Y28" s="123">
        <f>Expenditure!Y148</f>
        <v>0</v>
      </c>
      <c r="Z28" s="123">
        <f>Expenditure!Z148</f>
        <v>0</v>
      </c>
      <c r="AA28" s="123">
        <f>Expenditure!AA148</f>
        <v>884306.94965531898</v>
      </c>
      <c r="AB28" s="123">
        <f>Expenditure!AB148</f>
        <v>497422.65918111691</v>
      </c>
      <c r="AC28" s="123">
        <f>Expenditure!AC148</f>
        <v>2542382.4802590418</v>
      </c>
      <c r="AD28" s="123">
        <f>Expenditure!AD148</f>
        <v>635595.62006476044</v>
      </c>
      <c r="AE28" s="123">
        <f>Expenditure!AE148</f>
        <v>0</v>
      </c>
      <c r="AF28" s="123">
        <f>Expenditure!AF148</f>
        <v>0</v>
      </c>
      <c r="AG28" s="123">
        <f>Expenditure!AG148</f>
        <v>0</v>
      </c>
      <c r="AH28" s="123">
        <f>Expenditure!AH148</f>
        <v>0</v>
      </c>
      <c r="AI28" s="123">
        <f>Expenditure!AI148</f>
        <v>0</v>
      </c>
      <c r="AJ28" s="123">
        <f>Expenditure!AJ148</f>
        <v>0</v>
      </c>
      <c r="AK28" s="123">
        <f>Expenditure!AK148</f>
        <v>0</v>
      </c>
      <c r="AL28" s="123">
        <f>Expenditure!AL148</f>
        <v>0</v>
      </c>
      <c r="AM28" s="123">
        <f>Expenditure!AM148</f>
        <v>0</v>
      </c>
      <c r="AN28" s="123">
        <f>Expenditure!AN148</f>
        <v>0</v>
      </c>
      <c r="AO28" s="123">
        <f>Expenditure!AO148</f>
        <v>0</v>
      </c>
      <c r="AP28" s="123">
        <f>Expenditure!AP148</f>
        <v>1300000</v>
      </c>
      <c r="AQ28" s="123">
        <f>Expenditure!AQ148</f>
        <v>0</v>
      </c>
      <c r="AR28" s="123">
        <f>Expenditure!AR148</f>
        <v>4559433.9274855116</v>
      </c>
      <c r="AS28" s="58"/>
      <c r="AT28" s="36"/>
    </row>
    <row r="29" spans="1:46" x14ac:dyDescent="0.35">
      <c r="A29" s="36"/>
      <c r="B29" s="36"/>
      <c r="C29" s="36"/>
      <c r="D29" s="36"/>
      <c r="E29" s="36"/>
      <c r="F29" s="92" t="str">
        <f>Expenditure!F149</f>
        <v>LV mains (CDCM)</v>
      </c>
      <c r="G29" s="92" t="str">
        <f>Expenditure!G149</f>
        <v>£ per year</v>
      </c>
      <c r="H29" s="101"/>
      <c r="I29" s="101"/>
      <c r="J29" s="119">
        <f>Expenditure!J149</f>
        <v>4840000.0000000037</v>
      </c>
      <c r="K29" s="119">
        <f>Expenditure!K149</f>
        <v>10162839.149491534</v>
      </c>
      <c r="L29" s="119">
        <f>Expenditure!L149</f>
        <v>2198310.6511297766</v>
      </c>
      <c r="M29" s="119">
        <f>Expenditure!M149</f>
        <v>7205384.7156594358</v>
      </c>
      <c r="N29" s="119">
        <f>Expenditure!N149</f>
        <v>1990912.8383989283</v>
      </c>
      <c r="O29" s="119">
        <f>Expenditure!O149</f>
        <v>1422797.4809288147</v>
      </c>
      <c r="P29" s="119">
        <f>Expenditure!P149</f>
        <v>57098.97795142277</v>
      </c>
      <c r="Q29" s="119">
        <f>Expenditure!Q149</f>
        <v>856484.66927134153</v>
      </c>
      <c r="R29" s="119">
        <f>Expenditure!R149</f>
        <v>1941365.2503483742</v>
      </c>
      <c r="S29" s="119">
        <f>Expenditure!S149</f>
        <v>5624249.3282151427</v>
      </c>
      <c r="T29" s="119">
        <f>Expenditure!T149</f>
        <v>742286.71336849604</v>
      </c>
      <c r="U29" s="119">
        <f>Expenditure!U149</f>
        <v>256945.40078140245</v>
      </c>
      <c r="V29" s="119">
        <f>Expenditure!V149</f>
        <v>713737.22439278464</v>
      </c>
      <c r="W29" s="119">
        <f>Expenditure!W149</f>
        <v>428242.33463567076</v>
      </c>
      <c r="X29" s="119">
        <f>Expenditure!X149</f>
        <v>3397389.1881096549</v>
      </c>
      <c r="Y29" s="119">
        <f>Expenditure!Y149</f>
        <v>0</v>
      </c>
      <c r="Z29" s="119">
        <f>Expenditure!Z149</f>
        <v>0</v>
      </c>
      <c r="AA29" s="119">
        <f>Expenditure!AA149</f>
        <v>913583.64722276432</v>
      </c>
      <c r="AB29" s="119">
        <f>Expenditure!AB149</f>
        <v>513890.8015628049</v>
      </c>
      <c r="AC29" s="119">
        <f>Expenditure!AC149</f>
        <v>2626552.9857654474</v>
      </c>
      <c r="AD29" s="119">
        <f>Expenditure!AD149</f>
        <v>656638.24644136184</v>
      </c>
      <c r="AE29" s="119">
        <f>Expenditure!AE149</f>
        <v>0</v>
      </c>
      <c r="AF29" s="119">
        <f>Expenditure!AF149</f>
        <v>0</v>
      </c>
      <c r="AG29" s="119">
        <f>Expenditure!AG149</f>
        <v>0</v>
      </c>
      <c r="AH29" s="119">
        <f>Expenditure!AH149</f>
        <v>0</v>
      </c>
      <c r="AI29" s="119">
        <f>Expenditure!AI149</f>
        <v>0</v>
      </c>
      <c r="AJ29" s="119">
        <f>Expenditure!AJ149</f>
        <v>0</v>
      </c>
      <c r="AK29" s="119">
        <f>Expenditure!AK149</f>
        <v>0</v>
      </c>
      <c r="AL29" s="119">
        <f>Expenditure!AL149</f>
        <v>0</v>
      </c>
      <c r="AM29" s="119">
        <f>Expenditure!AM149</f>
        <v>0</v>
      </c>
      <c r="AN29" s="119">
        <f>Expenditure!AN149</f>
        <v>0</v>
      </c>
      <c r="AO29" s="119">
        <f>Expenditure!AO149</f>
        <v>0</v>
      </c>
      <c r="AP29" s="119">
        <f>Expenditure!AP149</f>
        <v>0</v>
      </c>
      <c r="AQ29" s="119">
        <f>Expenditure!AQ149</f>
        <v>0</v>
      </c>
      <c r="AR29" s="119">
        <f>Expenditure!AR149</f>
        <v>0</v>
      </c>
      <c r="AS29" s="58"/>
      <c r="AT29" s="36"/>
    </row>
    <row r="30" spans="1:46" x14ac:dyDescent="0.35">
      <c r="A30" s="36"/>
      <c r="B30" s="36"/>
      <c r="C30" s="36"/>
      <c r="D30" s="36"/>
      <c r="E30" s="36"/>
      <c r="F30" s="92" t="str">
        <f>Expenditure!F150</f>
        <v>HV/LV (CDCM)</v>
      </c>
      <c r="G30" s="92" t="str">
        <f>Expenditure!G150</f>
        <v>£ per year</v>
      </c>
      <c r="H30" s="101"/>
      <c r="I30" s="101"/>
      <c r="J30" s="119">
        <f>Expenditure!J150</f>
        <v>0</v>
      </c>
      <c r="K30" s="119">
        <f>Expenditure!K150</f>
        <v>7800000</v>
      </c>
      <c r="L30" s="119">
        <f>Expenditure!L150</f>
        <v>545818.44228341605</v>
      </c>
      <c r="M30" s="119">
        <f>Expenditure!M150</f>
        <v>648859.57516820438</v>
      </c>
      <c r="N30" s="119">
        <f>Expenditure!N150</f>
        <v>3477974.0631833454</v>
      </c>
      <c r="O30" s="119">
        <f>Expenditure!O150</f>
        <v>0</v>
      </c>
      <c r="P30" s="119">
        <f>Expenditure!P150</f>
        <v>14177.102396971844</v>
      </c>
      <c r="Q30" s="119">
        <f>Expenditure!Q150</f>
        <v>212656.53595457767</v>
      </c>
      <c r="R30" s="119">
        <f>Expenditure!R150</f>
        <v>482021.4814970427</v>
      </c>
      <c r="S30" s="119">
        <f>Expenditure!S150</f>
        <v>1396444.5861017266</v>
      </c>
      <c r="T30" s="119">
        <f>Expenditure!T150</f>
        <v>184302.33116063397</v>
      </c>
      <c r="U30" s="119">
        <f>Expenditure!U150</f>
        <v>63796.960786373296</v>
      </c>
      <c r="V30" s="119">
        <f>Expenditure!V150</f>
        <v>177213.77996214805</v>
      </c>
      <c r="W30" s="119">
        <f>Expenditure!W150</f>
        <v>106328.26797728884</v>
      </c>
      <c r="X30" s="119">
        <f>Expenditure!X150</f>
        <v>843537.59261982469</v>
      </c>
      <c r="Y30" s="119">
        <f>Expenditure!Y150</f>
        <v>0</v>
      </c>
      <c r="Z30" s="119">
        <f>Expenditure!Z150</f>
        <v>0</v>
      </c>
      <c r="AA30" s="119">
        <f>Expenditure!AA150</f>
        <v>226833.63835154951</v>
      </c>
      <c r="AB30" s="119">
        <f>Expenditure!AB150</f>
        <v>127593.92157274659</v>
      </c>
      <c r="AC30" s="119">
        <f>Expenditure!AC150</f>
        <v>652146.71026070486</v>
      </c>
      <c r="AD30" s="119">
        <f>Expenditure!AD150</f>
        <v>163036.67756517621</v>
      </c>
      <c r="AE30" s="119">
        <f>Expenditure!AE150</f>
        <v>0</v>
      </c>
      <c r="AF30" s="119">
        <f>Expenditure!AF150</f>
        <v>0</v>
      </c>
      <c r="AG30" s="119">
        <f>Expenditure!AG150</f>
        <v>0</v>
      </c>
      <c r="AH30" s="119">
        <f>Expenditure!AH150</f>
        <v>0</v>
      </c>
      <c r="AI30" s="119">
        <f>Expenditure!AI150</f>
        <v>0</v>
      </c>
      <c r="AJ30" s="119">
        <f>Expenditure!AJ150</f>
        <v>0</v>
      </c>
      <c r="AK30" s="119">
        <f>Expenditure!AK150</f>
        <v>0</v>
      </c>
      <c r="AL30" s="119">
        <f>Expenditure!AL150</f>
        <v>0</v>
      </c>
      <c r="AM30" s="119">
        <f>Expenditure!AM150</f>
        <v>0</v>
      </c>
      <c r="AN30" s="119">
        <f>Expenditure!AN150</f>
        <v>0</v>
      </c>
      <c r="AO30" s="119">
        <f>Expenditure!AO150</f>
        <v>0</v>
      </c>
      <c r="AP30" s="119">
        <f>Expenditure!AP150</f>
        <v>0</v>
      </c>
      <c r="AQ30" s="119">
        <f>Expenditure!AQ150</f>
        <v>0</v>
      </c>
      <c r="AR30" s="119">
        <f>Expenditure!AR150</f>
        <v>0</v>
      </c>
      <c r="AS30" s="58"/>
      <c r="AT30" s="36"/>
    </row>
    <row r="31" spans="1:46" x14ac:dyDescent="0.35">
      <c r="A31" s="36"/>
      <c r="B31" s="36"/>
      <c r="C31" s="36"/>
      <c r="D31" s="36"/>
      <c r="E31" s="36"/>
      <c r="F31" s="92" t="str">
        <f>Expenditure!F151</f>
        <v>HV (CDCM)</v>
      </c>
      <c r="G31" s="92" t="str">
        <f>Expenditure!G151</f>
        <v>£ per year</v>
      </c>
      <c r="H31" s="101"/>
      <c r="I31" s="101"/>
      <c r="J31" s="119">
        <f>Expenditure!J151</f>
        <v>17380000.000000004</v>
      </c>
      <c r="K31" s="119">
        <f>Expenditure!K151</f>
        <v>10800000</v>
      </c>
      <c r="L31" s="119">
        <f>Expenditure!L151</f>
        <v>1637533.1366131906</v>
      </c>
      <c r="M31" s="119">
        <f>Expenditure!M151</f>
        <v>6546599.9463490518</v>
      </c>
      <c r="N31" s="119">
        <f>Expenditure!N151</f>
        <v>1133933.3052304557</v>
      </c>
      <c r="O31" s="119">
        <f>Expenditure!O151</f>
        <v>2900000</v>
      </c>
      <c r="P31" s="119">
        <f>Expenditure!P151</f>
        <v>42533.328223719232</v>
      </c>
      <c r="Q31" s="119">
        <f>Expenditure!Q151</f>
        <v>637999.92335578857</v>
      </c>
      <c r="R31" s="119">
        <f>Expenditure!R151</f>
        <v>1446133.159606454</v>
      </c>
      <c r="S31" s="119">
        <f>Expenditure!S151</f>
        <v>4189532.8300363449</v>
      </c>
      <c r="T31" s="119">
        <f>Expenditure!T151</f>
        <v>552933.26690835005</v>
      </c>
      <c r="U31" s="119">
        <f>Expenditure!U151</f>
        <v>191399.97700673656</v>
      </c>
      <c r="V31" s="119">
        <f>Expenditure!V151</f>
        <v>531666.60279649042</v>
      </c>
      <c r="W31" s="119">
        <f>Expenditure!W151</f>
        <v>318999.96167789429</v>
      </c>
      <c r="X31" s="119">
        <f>Expenditure!X151</f>
        <v>2530733.0293112947</v>
      </c>
      <c r="Y31" s="119">
        <f>Expenditure!Y151</f>
        <v>0</v>
      </c>
      <c r="Z31" s="119">
        <f>Expenditure!Z151</f>
        <v>0</v>
      </c>
      <c r="AA31" s="119">
        <f>Expenditure!AA151</f>
        <v>680533.25157950772</v>
      </c>
      <c r="AB31" s="119">
        <f>Expenditure!AB151</f>
        <v>382799.95401347312</v>
      </c>
      <c r="AC31" s="119">
        <f>Expenditure!AC151</f>
        <v>1956533.0982910849</v>
      </c>
      <c r="AD31" s="119">
        <f>Expenditure!AD151</f>
        <v>489133.27457277122</v>
      </c>
      <c r="AE31" s="119">
        <f>Expenditure!AE151</f>
        <v>0</v>
      </c>
      <c r="AF31" s="119">
        <f>Expenditure!AF151</f>
        <v>0</v>
      </c>
      <c r="AG31" s="119">
        <f>Expenditure!AG151</f>
        <v>0</v>
      </c>
      <c r="AH31" s="119">
        <f>Expenditure!AH151</f>
        <v>0</v>
      </c>
      <c r="AI31" s="119">
        <f>Expenditure!AI151</f>
        <v>0</v>
      </c>
      <c r="AJ31" s="119">
        <f>Expenditure!AJ151</f>
        <v>0</v>
      </c>
      <c r="AK31" s="119">
        <f>Expenditure!AK151</f>
        <v>0</v>
      </c>
      <c r="AL31" s="119">
        <f>Expenditure!AL151</f>
        <v>0</v>
      </c>
      <c r="AM31" s="119">
        <f>Expenditure!AM151</f>
        <v>0</v>
      </c>
      <c r="AN31" s="119">
        <f>Expenditure!AN151</f>
        <v>0</v>
      </c>
      <c r="AO31" s="119">
        <f>Expenditure!AO151</f>
        <v>0</v>
      </c>
      <c r="AP31" s="119">
        <f>Expenditure!AP151</f>
        <v>0</v>
      </c>
      <c r="AQ31" s="119">
        <f>Expenditure!AQ151</f>
        <v>0</v>
      </c>
      <c r="AR31" s="119">
        <f>Expenditure!AR151</f>
        <v>0</v>
      </c>
      <c r="AS31" s="58"/>
      <c r="AT31" s="36"/>
    </row>
    <row r="32" spans="1:46" x14ac:dyDescent="0.35">
      <c r="A32" s="36"/>
      <c r="B32" s="36"/>
      <c r="C32" s="36"/>
      <c r="D32" s="36"/>
      <c r="E32" s="36"/>
      <c r="F32" s="94" t="str">
        <f>Expenditure!F152</f>
        <v>EHV and 132kV (CDCM)</v>
      </c>
      <c r="G32" s="94" t="str">
        <f>Expenditure!G152</f>
        <v>£ per year</v>
      </c>
      <c r="H32" s="115"/>
      <c r="I32" s="115"/>
      <c r="J32" s="124">
        <f>Expenditure!J152</f>
        <v>37080000</v>
      </c>
      <c r="K32" s="124">
        <f>Expenditure!K152</f>
        <v>13299999.999999998</v>
      </c>
      <c r="L32" s="124">
        <f>Expenditure!L152</f>
        <v>1190474.172365505</v>
      </c>
      <c r="M32" s="124">
        <f>Expenditure!M152</f>
        <v>1224674.7742815013</v>
      </c>
      <c r="N32" s="124">
        <f>Expenditure!N152</f>
        <v>4970067.7389093582</v>
      </c>
      <c r="O32" s="124">
        <f>Expenditure!O152</f>
        <v>1200000</v>
      </c>
      <c r="P32" s="124">
        <f>Expenditure!P152</f>
        <v>30921.407074428702</v>
      </c>
      <c r="Q32" s="124">
        <f>Expenditure!Q152</f>
        <v>463821.10611643054</v>
      </c>
      <c r="R32" s="124">
        <f>Expenditure!R152</f>
        <v>1051327.840530576</v>
      </c>
      <c r="S32" s="124">
        <f>Expenditure!S152</f>
        <v>3045758.5968312272</v>
      </c>
      <c r="T32" s="124">
        <f>Expenditure!T152</f>
        <v>401978.29196757311</v>
      </c>
      <c r="U32" s="124">
        <f>Expenditure!U152</f>
        <v>139146.33183492915</v>
      </c>
      <c r="V32" s="124">
        <f>Expenditure!V152</f>
        <v>386517.5884303588</v>
      </c>
      <c r="W32" s="124">
        <f>Expenditure!W152</f>
        <v>231910.55305821527</v>
      </c>
      <c r="X32" s="124">
        <f>Expenditure!X152</f>
        <v>1839823.7209285079</v>
      </c>
      <c r="Y32" s="124">
        <f>Expenditure!Y152</f>
        <v>0</v>
      </c>
      <c r="Z32" s="124">
        <f>Expenditure!Z152</f>
        <v>0</v>
      </c>
      <c r="AA32" s="124">
        <f>Expenditure!AA152</f>
        <v>494742.51319085923</v>
      </c>
      <c r="AB32" s="124">
        <f>Expenditure!AB152</f>
        <v>278292.6636698583</v>
      </c>
      <c r="AC32" s="124">
        <f>Expenditure!AC152</f>
        <v>1422384.7254237204</v>
      </c>
      <c r="AD32" s="124">
        <f>Expenditure!AD152</f>
        <v>355596.18135593011</v>
      </c>
      <c r="AE32" s="124">
        <f>Expenditure!AE152</f>
        <v>0</v>
      </c>
      <c r="AF32" s="124">
        <f>Expenditure!AF152</f>
        <v>0</v>
      </c>
      <c r="AG32" s="124">
        <f>Expenditure!AG152</f>
        <v>0</v>
      </c>
      <c r="AH32" s="124">
        <f>Expenditure!AH152</f>
        <v>0</v>
      </c>
      <c r="AI32" s="124">
        <f>Expenditure!AI152</f>
        <v>0</v>
      </c>
      <c r="AJ32" s="124">
        <f>Expenditure!AJ152</f>
        <v>0</v>
      </c>
      <c r="AK32" s="124">
        <f>Expenditure!AK152</f>
        <v>0</v>
      </c>
      <c r="AL32" s="124">
        <f>Expenditure!AL152</f>
        <v>0</v>
      </c>
      <c r="AM32" s="124">
        <f>Expenditure!AM152</f>
        <v>0</v>
      </c>
      <c r="AN32" s="124">
        <f>Expenditure!AN152</f>
        <v>0</v>
      </c>
      <c r="AO32" s="124">
        <f>Expenditure!AO152</f>
        <v>0</v>
      </c>
      <c r="AP32" s="124">
        <f>Expenditure!AP152</f>
        <v>0</v>
      </c>
      <c r="AQ32" s="124">
        <f>Expenditure!AQ152</f>
        <v>0</v>
      </c>
      <c r="AR32" s="124">
        <f>Expenditure!AR152</f>
        <v>0</v>
      </c>
      <c r="AS32" s="58"/>
      <c r="AT32" s="36"/>
    </row>
    <row r="33" spans="1:46" x14ac:dyDescent="0.35">
      <c r="A33" s="36"/>
      <c r="B33" s="36"/>
      <c r="C33" s="36"/>
      <c r="D33" s="36"/>
      <c r="E33" s="36"/>
      <c r="F33" s="36"/>
      <c r="G33" s="36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36"/>
    </row>
    <row r="34" spans="1:46" x14ac:dyDescent="0.35">
      <c r="A34" s="36"/>
      <c r="B34" s="36"/>
      <c r="C34" s="87" t="s">
        <v>595</v>
      </c>
      <c r="D34" s="87"/>
      <c r="E34" s="87"/>
      <c r="F34" s="87"/>
      <c r="G34" s="87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7"/>
    </row>
    <row r="35" spans="1:46" x14ac:dyDescent="0.35">
      <c r="A35" s="36"/>
      <c r="B35" s="36"/>
      <c r="C35" s="86"/>
      <c r="D35" s="86"/>
      <c r="E35" s="36"/>
      <c r="F35" s="36"/>
      <c r="G35" s="36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36"/>
    </row>
    <row r="36" spans="1:46" x14ac:dyDescent="0.35">
      <c r="A36" s="36"/>
      <c r="B36" s="36"/>
      <c r="C36" s="36"/>
      <c r="D36" s="86"/>
      <c r="E36" s="92" t="s">
        <v>596</v>
      </c>
      <c r="F36" s="36"/>
      <c r="G36" s="92" t="s">
        <v>119</v>
      </c>
      <c r="H36" s="106"/>
      <c r="I36" s="106"/>
      <c r="J36" s="130">
        <f t="array" ref="J36:AR36">TRANSPOSE('Fixed inputs'!H96:H130)</f>
        <v>1</v>
      </c>
      <c r="K36" s="130">
        <v>1</v>
      </c>
      <c r="L36" s="130">
        <v>0.23499999999999999</v>
      </c>
      <c r="M36" s="130">
        <v>0.23499999999999999</v>
      </c>
      <c r="N36" s="130">
        <v>0.23499999999999999</v>
      </c>
      <c r="O36" s="130">
        <v>0.23499999999999999</v>
      </c>
      <c r="P36" s="130">
        <v>0.52569999999999995</v>
      </c>
      <c r="Q36" s="130">
        <v>0.52569999999999995</v>
      </c>
      <c r="R36" s="130">
        <v>0.52569999999999995</v>
      </c>
      <c r="S36" s="130">
        <v>0.52569999999999995</v>
      </c>
      <c r="T36" s="130">
        <v>0.52569999999999995</v>
      </c>
      <c r="U36" s="130">
        <v>0.52569999999999995</v>
      </c>
      <c r="V36" s="130">
        <v>0.52569999999999995</v>
      </c>
      <c r="W36" s="130">
        <v>0.52569999999999995</v>
      </c>
      <c r="X36" s="130">
        <v>0.52569999999999995</v>
      </c>
      <c r="Y36" s="130">
        <v>0.52569999999999995</v>
      </c>
      <c r="Z36" s="130">
        <v>0.52569999999999995</v>
      </c>
      <c r="AA36" s="130">
        <v>0.52569999999999995</v>
      </c>
      <c r="AB36" s="130">
        <v>0.52569999999999995</v>
      </c>
      <c r="AC36" s="130">
        <v>0.52569999999999995</v>
      </c>
      <c r="AD36" s="130">
        <v>0.52569999999999995</v>
      </c>
      <c r="AE36" s="130">
        <v>0</v>
      </c>
      <c r="AF36" s="130">
        <v>0.57699999999999996</v>
      </c>
      <c r="AG36" s="130">
        <v>0</v>
      </c>
      <c r="AH36" s="130">
        <v>0</v>
      </c>
      <c r="AI36" s="130">
        <v>0</v>
      </c>
      <c r="AJ36" s="130">
        <v>0</v>
      </c>
      <c r="AK36" s="130">
        <v>0</v>
      </c>
      <c r="AL36" s="130">
        <v>0</v>
      </c>
      <c r="AM36" s="130">
        <v>0</v>
      </c>
      <c r="AN36" s="130">
        <v>0</v>
      </c>
      <c r="AO36" s="130">
        <v>0</v>
      </c>
      <c r="AP36" s="130">
        <v>0</v>
      </c>
      <c r="AQ36" s="130">
        <v>0</v>
      </c>
      <c r="AR36" s="130">
        <v>0</v>
      </c>
      <c r="AS36" s="58"/>
      <c r="AT36" s="36"/>
    </row>
    <row r="37" spans="1:46" x14ac:dyDescent="0.35">
      <c r="A37" s="36"/>
      <c r="B37" s="36"/>
      <c r="C37" s="36"/>
      <c r="D37" s="36"/>
      <c r="E37" s="86"/>
      <c r="F37" s="36"/>
      <c r="G37" s="36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36"/>
    </row>
    <row r="38" spans="1:46" x14ac:dyDescent="0.35">
      <c r="A38" s="92"/>
      <c r="B38" s="36"/>
      <c r="C38" s="36"/>
      <c r="D38" s="36"/>
      <c r="E38" s="92" t="s">
        <v>597</v>
      </c>
      <c r="F38" s="36"/>
      <c r="G38" s="92" t="s">
        <v>119</v>
      </c>
      <c r="H38" s="106"/>
      <c r="I38" s="102" t="s">
        <v>120</v>
      </c>
      <c r="J38" s="106">
        <f t="shared" ref="J38:AQ38" si="0">1 - J36</f>
        <v>0</v>
      </c>
      <c r="K38" s="106">
        <f t="shared" si="0"/>
        <v>0</v>
      </c>
      <c r="L38" s="106">
        <f t="shared" si="0"/>
        <v>0.76500000000000001</v>
      </c>
      <c r="M38" s="106">
        <f t="shared" si="0"/>
        <v>0.76500000000000001</v>
      </c>
      <c r="N38" s="106">
        <f t="shared" si="0"/>
        <v>0.76500000000000001</v>
      </c>
      <c r="O38" s="106">
        <f t="shared" si="0"/>
        <v>0.76500000000000001</v>
      </c>
      <c r="P38" s="106">
        <f t="shared" si="0"/>
        <v>0.47430000000000005</v>
      </c>
      <c r="Q38" s="106">
        <f t="shared" si="0"/>
        <v>0.47430000000000005</v>
      </c>
      <c r="R38" s="106">
        <f t="shared" si="0"/>
        <v>0.47430000000000005</v>
      </c>
      <c r="S38" s="106">
        <f t="shared" si="0"/>
        <v>0.47430000000000005</v>
      </c>
      <c r="T38" s="106">
        <f t="shared" si="0"/>
        <v>0.47430000000000005</v>
      </c>
      <c r="U38" s="106">
        <f t="shared" si="0"/>
        <v>0.47430000000000005</v>
      </c>
      <c r="V38" s="106">
        <f t="shared" si="0"/>
        <v>0.47430000000000005</v>
      </c>
      <c r="W38" s="106">
        <f t="shared" si="0"/>
        <v>0.47430000000000005</v>
      </c>
      <c r="X38" s="106">
        <f t="shared" si="0"/>
        <v>0.47430000000000005</v>
      </c>
      <c r="Y38" s="106">
        <f t="shared" si="0"/>
        <v>0.47430000000000005</v>
      </c>
      <c r="Z38" s="106">
        <f t="shared" si="0"/>
        <v>0.47430000000000005</v>
      </c>
      <c r="AA38" s="106">
        <f t="shared" si="0"/>
        <v>0.47430000000000005</v>
      </c>
      <c r="AB38" s="106">
        <f t="shared" si="0"/>
        <v>0.47430000000000005</v>
      </c>
      <c r="AC38" s="106">
        <f t="shared" si="0"/>
        <v>0.47430000000000005</v>
      </c>
      <c r="AD38" s="106">
        <f t="shared" si="0"/>
        <v>0.47430000000000005</v>
      </c>
      <c r="AE38" s="106">
        <f t="shared" si="0"/>
        <v>1</v>
      </c>
      <c r="AF38" s="106">
        <f t="shared" si="0"/>
        <v>0.42300000000000004</v>
      </c>
      <c r="AG38" s="106">
        <f t="shared" si="0"/>
        <v>1</v>
      </c>
      <c r="AH38" s="106">
        <f t="shared" si="0"/>
        <v>1</v>
      </c>
      <c r="AI38" s="106">
        <f t="shared" si="0"/>
        <v>1</v>
      </c>
      <c r="AJ38" s="106">
        <f t="shared" si="0"/>
        <v>1</v>
      </c>
      <c r="AK38" s="106">
        <f t="shared" si="0"/>
        <v>1</v>
      </c>
      <c r="AL38" s="106">
        <f t="shared" si="0"/>
        <v>1</v>
      </c>
      <c r="AM38" s="106">
        <f t="shared" si="0"/>
        <v>1</v>
      </c>
      <c r="AN38" s="106">
        <f t="shared" si="0"/>
        <v>1</v>
      </c>
      <c r="AO38" s="106">
        <f t="shared" si="0"/>
        <v>1</v>
      </c>
      <c r="AP38" s="106">
        <f t="shared" ref="AP38" si="1">1 - AP36</f>
        <v>1</v>
      </c>
      <c r="AQ38" s="106">
        <f t="shared" si="0"/>
        <v>1</v>
      </c>
      <c r="AR38" s="106">
        <f t="shared" ref="AR38" si="2">1 - AR36</f>
        <v>1</v>
      </c>
      <c r="AS38" s="58"/>
      <c r="AT38" s="92" t="s">
        <v>598</v>
      </c>
    </row>
    <row r="39" spans="1:46" x14ac:dyDescent="0.35">
      <c r="A39" s="36"/>
      <c r="B39" s="36"/>
      <c r="C39" s="36"/>
      <c r="D39" s="36"/>
      <c r="E39" s="86"/>
      <c r="F39" s="36"/>
      <c r="G39" s="36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36"/>
    </row>
    <row r="40" spans="1:46" x14ac:dyDescent="0.35">
      <c r="A40" s="36"/>
      <c r="B40" s="36"/>
      <c r="C40" s="87" t="s">
        <v>599</v>
      </c>
      <c r="D40" s="87"/>
      <c r="E40" s="87"/>
      <c r="F40" s="87"/>
      <c r="G40" s="87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7"/>
    </row>
    <row r="41" spans="1:46" x14ac:dyDescent="0.35">
      <c r="A41" s="36"/>
      <c r="B41" s="36"/>
      <c r="C41" s="86"/>
      <c r="D41" s="86"/>
      <c r="E41" s="36"/>
      <c r="F41" s="36"/>
      <c r="G41" s="36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36"/>
    </row>
    <row r="42" spans="1:46" x14ac:dyDescent="0.35">
      <c r="A42" s="92"/>
      <c r="B42" s="36"/>
      <c r="C42" s="36"/>
      <c r="D42" s="86"/>
      <c r="E42" s="89" t="s">
        <v>600</v>
      </c>
      <c r="F42" s="36"/>
      <c r="G42" s="36"/>
      <c r="H42" s="58"/>
      <c r="I42" s="103" t="s">
        <v>120</v>
      </c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92" t="s">
        <v>598</v>
      </c>
    </row>
    <row r="43" spans="1:46" x14ac:dyDescent="0.35">
      <c r="A43" s="36"/>
      <c r="B43" s="36"/>
      <c r="C43" s="36"/>
      <c r="D43" s="36"/>
      <c r="E43" s="36"/>
      <c r="F43" s="90" t="s">
        <v>575</v>
      </c>
      <c r="G43" s="90" t="str">
        <f>Expenditure!G$19</f>
        <v>£ per year</v>
      </c>
      <c r="H43" s="114">
        <f>SUMPRODUCT(J21:AR21, J$38:AR$38)</f>
        <v>23593174.979064547</v>
      </c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1"/>
      <c r="AO43" s="101"/>
      <c r="AP43" s="101"/>
      <c r="AQ43" s="101"/>
      <c r="AR43" s="101"/>
      <c r="AS43" s="58"/>
      <c r="AT43" s="36"/>
    </row>
    <row r="44" spans="1:46" x14ac:dyDescent="0.35">
      <c r="A44" s="36"/>
      <c r="B44" s="36"/>
      <c r="C44" s="36"/>
      <c r="D44" s="36"/>
      <c r="E44" s="36"/>
      <c r="F44" s="92" t="s">
        <v>576</v>
      </c>
      <c r="G44" s="92" t="str">
        <f>Expenditure!G$19</f>
        <v>£ per year</v>
      </c>
      <c r="H44" s="101">
        <f t="shared" ref="H44:H47" si="3">SUMPRODUCT(J22:AR22, J$38:AR$38)</f>
        <v>18320850.961445548</v>
      </c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101"/>
      <c r="AQ44" s="101"/>
      <c r="AR44" s="101"/>
      <c r="AS44" s="58"/>
      <c r="AT44" s="36"/>
    </row>
    <row r="45" spans="1:46" x14ac:dyDescent="0.35">
      <c r="A45" s="36"/>
      <c r="B45" s="36"/>
      <c r="C45" s="36"/>
      <c r="D45" s="36"/>
      <c r="E45" s="36"/>
      <c r="F45" s="92" t="s">
        <v>577</v>
      </c>
      <c r="G45" s="92" t="str">
        <f>Expenditure!G$19</f>
        <v>£ per year</v>
      </c>
      <c r="H45" s="101">
        <f t="shared" si="3"/>
        <v>5688900.755344877</v>
      </c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101"/>
      <c r="AQ45" s="101"/>
      <c r="AR45" s="101"/>
      <c r="AS45" s="58"/>
      <c r="AT45" s="36"/>
    </row>
    <row r="46" spans="1:46" x14ac:dyDescent="0.35">
      <c r="A46" s="36"/>
      <c r="B46" s="36"/>
      <c r="C46" s="36"/>
      <c r="D46" s="36"/>
      <c r="E46" s="36"/>
      <c r="F46" s="92" t="s">
        <v>578</v>
      </c>
      <c r="G46" s="92" t="str">
        <f>Expenditure!G$19</f>
        <v>£ per year</v>
      </c>
      <c r="H46" s="101">
        <f t="shared" si="3"/>
        <v>15690087.937487133</v>
      </c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  <c r="AN46" s="101"/>
      <c r="AO46" s="101"/>
      <c r="AP46" s="101"/>
      <c r="AQ46" s="101"/>
      <c r="AR46" s="101"/>
      <c r="AS46" s="58"/>
      <c r="AT46" s="36"/>
    </row>
    <row r="47" spans="1:46" x14ac:dyDescent="0.35">
      <c r="A47" s="36"/>
      <c r="B47" s="36"/>
      <c r="C47" s="36"/>
      <c r="D47" s="36"/>
      <c r="E47" s="36"/>
      <c r="F47" s="94" t="s">
        <v>579</v>
      </c>
      <c r="G47" s="94" t="str">
        <f>Expenditure!G$19</f>
        <v>£ per year</v>
      </c>
      <c r="H47" s="115">
        <f t="shared" si="3"/>
        <v>12465999.294143412</v>
      </c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1"/>
      <c r="AP47" s="101"/>
      <c r="AQ47" s="101"/>
      <c r="AR47" s="101"/>
      <c r="AS47" s="58"/>
      <c r="AT47" s="36"/>
    </row>
    <row r="48" spans="1:46" x14ac:dyDescent="0.35">
      <c r="A48" s="36"/>
      <c r="B48" s="36"/>
      <c r="C48" s="36"/>
      <c r="D48" s="36"/>
      <c r="E48" s="36"/>
      <c r="F48" s="36"/>
      <c r="G48" s="36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36"/>
    </row>
    <row r="49" spans="1:46" x14ac:dyDescent="0.35">
      <c r="A49" s="92"/>
      <c r="B49" s="36"/>
      <c r="C49" s="36"/>
      <c r="D49" s="36"/>
      <c r="E49" s="92" t="s">
        <v>601</v>
      </c>
      <c r="F49" s="36"/>
      <c r="G49" s="92" t="str">
        <f>Expenditure!G$19</f>
        <v>£ per year</v>
      </c>
      <c r="H49" s="101">
        <f>SUM(H43:H47)</f>
        <v>75759013.927485511</v>
      </c>
      <c r="I49" s="112" t="s">
        <v>120</v>
      </c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101"/>
      <c r="AQ49" s="101"/>
      <c r="AR49" s="101"/>
      <c r="AS49" s="58"/>
      <c r="AT49" s="92" t="s">
        <v>602</v>
      </c>
    </row>
    <row r="50" spans="1:46" x14ac:dyDescent="0.35">
      <c r="A50" s="36"/>
      <c r="B50" s="36"/>
      <c r="C50" s="36"/>
      <c r="D50" s="36"/>
      <c r="E50" s="92" t="s">
        <v>603</v>
      </c>
      <c r="F50" s="36"/>
      <c r="G50" s="92" t="s">
        <v>502</v>
      </c>
      <c r="H50" s="101" t="b">
        <f>H49 &gt; 0</f>
        <v>1</v>
      </c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101"/>
      <c r="AQ50" s="101"/>
      <c r="AR50" s="101"/>
      <c r="AS50" s="58"/>
      <c r="AT50" s="36"/>
    </row>
    <row r="51" spans="1:46" x14ac:dyDescent="0.35">
      <c r="A51" s="36"/>
      <c r="B51" s="36"/>
      <c r="C51" s="36"/>
      <c r="D51" s="36"/>
      <c r="E51" s="86"/>
      <c r="F51" s="36"/>
      <c r="G51" s="36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36"/>
    </row>
    <row r="52" spans="1:46" x14ac:dyDescent="0.35">
      <c r="A52" s="92"/>
      <c r="B52" s="36"/>
      <c r="C52" s="36"/>
      <c r="D52" s="36"/>
      <c r="E52" s="89" t="s">
        <v>604</v>
      </c>
      <c r="F52" s="36"/>
      <c r="G52" s="36"/>
      <c r="H52" s="58"/>
      <c r="I52" s="103" t="s">
        <v>120</v>
      </c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92" t="s">
        <v>598</v>
      </c>
    </row>
    <row r="53" spans="1:46" x14ac:dyDescent="0.35">
      <c r="A53" s="36"/>
      <c r="B53" s="36"/>
      <c r="C53" s="36"/>
      <c r="D53" s="36"/>
      <c r="E53" s="36"/>
      <c r="F53" s="90" t="s">
        <v>581</v>
      </c>
      <c r="G53" s="90" t="str">
        <f>Expenditure!G$19</f>
        <v>£ per year</v>
      </c>
      <c r="H53" s="114">
        <f>SUMPRODUCT(J28:AR28, J$38:AR$38)</f>
        <v>23948777.302043375</v>
      </c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1"/>
      <c r="AP53" s="101"/>
      <c r="AQ53" s="101"/>
      <c r="AR53" s="101"/>
      <c r="AS53" s="58"/>
      <c r="AT53" s="36"/>
    </row>
    <row r="54" spans="1:46" x14ac:dyDescent="0.35">
      <c r="A54" s="36"/>
      <c r="B54" s="36"/>
      <c r="C54" s="36"/>
      <c r="D54" s="36"/>
      <c r="E54" s="36"/>
      <c r="F54" s="92" t="s">
        <v>582</v>
      </c>
      <c r="G54" s="92" t="str">
        <f>Expenditure!G$19</f>
        <v>£ per year</v>
      </c>
      <c r="H54" s="101">
        <f t="shared" ref="H54:H57" si="4">SUMPRODUCT(J29:AR29, J$38:AR$38)</f>
        <v>18688226.189373489</v>
      </c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101"/>
      <c r="AQ54" s="101"/>
      <c r="AR54" s="101"/>
      <c r="AS54" s="58"/>
      <c r="AT54" s="36"/>
    </row>
    <row r="55" spans="1:46" x14ac:dyDescent="0.35">
      <c r="A55" s="36"/>
      <c r="B55" s="36"/>
      <c r="C55" s="36"/>
      <c r="D55" s="36"/>
      <c r="E55" s="36"/>
      <c r="F55" s="92" t="s">
        <v>583</v>
      </c>
      <c r="G55" s="92" t="str">
        <f>Expenditure!G$19</f>
        <v>£ per year</v>
      </c>
      <c r="H55" s="101">
        <f t="shared" si="4"/>
        <v>5780116.3324236181</v>
      </c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101"/>
      <c r="AQ55" s="101"/>
      <c r="AR55" s="101"/>
      <c r="AS55" s="58"/>
      <c r="AT55" s="36"/>
    </row>
    <row r="56" spans="1:46" x14ac:dyDescent="0.35">
      <c r="A56" s="36"/>
      <c r="B56" s="36"/>
      <c r="C56" s="36"/>
      <c r="D56" s="36"/>
      <c r="E56" s="36"/>
      <c r="F56" s="92" t="s">
        <v>584</v>
      </c>
      <c r="G56" s="92" t="str">
        <f>Expenditure!G$19</f>
        <v>£ per year</v>
      </c>
      <c r="H56" s="101">
        <f t="shared" si="4"/>
        <v>15963747.672062706</v>
      </c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101"/>
      <c r="AQ56" s="101"/>
      <c r="AR56" s="101"/>
      <c r="AS56" s="58"/>
      <c r="AT56" s="36"/>
    </row>
    <row r="57" spans="1:46" x14ac:dyDescent="0.35">
      <c r="A57" s="36"/>
      <c r="B57" s="36"/>
      <c r="C57" s="36"/>
      <c r="D57" s="36"/>
      <c r="E57" s="36"/>
      <c r="F57" s="94" t="s">
        <v>585</v>
      </c>
      <c r="G57" s="94" t="str">
        <f>Expenditure!G$19</f>
        <v>£ per year</v>
      </c>
      <c r="H57" s="115">
        <f t="shared" si="4"/>
        <v>11378146.431582322</v>
      </c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1"/>
      <c r="AP57" s="101"/>
      <c r="AQ57" s="101"/>
      <c r="AR57" s="101"/>
      <c r="AS57" s="58"/>
      <c r="AT57" s="36"/>
    </row>
    <row r="58" spans="1:46" x14ac:dyDescent="0.35">
      <c r="A58" s="36"/>
      <c r="B58" s="36"/>
      <c r="C58" s="36"/>
      <c r="D58" s="36"/>
      <c r="E58" s="36"/>
      <c r="F58" s="36"/>
      <c r="G58" s="36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36"/>
    </row>
    <row r="59" spans="1:46" x14ac:dyDescent="0.35">
      <c r="A59" s="92"/>
      <c r="B59" s="36"/>
      <c r="C59" s="36"/>
      <c r="D59" s="36"/>
      <c r="E59" s="92" t="s">
        <v>605</v>
      </c>
      <c r="F59" s="36"/>
      <c r="G59" s="92" t="str">
        <f>Expenditure!G$19</f>
        <v>£ per year</v>
      </c>
      <c r="H59" s="101">
        <f>SUM(H53:H57)</f>
        <v>75759013.927485511</v>
      </c>
      <c r="I59" s="112" t="s">
        <v>120</v>
      </c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58"/>
      <c r="AT59" s="92" t="s">
        <v>602</v>
      </c>
    </row>
    <row r="60" spans="1:46" x14ac:dyDescent="0.35">
      <c r="A60" s="36"/>
      <c r="B60" s="36"/>
      <c r="C60" s="36"/>
      <c r="D60" s="36"/>
      <c r="E60" s="92" t="s">
        <v>606</v>
      </c>
      <c r="F60" s="36"/>
      <c r="G60" s="92" t="s">
        <v>502</v>
      </c>
      <c r="H60" s="101" t="b">
        <f>H59 &gt; 0</f>
        <v>1</v>
      </c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1"/>
      <c r="AP60" s="101"/>
      <c r="AQ60" s="101"/>
      <c r="AR60" s="101"/>
      <c r="AS60" s="58"/>
      <c r="AT60" s="36"/>
    </row>
    <row r="61" spans="1:46" x14ac:dyDescent="0.35">
      <c r="A61" s="36"/>
      <c r="B61" s="36"/>
      <c r="C61" s="36"/>
      <c r="D61" s="36"/>
      <c r="E61" s="86"/>
      <c r="F61" s="36"/>
      <c r="G61" s="36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36"/>
    </row>
    <row r="62" spans="1:46" x14ac:dyDescent="0.35">
      <c r="A62" s="36"/>
      <c r="B62" s="36"/>
      <c r="C62" s="36"/>
      <c r="D62" s="36"/>
      <c r="E62" s="92" t="s">
        <v>607</v>
      </c>
      <c r="F62" s="36"/>
      <c r="G62" s="92" t="str">
        <f>Expenditure!G$19</f>
        <v>£ per year</v>
      </c>
      <c r="H62" s="101">
        <f>ABS(H49 - H59)</f>
        <v>0</v>
      </c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36"/>
    </row>
    <row r="63" spans="1:46" x14ac:dyDescent="0.35">
      <c r="A63" s="36"/>
      <c r="B63" s="36"/>
      <c r="C63" s="36"/>
      <c r="D63" s="36"/>
      <c r="E63" s="92" t="s">
        <v>608</v>
      </c>
      <c r="F63" s="36"/>
      <c r="G63" s="92" t="s">
        <v>73</v>
      </c>
      <c r="H63" s="107">
        <f>IF(ABS(H62) &lt; 10^-'Fixed inputs'!H$410, 0, 1)</f>
        <v>0</v>
      </c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58"/>
      <c r="AT63" s="36"/>
    </row>
    <row r="64" spans="1:46" x14ac:dyDescent="0.35">
      <c r="A64" s="36"/>
      <c r="B64" s="36"/>
      <c r="C64" s="36"/>
      <c r="D64" s="36"/>
      <c r="E64" s="86"/>
      <c r="F64" s="36"/>
      <c r="G64" s="36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36"/>
    </row>
    <row r="65" spans="1:46" x14ac:dyDescent="0.35">
      <c r="A65" s="36"/>
      <c r="B65" s="36"/>
      <c r="C65" s="87" t="s">
        <v>609</v>
      </c>
      <c r="D65" s="87"/>
      <c r="E65" s="87"/>
      <c r="F65" s="87"/>
      <c r="G65" s="87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7"/>
    </row>
    <row r="66" spans="1:46" x14ac:dyDescent="0.35">
      <c r="A66" s="36"/>
      <c r="B66" s="36"/>
      <c r="C66" s="86"/>
      <c r="D66" s="86"/>
      <c r="E66" s="36"/>
      <c r="F66" s="36"/>
      <c r="G66" s="36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36"/>
    </row>
    <row r="67" spans="1:46" x14ac:dyDescent="0.35">
      <c r="A67" s="92"/>
      <c r="B67" s="36"/>
      <c r="C67" s="36"/>
      <c r="D67" s="86"/>
      <c r="E67" s="89" t="s">
        <v>610</v>
      </c>
      <c r="F67" s="36"/>
      <c r="G67" s="36"/>
      <c r="H67" s="58"/>
      <c r="I67" s="103" t="s">
        <v>120</v>
      </c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92" t="s">
        <v>602</v>
      </c>
    </row>
    <row r="68" spans="1:46" x14ac:dyDescent="0.35">
      <c r="A68" s="36"/>
      <c r="B68" s="36"/>
      <c r="C68" s="36"/>
      <c r="D68" s="36"/>
      <c r="E68" s="36"/>
      <c r="F68" s="90" t="s">
        <v>575</v>
      </c>
      <c r="G68" s="90" t="s">
        <v>119</v>
      </c>
      <c r="H68" s="120">
        <f>IF(H$50, H43 / H$49, 0)</f>
        <v>0.3114239976994328</v>
      </c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  <c r="AJ68" s="106"/>
      <c r="AK68" s="106"/>
      <c r="AL68" s="106"/>
      <c r="AM68" s="106"/>
      <c r="AN68" s="106"/>
      <c r="AO68" s="106"/>
      <c r="AP68" s="106"/>
      <c r="AQ68" s="106"/>
      <c r="AR68" s="106"/>
      <c r="AS68" s="58"/>
      <c r="AT68" s="36"/>
    </row>
    <row r="69" spans="1:46" x14ac:dyDescent="0.35">
      <c r="A69" s="36"/>
      <c r="B69" s="36"/>
      <c r="C69" s="36"/>
      <c r="D69" s="36"/>
      <c r="E69" s="36"/>
      <c r="F69" s="92" t="s">
        <v>576</v>
      </c>
      <c r="G69" s="92" t="s">
        <v>119</v>
      </c>
      <c r="H69" s="121">
        <f>IF(H$50, H44 / H$49, 0)</f>
        <v>0.24183064181619066</v>
      </c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  <c r="AS69" s="58"/>
      <c r="AT69" s="36"/>
    </row>
    <row r="70" spans="1:46" x14ac:dyDescent="0.35">
      <c r="A70" s="36"/>
      <c r="B70" s="36"/>
      <c r="C70" s="36"/>
      <c r="D70" s="36"/>
      <c r="E70" s="36"/>
      <c r="F70" s="92" t="s">
        <v>577</v>
      </c>
      <c r="G70" s="92" t="s">
        <v>119</v>
      </c>
      <c r="H70" s="121">
        <f>IF(H$50, H45 / H$49, 0)</f>
        <v>7.5092064434604963E-2</v>
      </c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6"/>
      <c r="Z70" s="106"/>
      <c r="AA70" s="106"/>
      <c r="AB70" s="106"/>
      <c r="AC70" s="106"/>
      <c r="AD70" s="106"/>
      <c r="AE70" s="106"/>
      <c r="AF70" s="106"/>
      <c r="AG70" s="106"/>
      <c r="AH70" s="106"/>
      <c r="AI70" s="106"/>
      <c r="AJ70" s="106"/>
      <c r="AK70" s="106"/>
      <c r="AL70" s="106"/>
      <c r="AM70" s="106"/>
      <c r="AN70" s="106"/>
      <c r="AO70" s="106"/>
      <c r="AP70" s="106"/>
      <c r="AQ70" s="106"/>
      <c r="AR70" s="106"/>
      <c r="AS70" s="58"/>
      <c r="AT70" s="36"/>
    </row>
    <row r="71" spans="1:46" x14ac:dyDescent="0.35">
      <c r="A71" s="36"/>
      <c r="B71" s="36"/>
      <c r="C71" s="36"/>
      <c r="D71" s="36"/>
      <c r="E71" s="36"/>
      <c r="F71" s="92" t="s">
        <v>578</v>
      </c>
      <c r="G71" s="92" t="s">
        <v>119</v>
      </c>
      <c r="H71" s="121">
        <f>IF(H$50, H46 / H$49, 0)</f>
        <v>0.20710522912171564</v>
      </c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6"/>
      <c r="AE71" s="106"/>
      <c r="AF71" s="106"/>
      <c r="AG71" s="106"/>
      <c r="AH71" s="106"/>
      <c r="AI71" s="106"/>
      <c r="AJ71" s="106"/>
      <c r="AK71" s="106"/>
      <c r="AL71" s="106"/>
      <c r="AM71" s="106"/>
      <c r="AN71" s="106"/>
      <c r="AO71" s="106"/>
      <c r="AP71" s="106"/>
      <c r="AQ71" s="106"/>
      <c r="AR71" s="106"/>
      <c r="AS71" s="58"/>
      <c r="AT71" s="36"/>
    </row>
    <row r="72" spans="1:46" x14ac:dyDescent="0.35">
      <c r="A72" s="36"/>
      <c r="B72" s="36"/>
      <c r="C72" s="36"/>
      <c r="D72" s="36"/>
      <c r="E72" s="36"/>
      <c r="F72" s="94" t="s">
        <v>579</v>
      </c>
      <c r="G72" s="94" t="s">
        <v>119</v>
      </c>
      <c r="H72" s="122">
        <f>IF(H$50, H47 / H$49, 0)</f>
        <v>0.16454806692805599</v>
      </c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  <c r="AC72" s="106"/>
      <c r="AD72" s="106"/>
      <c r="AE72" s="106"/>
      <c r="AF72" s="106"/>
      <c r="AG72" s="106"/>
      <c r="AH72" s="106"/>
      <c r="AI72" s="106"/>
      <c r="AJ72" s="106"/>
      <c r="AK72" s="106"/>
      <c r="AL72" s="106"/>
      <c r="AM72" s="106"/>
      <c r="AN72" s="106"/>
      <c r="AO72" s="106"/>
      <c r="AP72" s="106"/>
      <c r="AQ72" s="106"/>
      <c r="AR72" s="106"/>
      <c r="AS72" s="58"/>
      <c r="AT72" s="36"/>
    </row>
    <row r="73" spans="1:46" x14ac:dyDescent="0.35">
      <c r="A73" s="36"/>
      <c r="B73" s="36"/>
      <c r="C73" s="36"/>
      <c r="D73" s="36"/>
      <c r="E73" s="36"/>
      <c r="F73" s="36"/>
      <c r="G73" s="36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36"/>
    </row>
    <row r="74" spans="1:46" x14ac:dyDescent="0.35">
      <c r="A74" s="36"/>
      <c r="B74" s="36"/>
      <c r="C74" s="36"/>
      <c r="D74" s="36"/>
      <c r="E74" s="92" t="s">
        <v>507</v>
      </c>
      <c r="F74" s="36"/>
      <c r="G74" s="92" t="s">
        <v>73</v>
      </c>
      <c r="H74" s="107">
        <f>IF(SUM(H68:H72)= 1, 0, 1)</f>
        <v>0</v>
      </c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58"/>
      <c r="AT74" s="36"/>
    </row>
    <row r="75" spans="1:46" x14ac:dyDescent="0.35">
      <c r="A75" s="36"/>
      <c r="B75" s="36"/>
      <c r="C75" s="36"/>
      <c r="D75" s="36"/>
      <c r="E75" s="86"/>
      <c r="F75" s="36"/>
      <c r="G75" s="36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36"/>
    </row>
    <row r="76" spans="1:46" x14ac:dyDescent="0.35">
      <c r="A76" s="92"/>
      <c r="B76" s="36"/>
      <c r="C76" s="36"/>
      <c r="D76" s="36"/>
      <c r="E76" s="89" t="s">
        <v>611</v>
      </c>
      <c r="F76" s="36"/>
      <c r="G76" s="36"/>
      <c r="H76" s="58"/>
      <c r="I76" s="103" t="s">
        <v>120</v>
      </c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92" t="s">
        <v>602</v>
      </c>
    </row>
    <row r="77" spans="1:46" x14ac:dyDescent="0.35">
      <c r="A77" s="36"/>
      <c r="B77" s="36"/>
      <c r="C77" s="36"/>
      <c r="D77" s="36"/>
      <c r="E77" s="36"/>
      <c r="F77" s="90" t="s">
        <v>581</v>
      </c>
      <c r="G77" s="90" t="s">
        <v>119</v>
      </c>
      <c r="H77" s="120">
        <f>IF(H$60, H53 / H$59, 0)</f>
        <v>0.3161178592552234</v>
      </c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6"/>
      <c r="AB77" s="106"/>
      <c r="AC77" s="106"/>
      <c r="AD77" s="106"/>
      <c r="AE77" s="106"/>
      <c r="AF77" s="106"/>
      <c r="AG77" s="106"/>
      <c r="AH77" s="106"/>
      <c r="AI77" s="106"/>
      <c r="AJ77" s="106"/>
      <c r="AK77" s="106"/>
      <c r="AL77" s="106"/>
      <c r="AM77" s="106"/>
      <c r="AN77" s="106"/>
      <c r="AO77" s="106"/>
      <c r="AP77" s="106"/>
      <c r="AQ77" s="106"/>
      <c r="AR77" s="106"/>
      <c r="AS77" s="58"/>
      <c r="AT77" s="36"/>
    </row>
    <row r="78" spans="1:46" x14ac:dyDescent="0.35">
      <c r="A78" s="36"/>
      <c r="B78" s="36"/>
      <c r="C78" s="36"/>
      <c r="D78" s="36"/>
      <c r="E78" s="36"/>
      <c r="F78" s="92" t="s">
        <v>582</v>
      </c>
      <c r="G78" s="92" t="s">
        <v>119</v>
      </c>
      <c r="H78" s="121">
        <f>IF(H$60, H54 / H$59, 0)</f>
        <v>0.24667990276723184</v>
      </c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/>
      <c r="AL78" s="106"/>
      <c r="AM78" s="106"/>
      <c r="AN78" s="106"/>
      <c r="AO78" s="106"/>
      <c r="AP78" s="106"/>
      <c r="AQ78" s="106"/>
      <c r="AR78" s="106"/>
      <c r="AS78" s="58"/>
      <c r="AT78" s="36"/>
    </row>
    <row r="79" spans="1:46" x14ac:dyDescent="0.35">
      <c r="A79" s="36"/>
      <c r="B79" s="36"/>
      <c r="C79" s="36"/>
      <c r="D79" s="36"/>
      <c r="E79" s="36"/>
      <c r="F79" s="92" t="s">
        <v>583</v>
      </c>
      <c r="G79" s="92" t="s">
        <v>119</v>
      </c>
      <c r="H79" s="121">
        <f>IF(H$60, H55 / H$59, 0)</f>
        <v>7.6296087195065532E-2</v>
      </c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6"/>
      <c r="AL79" s="106"/>
      <c r="AM79" s="106"/>
      <c r="AN79" s="106"/>
      <c r="AO79" s="106"/>
      <c r="AP79" s="106"/>
      <c r="AQ79" s="106"/>
      <c r="AR79" s="106"/>
      <c r="AS79" s="58"/>
      <c r="AT79" s="36"/>
    </row>
    <row r="80" spans="1:46" x14ac:dyDescent="0.35">
      <c r="A80" s="36"/>
      <c r="B80" s="36"/>
      <c r="C80" s="36"/>
      <c r="D80" s="36"/>
      <c r="E80" s="36"/>
      <c r="F80" s="92" t="s">
        <v>584</v>
      </c>
      <c r="G80" s="92" t="s">
        <v>119</v>
      </c>
      <c r="H80" s="121">
        <f>IF(H$60, H56 / H$59, 0)</f>
        <v>0.21071746904391833</v>
      </c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  <c r="AH80" s="106"/>
      <c r="AI80" s="106"/>
      <c r="AJ80" s="106"/>
      <c r="AK80" s="106"/>
      <c r="AL80" s="106"/>
      <c r="AM80" s="106"/>
      <c r="AN80" s="106"/>
      <c r="AO80" s="106"/>
      <c r="AP80" s="106"/>
      <c r="AQ80" s="106"/>
      <c r="AR80" s="106"/>
      <c r="AS80" s="58"/>
      <c r="AT80" s="36"/>
    </row>
    <row r="81" spans="1:46" x14ac:dyDescent="0.35">
      <c r="A81" s="36"/>
      <c r="B81" s="36"/>
      <c r="C81" s="36"/>
      <c r="D81" s="36"/>
      <c r="E81" s="36"/>
      <c r="F81" s="94" t="s">
        <v>585</v>
      </c>
      <c r="G81" s="94" t="s">
        <v>119</v>
      </c>
      <c r="H81" s="122">
        <f>IF(H$60, H57 / H$59, 0)</f>
        <v>0.15018868173856087</v>
      </c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06"/>
      <c r="AN81" s="106"/>
      <c r="AO81" s="106"/>
      <c r="AP81" s="106"/>
      <c r="AQ81" s="106"/>
      <c r="AR81" s="106"/>
      <c r="AS81" s="58"/>
      <c r="AT81" s="36"/>
    </row>
    <row r="82" spans="1:46" x14ac:dyDescent="0.35">
      <c r="A82" s="36"/>
      <c r="B82" s="36"/>
      <c r="C82" s="36"/>
      <c r="D82" s="36"/>
      <c r="E82" s="36"/>
      <c r="F82" s="36"/>
      <c r="G82" s="36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  <c r="AT82" s="36"/>
    </row>
    <row r="83" spans="1:46" x14ac:dyDescent="0.35">
      <c r="A83" s="36"/>
      <c r="B83" s="36"/>
      <c r="C83" s="36"/>
      <c r="D83" s="36"/>
      <c r="E83" s="92" t="s">
        <v>507</v>
      </c>
      <c r="F83" s="36"/>
      <c r="G83" s="92" t="s">
        <v>73</v>
      </c>
      <c r="H83" s="107">
        <f>IF(SUM(H77:H81)= 1, 0, 1)</f>
        <v>0</v>
      </c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58"/>
      <c r="AT83" s="36"/>
    </row>
    <row r="84" spans="1:46" x14ac:dyDescent="0.35">
      <c r="A84" s="36"/>
      <c r="B84" s="36"/>
      <c r="C84" s="36"/>
      <c r="D84" s="36"/>
      <c r="E84" s="86"/>
      <c r="F84" s="36"/>
      <c r="G84" s="36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8"/>
      <c r="AS84" s="58"/>
      <c r="AT84" s="36"/>
    </row>
    <row r="85" spans="1:46" x14ac:dyDescent="0.35">
      <c r="A85" s="36"/>
      <c r="B85" s="84" t="s">
        <v>535</v>
      </c>
      <c r="C85" s="84"/>
      <c r="D85" s="84"/>
      <c r="E85" s="84"/>
      <c r="F85" s="84"/>
      <c r="G85" s="84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4"/>
    </row>
    <row r="86" spans="1:46" x14ac:dyDescent="0.35">
      <c r="A86" s="36"/>
      <c r="B86" s="36"/>
      <c r="C86" s="36"/>
      <c r="D86" s="36"/>
      <c r="E86" s="36"/>
      <c r="F86" s="36"/>
      <c r="G86" s="36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58"/>
      <c r="AS86" s="58"/>
      <c r="AT86" s="36"/>
    </row>
    <row r="87" spans="1:46" x14ac:dyDescent="0.35">
      <c r="A87" s="36"/>
      <c r="B87" s="36"/>
      <c r="C87" s="86"/>
      <c r="D87" s="86"/>
      <c r="E87" s="92" t="s">
        <v>496</v>
      </c>
      <c r="F87" s="36"/>
      <c r="G87" s="92" t="s">
        <v>73</v>
      </c>
      <c r="H87" s="126">
        <f>H63 + H74 + H83</f>
        <v>0</v>
      </c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58"/>
      <c r="AT87" s="36"/>
    </row>
    <row r="88" spans="1:46" x14ac:dyDescent="0.35">
      <c r="A88" s="36"/>
      <c r="B88" s="36"/>
      <c r="C88" s="36"/>
      <c r="D88" s="36"/>
      <c r="E88" s="86"/>
      <c r="F88" s="36"/>
      <c r="G88" s="36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58"/>
      <c r="AS88" s="58"/>
      <c r="AT88" s="36"/>
    </row>
    <row r="89" spans="1:46" x14ac:dyDescent="0.35">
      <c r="A89" s="36"/>
      <c r="B89" s="84" t="s">
        <v>87</v>
      </c>
      <c r="C89" s="84"/>
      <c r="D89" s="84"/>
      <c r="E89" s="84"/>
      <c r="F89" s="84"/>
      <c r="G89" s="84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4"/>
    </row>
  </sheetData>
  <sheetProtection sheet="1" formatCells="0" formatColumns="0" formatRows="0" sort="0" autoFilter="0"/>
  <conditionalFormatting sqref="H63">
    <cfRule type="cellIs" dxfId="26" priority="4" stopIfTrue="1" operator="greaterThan">
      <formula>0</formula>
    </cfRule>
  </conditionalFormatting>
  <conditionalFormatting sqref="H74">
    <cfRule type="cellIs" dxfId="25" priority="5" stopIfTrue="1" operator="greaterThan">
      <formula>0</formula>
    </cfRule>
  </conditionalFormatting>
  <conditionalFormatting sqref="H83">
    <cfRule type="cellIs" dxfId="24" priority="6" stopIfTrue="1" operator="greaterThan">
      <formula>0</formula>
    </cfRule>
  </conditionalFormatting>
  <conditionalFormatting sqref="H87">
    <cfRule type="cellIs" dxfId="23" priority="7" stopIfTrue="1" operator="greaterThan">
      <formula>0</formula>
    </cfRule>
  </conditionalFormatting>
  <conditionalFormatting sqref="A4:AO4 AQ4 AS4:XFD4">
    <cfRule type="expression" dxfId="22" priority="3">
      <formula>LEFT($A$4,1) &lt;&gt; "0"</formula>
    </cfRule>
  </conditionalFormatting>
  <conditionalFormatting sqref="AP4">
    <cfRule type="expression" dxfId="21" priority="2">
      <formula>LEFT($A$4,1) &lt;&gt; "0"</formula>
    </cfRule>
  </conditionalFormatting>
  <conditionalFormatting sqref="AR4">
    <cfRule type="expression" dxfId="20" priority="1">
      <formula>LEFT($A$4,1) &lt;&gt; "0"</formula>
    </cfRule>
  </conditionalFormatting>
  <hyperlinks>
    <hyperlink ref="B5" location="'Model map'!A1" display="Click here to return to model map" xr:uid="{725980B3-994C-4632-8A8D-995B587C789D}"/>
    <hyperlink ref="B5:H5" location="'Model map'!A4" tooltip="Click to return to model map" display="'Model map'!A4" xr:uid="{653530C5-7F63-49AE-B200-C1CDAF747FFD}"/>
    <hyperlink ref="B5:F5" location="'Model map'!A4" tooltip="Click to return to model map" display="'Model map'!A4" xr:uid="{436A6CDB-5A94-4570-AD91-E1E947278337}"/>
    <hyperlink ref="A1" location="Index!A1" display="Index!A1" xr:uid="{7DF30FA6-8489-4C95-BF97-065F22B4D397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890CFB661AC84D96B569471696442A" ma:contentTypeVersion="14" ma:contentTypeDescription="Create a new document." ma:contentTypeScope="" ma:versionID="4b6184ced0be05d993af45421b58c4eb">
  <xsd:schema xmlns:xsd="http://www.w3.org/2001/XMLSchema" xmlns:xs="http://www.w3.org/2001/XMLSchema" xmlns:p="http://schemas.microsoft.com/office/2006/metadata/properties" xmlns:ns2="375f405a-1d4b-4796-a028-0e90b458cbcf" xmlns:ns3="4fb325ff-59f4-4202-984d-cc4ef0b29ee2" targetNamespace="http://schemas.microsoft.com/office/2006/metadata/properties" ma:root="true" ma:fieldsID="f2404c6ce35e8ac5bf26941211a2c1fb" ns2:_="" ns3:_="">
    <xsd:import namespace="375f405a-1d4b-4796-a028-0e90b458cbcf"/>
    <xsd:import namespace="4fb325ff-59f4-4202-984d-cc4ef0b29e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f405a-1d4b-4796-a028-0e90b458cb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325ff-59f4-4202-984d-cc4ef0b29ee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ff50c57-be38-42b6-82d3-c6d9d1240e9f}" ma:internalName="TaxCatchAll" ma:showField="CatchAllData" ma:web="4fb325ff-59f4-4202-984d-cc4ef0b29e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5f405a-1d4b-4796-a028-0e90b458cbcf">
      <Terms xmlns="http://schemas.microsoft.com/office/infopath/2007/PartnerControls"/>
    </lcf76f155ced4ddcb4097134ff3c332f>
    <TaxCatchAll xmlns="4fb325ff-59f4-4202-984d-cc4ef0b29ee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661EE9-8D8D-4D46-8DC1-3B75DD675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5f405a-1d4b-4796-a028-0e90b458cbcf"/>
    <ds:schemaRef ds:uri="4fb325ff-59f4-4202-984d-cc4ef0b29e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E19579-5AB0-45A9-ACE2-09DB8D0D6DFC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  <ds:schemaRef ds:uri="375f405a-1d4b-4796-a028-0e90b458cbcf"/>
    <ds:schemaRef ds:uri="4fb325ff-59f4-4202-984d-cc4ef0b29ee2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7CCB481-5D07-4576-BB79-32174CEC7A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2019-10-31T20:54:16Z</dcterms:created>
  <dcterms:modified xsi:type="dcterms:W3CDTF">2022-12-16T11:11:29Z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0x010100B0890CFB661AC84D96B569471696442A</vt:lpwstr>
  </property>
  <property fmtid="{D5CDD505-2E9C-101B-9397-08002B2CF9AE}" pid="3" name="MediaServiceImageTags">
    <vt:lpwstr/>
  </property>
</Properties>
</file>